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048" windowHeight="5964"/>
  </bookViews>
  <sheets>
    <sheet name="P2" sheetId="1" r:id="rId1"/>
    <sheet name="P3" sheetId="5" r:id="rId2"/>
    <sheet name="P4" sheetId="8" r:id="rId3"/>
  </sheets>
  <calcPr calcId="125725"/>
</workbook>
</file>

<file path=xl/calcChain.xml><?xml version="1.0" encoding="utf-8"?>
<calcChain xmlns="http://schemas.openxmlformats.org/spreadsheetml/2006/main">
  <c r="E32" i="8"/>
  <c r="E33"/>
  <c r="E31"/>
  <c r="D32"/>
  <c r="D33"/>
  <c r="D31"/>
  <c r="C32"/>
  <c r="C33"/>
  <c r="C31"/>
  <c r="C19"/>
  <c r="C26"/>
  <c r="C27"/>
  <c r="C25"/>
  <c r="C20"/>
  <c r="C21"/>
  <c r="G62" i="5"/>
  <c r="I62" s="1"/>
  <c r="G58"/>
  <c r="I58" s="1"/>
  <c r="C53" i="1"/>
  <c r="C43"/>
  <c r="I70"/>
  <c r="E63"/>
  <c r="E64" s="1"/>
  <c r="I61"/>
  <c r="I63" s="1"/>
  <c r="I64" s="1"/>
  <c r="I42"/>
  <c r="I44" s="1"/>
  <c r="B33"/>
  <c r="K63"/>
  <c r="K64" s="1"/>
  <c r="J63"/>
  <c r="J64" s="1"/>
  <c r="B63"/>
  <c r="B64" s="1"/>
  <c r="L61"/>
  <c r="L63" s="1"/>
  <c r="L64" s="1"/>
  <c r="M61"/>
  <c r="M63" s="1"/>
  <c r="M64" s="1"/>
  <c r="L62"/>
  <c r="M62"/>
  <c r="E61"/>
  <c r="E62"/>
  <c r="F61"/>
  <c r="F62"/>
  <c r="F63" s="1"/>
  <c r="F64" s="1"/>
  <c r="K62"/>
  <c r="J62"/>
  <c r="D62"/>
  <c r="C62"/>
  <c r="K61"/>
  <c r="J61"/>
  <c r="D61"/>
  <c r="D63" s="1"/>
  <c r="D64" s="1"/>
  <c r="C61"/>
  <c r="C63" s="1"/>
  <c r="C64" s="1"/>
  <c r="B61"/>
  <c r="J53"/>
  <c r="K42"/>
  <c r="L42"/>
  <c r="J42"/>
  <c r="J43"/>
  <c r="B42"/>
  <c r="D33"/>
  <c r="E33"/>
  <c r="E34" s="1"/>
  <c r="C33"/>
  <c r="C34" s="1"/>
  <c r="B34"/>
  <c r="B30"/>
  <c r="J38" i="5"/>
  <c r="J39" s="1"/>
  <c r="J46" s="1"/>
  <c r="J49" s="1"/>
  <c r="D52" i="1"/>
  <c r="I39" i="5"/>
  <c r="I40" s="1"/>
  <c r="C48"/>
  <c r="F28"/>
  <c r="G61" s="1"/>
  <c r="I61" s="1"/>
  <c r="B37"/>
  <c r="B39" s="1"/>
  <c r="B40" s="1"/>
  <c r="B27"/>
  <c r="B29" s="1"/>
  <c r="E48"/>
  <c r="D48"/>
  <c r="L38"/>
  <c r="L39" s="1"/>
  <c r="L40" s="1"/>
  <c r="K38"/>
  <c r="K39" s="1"/>
  <c r="K40" s="1"/>
  <c r="E38"/>
  <c r="D38"/>
  <c r="C38"/>
  <c r="E37"/>
  <c r="D37"/>
  <c r="C37"/>
  <c r="E27"/>
  <c r="E29" s="1"/>
  <c r="D27"/>
  <c r="D29" s="1"/>
  <c r="C27"/>
  <c r="C29" s="1"/>
  <c r="E42" i="1"/>
  <c r="D42"/>
  <c r="C42"/>
  <c r="L53"/>
  <c r="K53"/>
  <c r="E53"/>
  <c r="D53"/>
  <c r="E52"/>
  <c r="C52"/>
  <c r="J51"/>
  <c r="J54" s="1"/>
  <c r="J55" s="1"/>
  <c r="L43"/>
  <c r="K43"/>
  <c r="J44"/>
  <c r="J45" s="1"/>
  <c r="E43"/>
  <c r="D43"/>
  <c r="B44"/>
  <c r="B45" s="1"/>
  <c r="C30"/>
  <c r="C31" s="1"/>
  <c r="D34"/>
  <c r="E31"/>
  <c r="D30"/>
  <c r="D31" s="1"/>
  <c r="E30"/>
  <c r="G57" i="5" l="1"/>
  <c r="I57" s="1"/>
  <c r="E44" i="1"/>
  <c r="L44"/>
  <c r="L45" s="1"/>
  <c r="J50" i="5"/>
  <c r="F29"/>
  <c r="D39"/>
  <c r="D40" s="1"/>
  <c r="E39"/>
  <c r="L46"/>
  <c r="K46"/>
  <c r="C39"/>
  <c r="C46" s="1"/>
  <c r="C49" s="1"/>
  <c r="B46"/>
  <c r="B49" s="1"/>
  <c r="B50" s="1"/>
  <c r="I46"/>
  <c r="I49" s="1"/>
  <c r="J40"/>
  <c r="M40" s="1"/>
  <c r="M41" s="1"/>
  <c r="F27"/>
  <c r="K44" i="1"/>
  <c r="L51"/>
  <c r="L54" s="1"/>
  <c r="L55" s="1"/>
  <c r="I45"/>
  <c r="I51"/>
  <c r="I54" s="1"/>
  <c r="I55" s="1"/>
  <c r="E45"/>
  <c r="E51"/>
  <c r="D44"/>
  <c r="C44"/>
  <c r="B51"/>
  <c r="B54" s="1"/>
  <c r="B55" s="1"/>
  <c r="E54"/>
  <c r="E55" s="1"/>
  <c r="F33"/>
  <c r="F30"/>
  <c r="B31"/>
  <c r="F31" s="1"/>
  <c r="B70" s="1"/>
  <c r="D70" s="1"/>
  <c r="F34"/>
  <c r="G70" s="1"/>
  <c r="B62" i="5" l="1"/>
  <c r="D62" s="1"/>
  <c r="B58"/>
  <c r="D58" s="1"/>
  <c r="B61"/>
  <c r="D61" s="1"/>
  <c r="B57"/>
  <c r="D57" s="1"/>
  <c r="K49"/>
  <c r="K50" s="1"/>
  <c r="L49"/>
  <c r="L50" s="1"/>
  <c r="D46"/>
  <c r="C50"/>
  <c r="E40"/>
  <c r="E46"/>
  <c r="C40"/>
  <c r="K45" i="1"/>
  <c r="M45" s="1"/>
  <c r="K51"/>
  <c r="K54" s="1"/>
  <c r="D45"/>
  <c r="D51"/>
  <c r="D54" s="1"/>
  <c r="D55" s="1"/>
  <c r="C45"/>
  <c r="C51"/>
  <c r="C54" s="1"/>
  <c r="C55" s="1"/>
  <c r="F45" l="1"/>
  <c r="M46"/>
  <c r="F55"/>
  <c r="F56" s="1"/>
  <c r="E49" i="5"/>
  <c r="E50" s="1"/>
  <c r="K55" i="1"/>
  <c r="M55" s="1"/>
  <c r="M56" s="1"/>
  <c r="D50" i="5"/>
  <c r="D49"/>
  <c r="I50"/>
  <c r="M50" s="1"/>
  <c r="M51" s="1"/>
  <c r="F40"/>
  <c r="F41" s="1"/>
  <c r="F46" i="1"/>
  <c r="F50" i="5" l="1"/>
  <c r="F51" s="1"/>
</calcChain>
</file>

<file path=xl/sharedStrings.xml><?xml version="1.0" encoding="utf-8"?>
<sst xmlns="http://schemas.openxmlformats.org/spreadsheetml/2006/main" count="204" uniqueCount="103">
  <si>
    <t>Předpokládaná životnost projektů je 3 roky.</t>
  </si>
  <si>
    <t>Náklady a přínosy:</t>
  </si>
  <si>
    <t>Mzdové superhrubé náklady pro 1 osobu na váze, která bude zaměstnancem skládky  – 13 400 Kč/měsíc (čistá mzda 8 300 Kč/měsíc)</t>
  </si>
  <si>
    <t>Náklady na nákup pozemku – 2 mil. Kč</t>
  </si>
  <si>
    <t>Investiční náklady na zřízení skládky – 5 mil. Kč plus DPH (sazbu znáte)</t>
  </si>
  <si>
    <t>Náklady na zpracování rozhodovací analýzy – 50 tis. Kč</t>
  </si>
  <si>
    <t>Náklady na oplocení – 20 tis. Kč</t>
  </si>
  <si>
    <t>Náklady na příjezdovou komunikaci – 850 tis. Kč</t>
  </si>
  <si>
    <t>Náklady na projekt příjezdové komunikace – 100 tis. Kč</t>
  </si>
  <si>
    <t>Předpokládané roční výnosy skládky – 2,2 mil. Kč</t>
  </si>
  <si>
    <t>Škody obyvatelstvu vypočítané pomocí náhražkových trhů 500 tis. Kč ročně</t>
  </si>
  <si>
    <t>Ušetřené náklady z likvidací černých skládek 100 tis. Kč ročně</t>
  </si>
  <si>
    <t>r=</t>
  </si>
  <si>
    <t>Zpracujte v rámci Cost-benefit analýzy finanční a ekonomickou analýzu pro oba projekty a jako hodnotící kritérium použijte kritérium Ri</t>
  </si>
  <si>
    <t>AB</t>
  </si>
  <si>
    <t>rAB</t>
  </si>
  <si>
    <t>B</t>
  </si>
  <si>
    <t>x</t>
  </si>
  <si>
    <t>A</t>
  </si>
  <si>
    <t>celkem</t>
  </si>
  <si>
    <t>finanční analýza</t>
  </si>
  <si>
    <t>A cost</t>
  </si>
  <si>
    <t>A benef</t>
  </si>
  <si>
    <t>A sum</t>
  </si>
  <si>
    <t>A disc</t>
  </si>
  <si>
    <t>B disc</t>
  </si>
  <si>
    <t>Ri=</t>
  </si>
  <si>
    <t>B cost</t>
  </si>
  <si>
    <t>B benef</t>
  </si>
  <si>
    <t>B sum</t>
  </si>
  <si>
    <t>NPV</t>
  </si>
  <si>
    <t>ekonomická analýza</t>
  </si>
  <si>
    <t>A fa</t>
  </si>
  <si>
    <t>B fa</t>
  </si>
  <si>
    <t>A ecost</t>
  </si>
  <si>
    <t>A ebenef</t>
  </si>
  <si>
    <t>B ecost</t>
  </si>
  <si>
    <t>B ebenef</t>
  </si>
  <si>
    <t>A esum</t>
  </si>
  <si>
    <t>B esum</t>
  </si>
  <si>
    <t>Príklad 2</t>
  </si>
  <si>
    <t>Obec Horní Lhotice se rozhoduje pro výběr z následujících dvou projektů na rekultivaci rybníka a jeho následné využití</t>
  </si>
  <si>
    <t xml:space="preserve">Projekt A – Odbahnění a rekultivace rybníka a stavba přírodního koupaliště v jedné části rybníka, které bude dále obec provozovat, </t>
  </si>
  <si>
    <t>předpokládaný provoz koupaliště (červen-září), koupaliště bude zdarma. Druhá část rybníka bude zarybněna a využívána rybáři (předpokládaný počet prodaných povolenek 500)</t>
  </si>
  <si>
    <t>Projekt B – Odbahnění a rekultivace rybníka a jeho následné zarybnění,  obec jej bude využívat k pronájmům rybářům k rybaření (předpokládaný počet prodaných povolenek 2000)</t>
  </si>
  <si>
    <t>Náklady na investici do přírodního koupaliště – 1 mil. Kč</t>
  </si>
  <si>
    <t>Náklady na zpracování projektové dokumentace – 150 tis. Kč</t>
  </si>
  <si>
    <t>Výnosy z pronájmů od soukromníků provozující občerstvení na přírodním koupališti – 300 tis. Kč/měsíc</t>
  </si>
  <si>
    <t>Cena povolenky – 200 Kč/osobu</t>
  </si>
  <si>
    <t>rA</t>
  </si>
  <si>
    <t>AB1</t>
  </si>
  <si>
    <t>Celkem</t>
  </si>
  <si>
    <t>finančná analýza</t>
  </si>
  <si>
    <t xml:space="preserve">Zpracujte pro oba projekty analýzu efektivnosti nákladů a jako kritérium efektivnosti E použijte ocenění projektů občany obce </t>
  </si>
  <si>
    <t>costs</t>
  </si>
  <si>
    <t>effects</t>
  </si>
  <si>
    <t>CEA</t>
  </si>
  <si>
    <t>A nondisc</t>
  </si>
  <si>
    <t>B nondisc</t>
  </si>
  <si>
    <t>body</t>
  </si>
  <si>
    <t>povolenky</t>
  </si>
  <si>
    <t>A edisc</t>
  </si>
  <si>
    <t>B edisc</t>
  </si>
  <si>
    <t>Projekt B – Nákup pozemku mimo intravilánu obce s příjezdovou komunikací a tam zřízení skládky</t>
  </si>
  <si>
    <t>Projekt A – Zřízení  skládky na vlastním pozemku v rámci intravilánu obce bez příjezdové komunikace</t>
  </si>
  <si>
    <t>Mzdové hrubé náklady na 2 osoby, které se budou starat o koupaliště a budou zaměstnání jen v období jeho provozu 15 tis. Kč/osobu/měsíc (čistá mzda 12750 Kč)</t>
  </si>
  <si>
    <t>Zpracujte pro oba projekty analýzu minimalizace nákladů – PROSTOU</t>
  </si>
  <si>
    <t>Zpracujte finanční a ekonomickou analýzu v rámci Cost-benefit analýzy a využijte to nejvhodnější kritérium pro rozhodování, které je v rámci CBA možné, své rozhodnutí výsledku CBA zdůvodněte</t>
  </si>
  <si>
    <t>rB</t>
  </si>
  <si>
    <t>Zpracujte pro oba projekty prostou a reálnou analýzu minimalizace nákladů</t>
  </si>
  <si>
    <t>Zpracujte pro oba projekty prostou a reálnou DN</t>
  </si>
  <si>
    <t>Zpracujte reálnou CEA, pokud kapacita A = 600 m3/rok a B = 700 m3/rok?</t>
  </si>
  <si>
    <t>DPH sa v tomto príklade uvažuje iba u zriadenia skládky</t>
  </si>
  <si>
    <t>– občané dali projektu A 88 bodů ze 100 bodů, a projektu B 47 bodů ze 100 bodů, jako alternativu zvolte počet prodaných povolenek</t>
  </si>
  <si>
    <t>Príklad 3</t>
  </si>
  <si>
    <t>Na základě expertního posudku zvolte vhodnou lokalitu. Životnost je 20 let.</t>
  </si>
  <si>
    <t>Varianta</t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</si>
  <si>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1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</si>
  <si>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</si>
  <si>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3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</si>
  <si>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4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</si>
  <si>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5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</si>
  <si>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6</t>
    </r>
  </si>
  <si>
    <t>Č</t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</si>
  <si>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– počet pracovních sil pro provoz skládky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</si>
  <si>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– provozní náklady v mil.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</si>
  <si>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– celkový objem skládky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</si>
  <si>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– náklady na svoz odpadu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</si>
  <si>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– investiční náklady v mld.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</si>
  <si>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– přínosy projektu</t>
    </r>
  </si>
  <si>
    <t>Vyberte nejvýhodnější projekt podle CMA</t>
  </si>
  <si>
    <t>Vyberte nejvýhodnější projekt podle PV</t>
  </si>
  <si>
    <t>Vyberte nejvýhodnější projekt podle CEA</t>
  </si>
  <si>
    <t>C</t>
  </si>
  <si>
    <t>C/E1</t>
  </si>
  <si>
    <t>C/E2</t>
  </si>
  <si>
    <t>Príklad 4</t>
  </si>
  <si>
    <t>Obec Židlochovice se rozhoduje pro výběr z následujících dvou projektů na zřízení malé skládky</t>
  </si>
  <si>
    <t>Náklady na odbahnění a rekultivaci – 1,5 mil. Kč</t>
  </si>
  <si>
    <t>Dotace od kraje na rekultivaci (získaná po její realizaci), 50 % nákladů na rekultivaci</t>
  </si>
  <si>
    <t>Negativní vliv na okolí rybníku kvůli provozu koupaliště – 150 tis. Kč ročně</t>
  </si>
  <si>
    <t>Šalinkarta – 6 900 Kč</t>
  </si>
  <si>
    <t>Dotace od kraje na zřízení skládky 20 % z investičních nákladů na zřízení skládky v prvním roce fungování skládky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</si>
</sst>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9" fontId="0" fillId="0" borderId="0" xfId="0" applyNumberFormat="1"/>
    <xf numFmtId="0" fontId="1" fillId="0" borderId="0" xfId="0" applyFont="1"/>
    <xf numFmtId="164" fontId="1" fillId="2" borderId="0" xfId="0" applyNumberFormat="1" applyFont="1" applyFill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1" fillId="2" borderId="6" xfId="0" applyNumberFormat="1" applyFont="1" applyFill="1" applyBorder="1"/>
    <xf numFmtId="0" fontId="1" fillId="2" borderId="0" xfId="0" applyFont="1" applyFill="1"/>
    <xf numFmtId="0" fontId="0" fillId="0" borderId="3" xfId="0" applyBorder="1"/>
    <xf numFmtId="0" fontId="0" fillId="0" borderId="4" xfId="0" applyBorder="1"/>
    <xf numFmtId="164" fontId="0" fillId="0" borderId="7" xfId="0" applyNumberFormat="1" applyBorder="1"/>
    <xf numFmtId="164" fontId="0" fillId="0" borderId="0" xfId="0" applyNumberFormat="1" applyBorder="1"/>
    <xf numFmtId="164" fontId="0" fillId="0" borderId="8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0" xfId="0" applyNumberFormat="1"/>
    <xf numFmtId="0" fontId="0" fillId="0" borderId="0" xfId="0" applyFont="1"/>
    <xf numFmtId="0" fontId="0" fillId="0" borderId="0" xfId="0" applyBorder="1"/>
    <xf numFmtId="164" fontId="1" fillId="0" borderId="0" xfId="0" applyNumberFormat="1" applyFont="1" applyFill="1"/>
    <xf numFmtId="0" fontId="0" fillId="0" borderId="0" xfId="0" applyFill="1" applyBorder="1"/>
    <xf numFmtId="4" fontId="1" fillId="2" borderId="0" xfId="0" applyNumberFormat="1" applyFont="1" applyFill="1" applyBorder="1"/>
    <xf numFmtId="4" fontId="1" fillId="3" borderId="0" xfId="0" applyNumberFormat="1" applyFont="1" applyFill="1" applyBorder="1"/>
    <xf numFmtId="0" fontId="2" fillId="0" borderId="0" xfId="0" applyFont="1"/>
    <xf numFmtId="164" fontId="0" fillId="2" borderId="0" xfId="0" applyNumberFormat="1" applyFill="1" applyBorder="1"/>
    <xf numFmtId="164" fontId="0" fillId="2" borderId="8" xfId="0" applyNumberFormat="1" applyFill="1" applyBorder="1"/>
    <xf numFmtId="164" fontId="0" fillId="2" borderId="6" xfId="0" applyNumberFormat="1" applyFill="1" applyBorder="1"/>
    <xf numFmtId="164" fontId="0" fillId="0" borderId="9" xfId="0" applyNumberFormat="1" applyBorder="1"/>
    <xf numFmtId="3" fontId="0" fillId="0" borderId="10" xfId="0" applyNumberFormat="1" applyBorder="1"/>
    <xf numFmtId="4" fontId="0" fillId="2" borderId="0" xfId="0" applyNumberFormat="1" applyFont="1" applyFill="1" applyBorder="1"/>
    <xf numFmtId="4" fontId="0" fillId="0" borderId="0" xfId="0" applyNumberFormat="1" applyFont="1" applyFill="1" applyBorder="1"/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2" borderId="0" xfId="0" applyFill="1"/>
    <xf numFmtId="2" fontId="0" fillId="0" borderId="0" xfId="0" applyNumberFormat="1"/>
    <xf numFmtId="2" fontId="0" fillId="2" borderId="0" xfId="0" applyNumberFormat="1" applyFill="1"/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0"/>
  <sheetViews>
    <sheetView tabSelected="1" zoomScaleNormal="100" workbookViewId="0"/>
  </sheetViews>
  <sheetFormatPr defaultRowHeight="14.4"/>
  <sheetData>
    <row r="1" spans="1:6">
      <c r="A1" t="s">
        <v>40</v>
      </c>
    </row>
    <row r="3" spans="1:6">
      <c r="A3" t="s">
        <v>97</v>
      </c>
    </row>
    <row r="5" spans="1:6">
      <c r="A5" t="s">
        <v>64</v>
      </c>
    </row>
    <row r="6" spans="1:6">
      <c r="A6" t="s">
        <v>63</v>
      </c>
    </row>
    <row r="8" spans="1:6">
      <c r="A8" t="s">
        <v>0</v>
      </c>
    </row>
    <row r="10" spans="1:6">
      <c r="A10" t="s">
        <v>1</v>
      </c>
    </row>
    <row r="11" spans="1:6">
      <c r="F11" s="25" t="s">
        <v>72</v>
      </c>
    </row>
    <row r="12" spans="1:6">
      <c r="A12" t="s">
        <v>14</v>
      </c>
      <c r="B12" t="s">
        <v>4</v>
      </c>
    </row>
    <row r="13" spans="1:6">
      <c r="A13" t="s">
        <v>15</v>
      </c>
      <c r="B13" t="s">
        <v>2</v>
      </c>
    </row>
    <row r="14" spans="1:6">
      <c r="A14" t="s">
        <v>68</v>
      </c>
      <c r="B14" t="s">
        <v>101</v>
      </c>
    </row>
    <row r="15" spans="1:6">
      <c r="A15" t="s">
        <v>16</v>
      </c>
      <c r="B15" t="s">
        <v>3</v>
      </c>
    </row>
    <row r="16" spans="1:6">
      <c r="A16" t="s">
        <v>17</v>
      </c>
      <c r="B16" t="s">
        <v>5</v>
      </c>
    </row>
    <row r="17" spans="1:6">
      <c r="A17" t="s">
        <v>14</v>
      </c>
      <c r="B17" t="s">
        <v>6</v>
      </c>
    </row>
    <row r="18" spans="1:6">
      <c r="A18" t="s">
        <v>18</v>
      </c>
      <c r="B18" t="s">
        <v>7</v>
      </c>
    </row>
    <row r="19" spans="1:6">
      <c r="A19" t="s">
        <v>18</v>
      </c>
      <c r="B19" s="20" t="s">
        <v>8</v>
      </c>
      <c r="C19" s="20"/>
      <c r="D19" s="20"/>
      <c r="E19" s="20"/>
      <c r="F19" s="20"/>
    </row>
    <row r="20" spans="1:6">
      <c r="A20" t="s">
        <v>15</v>
      </c>
      <c r="B20" t="s">
        <v>9</v>
      </c>
    </row>
    <row r="21" spans="1:6">
      <c r="A21" t="s">
        <v>49</v>
      </c>
      <c r="B21" t="s">
        <v>10</v>
      </c>
    </row>
    <row r="22" spans="1:6">
      <c r="A22" t="s">
        <v>15</v>
      </c>
      <c r="B22" t="s">
        <v>11</v>
      </c>
    </row>
    <row r="23" spans="1:6">
      <c r="A23" t="s">
        <v>50</v>
      </c>
      <c r="B23" t="s">
        <v>102</v>
      </c>
    </row>
    <row r="25" spans="1:6">
      <c r="A25" t="s">
        <v>12</v>
      </c>
      <c r="B25" s="1">
        <v>0.05</v>
      </c>
    </row>
    <row r="27" spans="1:6">
      <c r="A27" s="2" t="s">
        <v>69</v>
      </c>
    </row>
    <row r="29" spans="1:6">
      <c r="B29">
        <v>0</v>
      </c>
      <c r="C29">
        <v>1</v>
      </c>
      <c r="D29">
        <v>2</v>
      </c>
      <c r="E29">
        <v>3</v>
      </c>
      <c r="F29" t="s">
        <v>19</v>
      </c>
    </row>
    <row r="30" spans="1:6">
      <c r="A30" t="s">
        <v>18</v>
      </c>
      <c r="B30" s="4">
        <f>5000*1.21+20+850+100</f>
        <v>7020</v>
      </c>
      <c r="C30" s="5">
        <f>13.4*12</f>
        <v>160.80000000000001</v>
      </c>
      <c r="D30" s="5">
        <f t="shared" ref="D30:E30" si="0">13.4*12</f>
        <v>160.80000000000001</v>
      </c>
      <c r="E30" s="5">
        <f t="shared" si="0"/>
        <v>160.80000000000001</v>
      </c>
      <c r="F30" s="6">
        <f>SUM(B30:E30)</f>
        <v>7502.4000000000005</v>
      </c>
    </row>
    <row r="31" spans="1:6">
      <c r="A31" t="s">
        <v>24</v>
      </c>
      <c r="B31" s="7">
        <f>B30/(1+$B$25)^B$29</f>
        <v>7020</v>
      </c>
      <c r="C31" s="8">
        <f t="shared" ref="C31:E31" si="1">C30/(1+$B$25)^C$29</f>
        <v>153.14285714285714</v>
      </c>
      <c r="D31" s="8">
        <f t="shared" si="1"/>
        <v>145.85034013605443</v>
      </c>
      <c r="E31" s="8">
        <f t="shared" si="1"/>
        <v>138.90508584386134</v>
      </c>
      <c r="F31" s="9">
        <f>SUM(B31:E31)</f>
        <v>7457.8982831227722</v>
      </c>
    </row>
    <row r="33" spans="1:13">
      <c r="A33" t="s">
        <v>16</v>
      </c>
      <c r="B33" s="4">
        <f>5000*1.21+2000+20</f>
        <v>8070</v>
      </c>
      <c r="C33" s="5">
        <f>13.4*12+6.9</f>
        <v>167.70000000000002</v>
      </c>
      <c r="D33" s="5">
        <f t="shared" ref="D33:E33" si="2">13.4*12+6.9</f>
        <v>167.70000000000002</v>
      </c>
      <c r="E33" s="5">
        <f t="shared" si="2"/>
        <v>167.70000000000002</v>
      </c>
      <c r="F33" s="6">
        <f>SUM(B33:E33)</f>
        <v>8573.1000000000022</v>
      </c>
    </row>
    <row r="34" spans="1:13">
      <c r="A34" t="s">
        <v>25</v>
      </c>
      <c r="B34" s="7">
        <f>B33/(1+$B$25)^B$29</f>
        <v>8070</v>
      </c>
      <c r="C34" s="8">
        <f t="shared" ref="C34" si="3">C33/(1+$B$25)^C$29</f>
        <v>159.71428571428572</v>
      </c>
      <c r="D34" s="8">
        <f t="shared" ref="D34" si="4">D33/(1+$B$25)^D$29</f>
        <v>152.10884353741497</v>
      </c>
      <c r="E34" s="8">
        <f t="shared" ref="E34" si="5">E33/(1+$B$25)^E$29</f>
        <v>144.86556527372855</v>
      </c>
      <c r="F34" s="9">
        <f>SUM(B34:E34)</f>
        <v>8526.68869452543</v>
      </c>
    </row>
    <row r="37" spans="1:13">
      <c r="A37" s="2" t="s">
        <v>13</v>
      </c>
    </row>
    <row r="39" spans="1:13">
      <c r="A39" t="s">
        <v>20</v>
      </c>
    </row>
    <row r="41" spans="1:13">
      <c r="B41">
        <v>0</v>
      </c>
      <c r="C41">
        <v>1</v>
      </c>
      <c r="D41">
        <v>2</v>
      </c>
      <c r="E41">
        <v>3</v>
      </c>
      <c r="I41">
        <v>0</v>
      </c>
      <c r="J41">
        <v>1</v>
      </c>
      <c r="K41">
        <v>2</v>
      </c>
      <c r="L41">
        <v>3</v>
      </c>
    </row>
    <row r="42" spans="1:13">
      <c r="A42" t="s">
        <v>21</v>
      </c>
      <c r="B42" s="4">
        <f>-5000*1.21-20-850-100</f>
        <v>-7020</v>
      </c>
      <c r="C42" s="11">
        <f>-13.4*12</f>
        <v>-160.80000000000001</v>
      </c>
      <c r="D42" s="11">
        <f>-13.4*12</f>
        <v>-160.80000000000001</v>
      </c>
      <c r="E42" s="12">
        <f>-13.4*12</f>
        <v>-160.80000000000001</v>
      </c>
      <c r="H42" t="s">
        <v>27</v>
      </c>
      <c r="I42" s="4">
        <f>-5000*1.21-2000-20</f>
        <v>-8070</v>
      </c>
      <c r="J42" s="11">
        <f>-13.4*12-6.9</f>
        <v>-167.70000000000002</v>
      </c>
      <c r="K42" s="11">
        <f t="shared" ref="K42:L42" si="6">-13.4*12-6.9</f>
        <v>-167.70000000000002</v>
      </c>
      <c r="L42" s="12">
        <f t="shared" si="6"/>
        <v>-167.70000000000002</v>
      </c>
    </row>
    <row r="43" spans="1:13">
      <c r="A43" t="s">
        <v>22</v>
      </c>
      <c r="B43" s="13">
        <v>0</v>
      </c>
      <c r="C43" s="14">
        <f>2200+(0.2*5000*1.21)</f>
        <v>3410</v>
      </c>
      <c r="D43" s="14">
        <f>2200</f>
        <v>2200</v>
      </c>
      <c r="E43" s="15">
        <f>2200</f>
        <v>2200</v>
      </c>
      <c r="H43" t="s">
        <v>28</v>
      </c>
      <c r="I43" s="17">
        <v>0</v>
      </c>
      <c r="J43" s="14">
        <f>2200+(0.2*5000*1.21)</f>
        <v>3410</v>
      </c>
      <c r="K43" s="14">
        <f>2200</f>
        <v>2200</v>
      </c>
      <c r="L43" s="15">
        <f>2200</f>
        <v>2200</v>
      </c>
    </row>
    <row r="44" spans="1:13">
      <c r="A44" t="s">
        <v>23</v>
      </c>
      <c r="B44" s="13">
        <f>SUM(B42:B43)</f>
        <v>-7020</v>
      </c>
      <c r="C44" s="14">
        <f t="shared" ref="C44:E44" si="7">SUM(C42:C43)</f>
        <v>3249.2</v>
      </c>
      <c r="D44" s="14">
        <f t="shared" si="7"/>
        <v>2039.2</v>
      </c>
      <c r="E44" s="15">
        <f t="shared" si="7"/>
        <v>2039.2</v>
      </c>
      <c r="F44" s="2" t="s">
        <v>30</v>
      </c>
      <c r="H44" t="s">
        <v>29</v>
      </c>
      <c r="I44" s="13">
        <f>SUM(I42:I43)</f>
        <v>-8070</v>
      </c>
      <c r="J44" s="14">
        <f t="shared" ref="J44" si="8">SUM(J42:J43)</f>
        <v>3242.3</v>
      </c>
      <c r="K44" s="14">
        <f t="shared" ref="K44" si="9">SUM(K42:K43)</f>
        <v>2032.3</v>
      </c>
      <c r="L44" s="15">
        <f t="shared" ref="L44" si="10">SUM(L42:L43)</f>
        <v>2032.3</v>
      </c>
      <c r="M44" s="2" t="s">
        <v>30</v>
      </c>
    </row>
    <row r="45" spans="1:13">
      <c r="A45" t="s">
        <v>24</v>
      </c>
      <c r="B45" s="7">
        <f>B44/(1+$B$25)^B$41</f>
        <v>-7020</v>
      </c>
      <c r="C45" s="8">
        <f t="shared" ref="C45:E45" si="11">C44/(1+$B$25)^C$41</f>
        <v>3094.4761904761904</v>
      </c>
      <c r="D45" s="8">
        <f t="shared" si="11"/>
        <v>1849.6145124716554</v>
      </c>
      <c r="E45" s="16">
        <f t="shared" si="11"/>
        <v>1761.5376309253859</v>
      </c>
      <c r="F45" s="3">
        <f>SUM(B45:E45)</f>
        <v>-314.37166612676833</v>
      </c>
      <c r="H45" t="s">
        <v>25</v>
      </c>
      <c r="I45" s="7">
        <f>I44/(1+$B$25)^I$41</f>
        <v>-8070</v>
      </c>
      <c r="J45" s="8">
        <f>J44/(1+$B$25)^J$41</f>
        <v>3087.9047619047619</v>
      </c>
      <c r="K45" s="8">
        <f t="shared" ref="K45" si="12">K44/(1+$B$25)^K$41</f>
        <v>1843.3560090702947</v>
      </c>
      <c r="L45" s="16">
        <f t="shared" ref="L45" si="13">L44/(1+$B$25)^L$41</f>
        <v>1755.5771514955186</v>
      </c>
      <c r="M45" s="3">
        <f>SUM(I45:L45)</f>
        <v>-1383.162077529425</v>
      </c>
    </row>
    <row r="46" spans="1:13">
      <c r="E46" s="2" t="s">
        <v>26</v>
      </c>
      <c r="F46" s="10">
        <f>-(F45/B45)</f>
        <v>-4.4782288622046772E-2</v>
      </c>
      <c r="L46" s="2" t="s">
        <v>26</v>
      </c>
      <c r="M46" s="10">
        <f>-(M45/I45)</f>
        <v>-0.1713955486405731</v>
      </c>
    </row>
    <row r="48" spans="1:13">
      <c r="A48" t="s">
        <v>31</v>
      </c>
    </row>
    <row r="50" spans="1:13">
      <c r="B50">
        <v>0</v>
      </c>
      <c r="C50">
        <v>1</v>
      </c>
      <c r="D50">
        <v>2</v>
      </c>
      <c r="E50">
        <v>3</v>
      </c>
      <c r="I50">
        <v>0</v>
      </c>
      <c r="J50">
        <v>1</v>
      </c>
      <c r="K50">
        <v>2</v>
      </c>
      <c r="L50">
        <v>3</v>
      </c>
    </row>
    <row r="51" spans="1:13">
      <c r="A51" t="s">
        <v>32</v>
      </c>
      <c r="B51" s="4">
        <f>B44</f>
        <v>-7020</v>
      </c>
      <c r="C51" s="5">
        <f t="shared" ref="C51:E51" si="14">C44</f>
        <v>3249.2</v>
      </c>
      <c r="D51" s="5">
        <f t="shared" si="14"/>
        <v>2039.2</v>
      </c>
      <c r="E51" s="6">
        <f t="shared" si="14"/>
        <v>2039.2</v>
      </c>
      <c r="H51" t="s">
        <v>33</v>
      </c>
      <c r="I51" s="4">
        <f>I44</f>
        <v>-8070</v>
      </c>
      <c r="J51" s="5">
        <f t="shared" ref="J51:L51" si="15">J44</f>
        <v>3242.3</v>
      </c>
      <c r="K51" s="5">
        <f t="shared" si="15"/>
        <v>2032.3</v>
      </c>
      <c r="L51" s="6">
        <f t="shared" si="15"/>
        <v>2032.3</v>
      </c>
    </row>
    <row r="52" spans="1:13">
      <c r="A52" t="s">
        <v>34</v>
      </c>
      <c r="B52" s="13">
        <v>0</v>
      </c>
      <c r="C52" s="14">
        <f>-500</f>
        <v>-500</v>
      </c>
      <c r="D52" s="14">
        <f t="shared" ref="D52:E52" si="16">-500</f>
        <v>-500</v>
      </c>
      <c r="E52" s="15">
        <f t="shared" si="16"/>
        <v>-500</v>
      </c>
      <c r="H52" t="s">
        <v>36</v>
      </c>
      <c r="I52" s="13">
        <v>0</v>
      </c>
      <c r="J52" s="14">
        <v>0</v>
      </c>
      <c r="K52" s="14">
        <v>0</v>
      </c>
      <c r="L52" s="15">
        <v>0</v>
      </c>
    </row>
    <row r="53" spans="1:13">
      <c r="A53" t="s">
        <v>35</v>
      </c>
      <c r="B53" s="13">
        <v>0</v>
      </c>
      <c r="C53" s="14">
        <f>0.21*5000+(13.4-8.3)*12+100</f>
        <v>1211.2</v>
      </c>
      <c r="D53" s="14">
        <f>(13.4-8.3)*12+100</f>
        <v>161.19999999999999</v>
      </c>
      <c r="E53" s="15">
        <f>(13.4-8.3)*12+100</f>
        <v>161.19999999999999</v>
      </c>
      <c r="H53" t="s">
        <v>37</v>
      </c>
      <c r="I53" s="13">
        <v>0</v>
      </c>
      <c r="J53" s="14">
        <f>0.21*5000+(13.4-8.3)*12+100</f>
        <v>1211.2</v>
      </c>
      <c r="K53" s="14">
        <f>(13.4-8.3)*12+100</f>
        <v>161.19999999999999</v>
      </c>
      <c r="L53" s="15">
        <f>(13.4-8.3)*12+100</f>
        <v>161.19999999999999</v>
      </c>
    </row>
    <row r="54" spans="1:13">
      <c r="A54" t="s">
        <v>38</v>
      </c>
      <c r="B54" s="13">
        <f>SUM(B51:B53)</f>
        <v>-7020</v>
      </c>
      <c r="C54" s="14">
        <f t="shared" ref="C54:E54" si="17">SUM(C51:C53)</f>
        <v>3960.3999999999996</v>
      </c>
      <c r="D54" s="14">
        <f t="shared" si="17"/>
        <v>1700.4</v>
      </c>
      <c r="E54" s="15">
        <f t="shared" si="17"/>
        <v>1700.4</v>
      </c>
      <c r="F54" s="2" t="s">
        <v>30</v>
      </c>
      <c r="H54" t="s">
        <v>39</v>
      </c>
      <c r="I54" s="13">
        <f>SUM(I51:I53)</f>
        <v>-8070</v>
      </c>
      <c r="J54" s="14">
        <f t="shared" ref="J54" si="18">SUM(J51:J53)</f>
        <v>4453.5</v>
      </c>
      <c r="K54" s="14">
        <f t="shared" ref="K54" si="19">SUM(K51:K53)</f>
        <v>2193.5</v>
      </c>
      <c r="L54" s="15">
        <f t="shared" ref="L54" si="20">SUM(L51:L53)</f>
        <v>2193.5</v>
      </c>
      <c r="M54" s="2" t="s">
        <v>30</v>
      </c>
    </row>
    <row r="55" spans="1:13">
      <c r="A55" t="s">
        <v>61</v>
      </c>
      <c r="B55" s="7">
        <f>B54/(1+$B$25)^B$50</f>
        <v>-7020</v>
      </c>
      <c r="C55" s="8">
        <f t="shared" ref="C55:E55" si="21">C54/(1+$B$25)^C$50</f>
        <v>3771.8095238095234</v>
      </c>
      <c r="D55" s="8">
        <f t="shared" si="21"/>
        <v>1542.312925170068</v>
      </c>
      <c r="E55" s="16">
        <f t="shared" si="21"/>
        <v>1468.8694525429219</v>
      </c>
      <c r="F55" s="3">
        <f>SUM(B55:E55)</f>
        <v>-237.00809847748678</v>
      </c>
      <c r="H55" t="s">
        <v>62</v>
      </c>
      <c r="I55" s="7">
        <f>I54/(1+$B$25)^I$50</f>
        <v>-8070</v>
      </c>
      <c r="J55" s="8">
        <f t="shared" ref="J55" si="22">J54/(1+$B$25)^J$50</f>
        <v>4241.4285714285716</v>
      </c>
      <c r="K55" s="8">
        <f t="shared" ref="K55" si="23">K54/(1+$B$25)^K$50</f>
        <v>1989.5691609977323</v>
      </c>
      <c r="L55" s="16">
        <f t="shared" ref="L55" si="24">L54/(1+$B$25)^L$50</f>
        <v>1894.8277723787926</v>
      </c>
      <c r="M55" s="3">
        <f>SUM(I55:L55)</f>
        <v>55.825504805096443</v>
      </c>
    </row>
    <row r="56" spans="1:13">
      <c r="E56" s="2" t="s">
        <v>26</v>
      </c>
      <c r="F56" s="10">
        <f>-(F55/B55)</f>
        <v>-3.3761837389955383E-2</v>
      </c>
      <c r="L56" s="2" t="s">
        <v>26</v>
      </c>
      <c r="M56" s="10">
        <f>-(M55/I55)</f>
        <v>6.9176585879921247E-3</v>
      </c>
    </row>
    <row r="58" spans="1:13">
      <c r="A58" s="2" t="s">
        <v>70</v>
      </c>
    </row>
    <row r="60" spans="1:13">
      <c r="B60">
        <v>0</v>
      </c>
      <c r="C60">
        <v>1</v>
      </c>
      <c r="D60">
        <v>2</v>
      </c>
      <c r="E60">
        <v>3</v>
      </c>
      <c r="F60">
        <v>4</v>
      </c>
      <c r="I60">
        <v>0</v>
      </c>
      <c r="J60">
        <v>1</v>
      </c>
      <c r="K60">
        <v>2</v>
      </c>
      <c r="L60">
        <v>3</v>
      </c>
      <c r="M60">
        <v>4</v>
      </c>
    </row>
    <row r="61" spans="1:13">
      <c r="A61" t="s">
        <v>21</v>
      </c>
      <c r="B61" s="4">
        <f>-5000*1.21-20-850-100</f>
        <v>-7020</v>
      </c>
      <c r="C61" s="11">
        <f>-13.4*12</f>
        <v>-160.80000000000001</v>
      </c>
      <c r="D61" s="11">
        <f>-13.4*12</f>
        <v>-160.80000000000001</v>
      </c>
      <c r="E61" s="11">
        <f>-13.4*12</f>
        <v>-160.80000000000001</v>
      </c>
      <c r="F61" s="12">
        <f>-13.4*12</f>
        <v>-160.80000000000001</v>
      </c>
      <c r="H61" t="s">
        <v>27</v>
      </c>
      <c r="I61" s="4">
        <f>-5000*1.21-2000-20</f>
        <v>-8070</v>
      </c>
      <c r="J61" s="11">
        <f>-13.4*12-6.9</f>
        <v>-167.70000000000002</v>
      </c>
      <c r="K61" s="11">
        <f t="shared" ref="K61:M61" si="25">-13.4*12-6.9</f>
        <v>-167.70000000000002</v>
      </c>
      <c r="L61" s="11">
        <f t="shared" si="25"/>
        <v>-167.70000000000002</v>
      </c>
      <c r="M61" s="12">
        <f t="shared" si="25"/>
        <v>-167.70000000000002</v>
      </c>
    </row>
    <row r="62" spans="1:13">
      <c r="A62" t="s">
        <v>22</v>
      </c>
      <c r="B62" s="13">
        <v>0</v>
      </c>
      <c r="C62" s="14">
        <f>2200+(0.2*5000*1.21)</f>
        <v>3410</v>
      </c>
      <c r="D62" s="14">
        <f>2200</f>
        <v>2200</v>
      </c>
      <c r="E62" s="14">
        <f>2200</f>
        <v>2200</v>
      </c>
      <c r="F62" s="15">
        <f>2200</f>
        <v>2200</v>
      </c>
      <c r="H62" t="s">
        <v>28</v>
      </c>
      <c r="I62" s="17">
        <v>0</v>
      </c>
      <c r="J62" s="14">
        <f>2200+(0.2*5000*1.21)</f>
        <v>3410</v>
      </c>
      <c r="K62" s="14">
        <f>2200</f>
        <v>2200</v>
      </c>
      <c r="L62" s="14">
        <f>2200</f>
        <v>2200</v>
      </c>
      <c r="M62" s="15">
        <f>2200</f>
        <v>2200</v>
      </c>
    </row>
    <row r="63" spans="1:13">
      <c r="A63" t="s">
        <v>23</v>
      </c>
      <c r="B63" s="13">
        <f>SUM(B61:B62)</f>
        <v>-7020</v>
      </c>
      <c r="C63" s="14">
        <f t="shared" ref="C63:F63" si="26">SUM(C61:C62)</f>
        <v>3249.2</v>
      </c>
      <c r="D63" s="14">
        <f t="shared" si="26"/>
        <v>2039.2</v>
      </c>
      <c r="E63" s="26">
        <f t="shared" si="26"/>
        <v>2039.2</v>
      </c>
      <c r="F63" s="15">
        <f t="shared" si="26"/>
        <v>2039.2</v>
      </c>
      <c r="H63" t="s">
        <v>29</v>
      </c>
      <c r="I63" s="13">
        <f>SUM(I61:I62)</f>
        <v>-8070</v>
      </c>
      <c r="J63" s="14">
        <f t="shared" ref="J63:K63" si="27">SUM(J61:J62)</f>
        <v>3242.3</v>
      </c>
      <c r="K63" s="14">
        <f t="shared" si="27"/>
        <v>2032.3</v>
      </c>
      <c r="L63" s="14">
        <f t="shared" ref="L63:M63" si="28">SUM(L61:L62)</f>
        <v>2032.3</v>
      </c>
      <c r="M63" s="27">
        <f t="shared" si="28"/>
        <v>2032.3</v>
      </c>
    </row>
    <row r="64" spans="1:13">
      <c r="A64" t="s">
        <v>24</v>
      </c>
      <c r="B64" s="7">
        <f>B63/(1+$B$25)^B$60</f>
        <v>-7020</v>
      </c>
      <c r="C64" s="8">
        <f>C63/(1+$B$25)^C$60</f>
        <v>3094.4761904761904</v>
      </c>
      <c r="D64" s="8">
        <f t="shared" ref="D64:E64" si="29">D63/(1+$B$25)^D$60</f>
        <v>1849.6145124716554</v>
      </c>
      <c r="E64" s="8">
        <f t="shared" si="29"/>
        <v>1761.5376309253859</v>
      </c>
      <c r="F64" s="28">
        <f>F63/(1+$B$25)^F$60</f>
        <v>1677.6548865956058</v>
      </c>
      <c r="H64" t="s">
        <v>25</v>
      </c>
      <c r="I64" s="7">
        <f>I63/(1+$B$25)^I$60</f>
        <v>-8070</v>
      </c>
      <c r="J64" s="8">
        <f>J63/(1+$B$25)^J$60</f>
        <v>3087.9047619047619</v>
      </c>
      <c r="K64" s="8">
        <f t="shared" ref="K64:M64" si="30">K63/(1+$B$25)^K$60</f>
        <v>1843.3560090702947</v>
      </c>
      <c r="L64" s="8">
        <f t="shared" si="30"/>
        <v>1755.5771514955186</v>
      </c>
      <c r="M64" s="28">
        <f t="shared" si="30"/>
        <v>1671.9782395195416</v>
      </c>
    </row>
    <row r="67" spans="1:9">
      <c r="A67" s="2" t="s">
        <v>71</v>
      </c>
    </row>
    <row r="69" spans="1:9">
      <c r="A69" t="s">
        <v>59</v>
      </c>
      <c r="B69" t="s">
        <v>54</v>
      </c>
      <c r="C69" t="s">
        <v>55</v>
      </c>
      <c r="D69" t="s">
        <v>56</v>
      </c>
      <c r="F69" t="s">
        <v>59</v>
      </c>
      <c r="G69" t="s">
        <v>54</v>
      </c>
      <c r="H69" t="s">
        <v>55</v>
      </c>
      <c r="I69" t="s">
        <v>56</v>
      </c>
    </row>
    <row r="70" spans="1:9">
      <c r="A70" t="s">
        <v>24</v>
      </c>
      <c r="B70" s="29">
        <f>F31</f>
        <v>7457.8982831227722</v>
      </c>
      <c r="C70" s="30">
        <v>600</v>
      </c>
      <c r="D70" s="32">
        <f>B70/C70</f>
        <v>12.429830471871288</v>
      </c>
      <c r="E70" s="14"/>
      <c r="F70" s="14" t="s">
        <v>25</v>
      </c>
      <c r="G70" s="29">
        <f>F34</f>
        <v>8526.68869452543</v>
      </c>
      <c r="H70" s="30">
        <v>700</v>
      </c>
      <c r="I70" s="31">
        <f>G70/H70</f>
        <v>12.180983849322043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2"/>
  <sheetViews>
    <sheetView zoomScaleNormal="100" workbookViewId="0"/>
  </sheetViews>
  <sheetFormatPr defaultRowHeight="14.4"/>
  <sheetData>
    <row r="1" spans="1:7">
      <c r="A1" t="s">
        <v>74</v>
      </c>
    </row>
    <row r="3" spans="1:7">
      <c r="A3" t="s">
        <v>41</v>
      </c>
    </row>
    <row r="5" spans="1:7">
      <c r="A5" s="18" t="s">
        <v>42</v>
      </c>
    </row>
    <row r="6" spans="1:7">
      <c r="B6" t="s">
        <v>43</v>
      </c>
    </row>
    <row r="7" spans="1:7">
      <c r="A7" s="19" t="s">
        <v>44</v>
      </c>
    </row>
    <row r="9" spans="1:7">
      <c r="A9" t="s">
        <v>0</v>
      </c>
    </row>
    <row r="11" spans="1:7">
      <c r="A11" t="s">
        <v>1</v>
      </c>
    </row>
    <row r="13" spans="1:7">
      <c r="A13" t="s">
        <v>14</v>
      </c>
      <c r="B13" t="s">
        <v>98</v>
      </c>
    </row>
    <row r="14" spans="1:7">
      <c r="A14" t="s">
        <v>18</v>
      </c>
      <c r="B14" t="s">
        <v>45</v>
      </c>
    </row>
    <row r="15" spans="1:7">
      <c r="A15" t="s">
        <v>49</v>
      </c>
      <c r="B15" t="s">
        <v>65</v>
      </c>
    </row>
    <row r="16" spans="1:7">
      <c r="A16" t="s">
        <v>14</v>
      </c>
      <c r="B16" s="20" t="s">
        <v>46</v>
      </c>
      <c r="C16" s="20"/>
      <c r="D16" s="20"/>
      <c r="E16" s="20"/>
      <c r="F16" s="20"/>
      <c r="G16" s="20"/>
    </row>
    <row r="17" spans="1:7">
      <c r="A17" t="s">
        <v>49</v>
      </c>
      <c r="B17" s="20" t="s">
        <v>47</v>
      </c>
      <c r="C17" s="20"/>
      <c r="D17" s="20"/>
      <c r="E17" s="20"/>
      <c r="F17" s="20"/>
      <c r="G17" s="20"/>
    </row>
    <row r="18" spans="1:7">
      <c r="A18" t="s">
        <v>49</v>
      </c>
      <c r="B18" s="22" t="s">
        <v>100</v>
      </c>
      <c r="C18" s="20"/>
      <c r="D18" s="20"/>
      <c r="E18" s="20"/>
      <c r="F18" s="20"/>
      <c r="G18" s="20"/>
    </row>
    <row r="19" spans="1:7">
      <c r="A19" t="s">
        <v>15</v>
      </c>
      <c r="B19" t="s">
        <v>48</v>
      </c>
    </row>
    <row r="20" spans="1:7">
      <c r="A20" t="s">
        <v>50</v>
      </c>
      <c r="B20" t="s">
        <v>99</v>
      </c>
    </row>
    <row r="22" spans="1:7">
      <c r="A22" t="s">
        <v>12</v>
      </c>
      <c r="B22" s="1">
        <v>0.08</v>
      </c>
    </row>
    <row r="24" spans="1:7">
      <c r="A24" s="2" t="s">
        <v>66</v>
      </c>
    </row>
    <row r="26" spans="1:7">
      <c r="B26">
        <v>0</v>
      </c>
      <c r="C26">
        <v>1</v>
      </c>
      <c r="D26">
        <v>2</v>
      </c>
      <c r="E26">
        <v>3</v>
      </c>
      <c r="F26" t="s">
        <v>51</v>
      </c>
    </row>
    <row r="27" spans="1:7">
      <c r="A27" t="s">
        <v>18</v>
      </c>
      <c r="B27" s="4">
        <f>1500+1000+150</f>
        <v>2650</v>
      </c>
      <c r="C27" s="5">
        <f>15*1.34*2*4</f>
        <v>160.80000000000001</v>
      </c>
      <c r="D27" s="5">
        <f>15*1.34*2*4</f>
        <v>160.80000000000001</v>
      </c>
      <c r="E27" s="6">
        <f>15*1.34*2*4</f>
        <v>160.80000000000001</v>
      </c>
      <c r="F27" s="3">
        <f>SUM(B27:E27)</f>
        <v>3132.4000000000005</v>
      </c>
    </row>
    <row r="28" spans="1:7">
      <c r="A28" t="s">
        <v>16</v>
      </c>
      <c r="B28" s="7">
        <v>1650</v>
      </c>
      <c r="C28" s="8">
        <v>0</v>
      </c>
      <c r="D28" s="8">
        <v>0</v>
      </c>
      <c r="E28" s="16">
        <v>0</v>
      </c>
      <c r="F28" s="3">
        <f>SUM(B28:E28)</f>
        <v>1650</v>
      </c>
    </row>
    <row r="29" spans="1:7">
      <c r="A29" t="s">
        <v>24</v>
      </c>
      <c r="B29" s="14">
        <f>B27/(1+$B$22)^B$26</f>
        <v>2650</v>
      </c>
      <c r="C29" s="14">
        <f t="shared" ref="C29:E29" si="0">C27/(1+$B$22)^C$26</f>
        <v>148.88888888888889</v>
      </c>
      <c r="D29" s="14">
        <f t="shared" si="0"/>
        <v>137.86008230452674</v>
      </c>
      <c r="E29" s="14">
        <f t="shared" si="0"/>
        <v>127.64822435604327</v>
      </c>
      <c r="F29" s="21">
        <f>SUM(B29:E29)</f>
        <v>3064.3971955494585</v>
      </c>
    </row>
    <row r="32" spans="1:7">
      <c r="A32" s="2" t="s">
        <v>67</v>
      </c>
    </row>
    <row r="34" spans="1:13">
      <c r="A34" t="s">
        <v>52</v>
      </c>
    </row>
    <row r="36" spans="1:13">
      <c r="B36">
        <v>0</v>
      </c>
      <c r="C36">
        <v>1</v>
      </c>
      <c r="D36">
        <v>2</v>
      </c>
      <c r="E36">
        <v>3</v>
      </c>
      <c r="I36">
        <v>0</v>
      </c>
      <c r="J36">
        <v>1</v>
      </c>
      <c r="K36">
        <v>2</v>
      </c>
      <c r="L36">
        <v>3</v>
      </c>
    </row>
    <row r="37" spans="1:13">
      <c r="A37" t="s">
        <v>21</v>
      </c>
      <c r="B37" s="4">
        <f>-1500-1000-150</f>
        <v>-2650</v>
      </c>
      <c r="C37" s="11">
        <f>-15*1.34*2*4</f>
        <v>-160.80000000000001</v>
      </c>
      <c r="D37" s="11">
        <f>-15*1.34*2*4</f>
        <v>-160.80000000000001</v>
      </c>
      <c r="E37" s="12">
        <f>-15*1.34*2*4</f>
        <v>-160.80000000000001</v>
      </c>
      <c r="H37" t="s">
        <v>27</v>
      </c>
      <c r="I37" s="4">
        <v>-1650</v>
      </c>
      <c r="J37" s="11">
        <v>0</v>
      </c>
      <c r="K37" s="11">
        <v>0</v>
      </c>
      <c r="L37" s="12">
        <v>0</v>
      </c>
    </row>
    <row r="38" spans="1:13">
      <c r="A38" t="s">
        <v>22</v>
      </c>
      <c r="B38" s="13">
        <v>0</v>
      </c>
      <c r="C38" s="14">
        <f>300*4+0.2*500+1500*0.5</f>
        <v>2050</v>
      </c>
      <c r="D38" s="14">
        <f>300*4+0.2*500</f>
        <v>1300</v>
      </c>
      <c r="E38" s="15">
        <f>300*4+0.2*500</f>
        <v>1300</v>
      </c>
      <c r="H38" t="s">
        <v>28</v>
      </c>
      <c r="I38" s="13">
        <v>0</v>
      </c>
      <c r="J38" s="14">
        <f>0.2*2000+1500*0.5</f>
        <v>1150</v>
      </c>
      <c r="K38" s="14">
        <f>0.2*2000</f>
        <v>400</v>
      </c>
      <c r="L38" s="15">
        <f>0.2*2000</f>
        <v>400</v>
      </c>
    </row>
    <row r="39" spans="1:13">
      <c r="A39" t="s">
        <v>23</v>
      </c>
      <c r="B39" s="13">
        <f>SUM(B37:B38)</f>
        <v>-2650</v>
      </c>
      <c r="C39" s="14">
        <f t="shared" ref="C39:E39" si="1">SUM(C37:C38)</f>
        <v>1889.2</v>
      </c>
      <c r="D39" s="14">
        <f t="shared" si="1"/>
        <v>1139.2</v>
      </c>
      <c r="E39" s="15">
        <f t="shared" si="1"/>
        <v>1139.2</v>
      </c>
      <c r="F39" s="2" t="s">
        <v>30</v>
      </c>
      <c r="H39" t="s">
        <v>29</v>
      </c>
      <c r="I39" s="13">
        <f>SUM(I36:I38)</f>
        <v>-1650</v>
      </c>
      <c r="J39" s="14">
        <f t="shared" ref="J39" si="2">SUM(J37:J38)</f>
        <v>1150</v>
      </c>
      <c r="K39" s="14">
        <f t="shared" ref="K39" si="3">SUM(K37:K38)</f>
        <v>400</v>
      </c>
      <c r="L39" s="15">
        <f t="shared" ref="L39" si="4">SUM(L37:L38)</f>
        <v>400</v>
      </c>
      <c r="M39" s="2" t="s">
        <v>30</v>
      </c>
    </row>
    <row r="40" spans="1:13">
      <c r="A40" t="s">
        <v>24</v>
      </c>
      <c r="B40" s="7">
        <f>B39/(1+$B$22)^B$36</f>
        <v>-2650</v>
      </c>
      <c r="C40" s="8">
        <f>C39/(1+$B$22)^C$36</f>
        <v>1749.2592592592591</v>
      </c>
      <c r="D40" s="8">
        <f>D39/(1+$B$22)^D$36</f>
        <v>976.68038408779148</v>
      </c>
      <c r="E40" s="16">
        <f>E39/(1+$B$22)^E$36</f>
        <v>904.33368897017726</v>
      </c>
      <c r="F40" s="3">
        <f>SUM(B40:E40)</f>
        <v>980.27333231722787</v>
      </c>
      <c r="H40" t="s">
        <v>25</v>
      </c>
      <c r="I40" s="7">
        <f>I39/(1+$B$22)^I$36</f>
        <v>-1650</v>
      </c>
      <c r="J40" s="8">
        <f>J39/(1+$B$22)^J$36</f>
        <v>1064.8148148148148</v>
      </c>
      <c r="K40" s="8">
        <f>K39/(1+$B$22)^K$36</f>
        <v>342.93552812071329</v>
      </c>
      <c r="L40" s="16">
        <f>L39/(1+$B$22)^L$36</f>
        <v>317.53289640806781</v>
      </c>
      <c r="M40" s="3">
        <f>SUM(I40:L40)</f>
        <v>75.283239343595881</v>
      </c>
    </row>
    <row r="41" spans="1:13">
      <c r="E41" s="2" t="s">
        <v>26</v>
      </c>
      <c r="F41" s="10">
        <f>-(F40/B40)</f>
        <v>0.36991446502536901</v>
      </c>
      <c r="L41" s="2" t="s">
        <v>26</v>
      </c>
      <c r="M41" s="10">
        <f>-(M40/I40)</f>
        <v>4.5626205662785385E-2</v>
      </c>
    </row>
    <row r="43" spans="1:13">
      <c r="A43" t="s">
        <v>31</v>
      </c>
    </row>
    <row r="45" spans="1:13">
      <c r="B45">
        <v>0</v>
      </c>
      <c r="C45">
        <v>1</v>
      </c>
      <c r="D45">
        <v>2</v>
      </c>
      <c r="E45">
        <v>3</v>
      </c>
      <c r="I45">
        <v>0</v>
      </c>
      <c r="J45">
        <v>1</v>
      </c>
      <c r="K45">
        <v>2</v>
      </c>
      <c r="L45">
        <v>3</v>
      </c>
    </row>
    <row r="46" spans="1:13">
      <c r="A46" t="s">
        <v>32</v>
      </c>
      <c r="B46" s="4">
        <f>B39</f>
        <v>-2650</v>
      </c>
      <c r="C46" s="5">
        <f t="shared" ref="C46:E46" si="5">C39</f>
        <v>1889.2</v>
      </c>
      <c r="D46" s="5">
        <f t="shared" si="5"/>
        <v>1139.2</v>
      </c>
      <c r="E46" s="6">
        <f t="shared" si="5"/>
        <v>1139.2</v>
      </c>
      <c r="H46" t="s">
        <v>33</v>
      </c>
      <c r="I46" s="4">
        <f>I39</f>
        <v>-1650</v>
      </c>
      <c r="J46" s="5">
        <f t="shared" ref="J46:L46" si="6">J39</f>
        <v>1150</v>
      </c>
      <c r="K46" s="5">
        <f t="shared" si="6"/>
        <v>400</v>
      </c>
      <c r="L46" s="6">
        <f t="shared" si="6"/>
        <v>400</v>
      </c>
    </row>
    <row r="47" spans="1:13">
      <c r="A47" t="s">
        <v>34</v>
      </c>
      <c r="B47" s="13">
        <v>0</v>
      </c>
      <c r="C47" s="14">
        <v>-150</v>
      </c>
      <c r="D47" s="14">
        <v>-150</v>
      </c>
      <c r="E47" s="15">
        <v>-150</v>
      </c>
      <c r="H47" t="s">
        <v>36</v>
      </c>
      <c r="I47" s="13">
        <v>0</v>
      </c>
      <c r="J47" s="14">
        <v>0</v>
      </c>
      <c r="K47" s="14">
        <v>0</v>
      </c>
      <c r="L47" s="15">
        <v>0</v>
      </c>
    </row>
    <row r="48" spans="1:13">
      <c r="A48" t="s">
        <v>35</v>
      </c>
      <c r="B48" s="13">
        <v>0</v>
      </c>
      <c r="C48" s="14">
        <f>(15*1.34-12.75)*2*4</f>
        <v>58.800000000000011</v>
      </c>
      <c r="D48" s="14">
        <f>(15*1.34-12.75)*2*4</f>
        <v>58.800000000000011</v>
      </c>
      <c r="E48" s="15">
        <f>(15*1.34-12.75)*2*4</f>
        <v>58.800000000000011</v>
      </c>
      <c r="F48" s="2"/>
      <c r="H48" t="s">
        <v>37</v>
      </c>
      <c r="I48" s="13">
        <v>0</v>
      </c>
      <c r="J48" s="14">
        <v>0</v>
      </c>
      <c r="K48" s="14">
        <v>0</v>
      </c>
      <c r="L48" s="15">
        <v>0</v>
      </c>
      <c r="M48" s="2"/>
    </row>
    <row r="49" spans="1:13">
      <c r="A49" t="s">
        <v>38</v>
      </c>
      <c r="B49" s="13">
        <f>SUM(B45:B48)</f>
        <v>-2650</v>
      </c>
      <c r="C49" s="14">
        <f t="shared" ref="C49:D49" si="7">SUM(C46:C48)</f>
        <v>1798</v>
      </c>
      <c r="D49" s="14">
        <f t="shared" si="7"/>
        <v>1048</v>
      </c>
      <c r="E49" s="15">
        <f>SUM(E46:E48)</f>
        <v>1048</v>
      </c>
      <c r="F49" s="2" t="s">
        <v>30</v>
      </c>
      <c r="H49" t="s">
        <v>39</v>
      </c>
      <c r="I49" s="13">
        <f>SUM(I46:I48)</f>
        <v>-1650</v>
      </c>
      <c r="J49" s="14">
        <f t="shared" ref="J49:L49" si="8">SUM(J46:J48)</f>
        <v>1150</v>
      </c>
      <c r="K49" s="14">
        <f t="shared" si="8"/>
        <v>400</v>
      </c>
      <c r="L49" s="15">
        <f t="shared" si="8"/>
        <v>400</v>
      </c>
      <c r="M49" s="2" t="s">
        <v>30</v>
      </c>
    </row>
    <row r="50" spans="1:13">
      <c r="A50" t="s">
        <v>61</v>
      </c>
      <c r="B50" s="7">
        <f>B49/(1+$B$22)^B$45</f>
        <v>-2650</v>
      </c>
      <c r="C50" s="8">
        <f>C49/(1+$B$22)^C$45</f>
        <v>1664.8148148148148</v>
      </c>
      <c r="D50" s="8">
        <f>D49/(1+$B$22)^D$45</f>
        <v>898.49108367626877</v>
      </c>
      <c r="E50" s="16">
        <f>E49/(1+$B$22)^E$45</f>
        <v>831.93618858913771</v>
      </c>
      <c r="F50" s="3">
        <f>SUM(B50:E50)</f>
        <v>745.24208708022127</v>
      </c>
      <c r="H50" t="s">
        <v>62</v>
      </c>
      <c r="I50" s="7">
        <f>I49/(1+$B$22)^I$45</f>
        <v>-1650</v>
      </c>
      <c r="J50" s="8">
        <f>J49/(1+$B$22)^J$45</f>
        <v>1064.8148148148148</v>
      </c>
      <c r="K50" s="8">
        <f>K49/(1+$B$22)^K$45</f>
        <v>342.93552812071329</v>
      </c>
      <c r="L50" s="16">
        <f>L49/(1+$B$22)^L$45</f>
        <v>317.53289640806781</v>
      </c>
      <c r="M50" s="3">
        <f>SUM(I50:L50)</f>
        <v>75.283239343595881</v>
      </c>
    </row>
    <row r="51" spans="1:13">
      <c r="E51" s="2" t="s">
        <v>26</v>
      </c>
      <c r="F51" s="10">
        <f>-(F50/B50)</f>
        <v>0.28122342908687598</v>
      </c>
      <c r="L51" s="2" t="s">
        <v>26</v>
      </c>
      <c r="M51" s="10">
        <f>-(M50/I50)</f>
        <v>4.5626205662785385E-2</v>
      </c>
    </row>
    <row r="53" spans="1:13">
      <c r="A53" s="2" t="s">
        <v>53</v>
      </c>
    </row>
    <row r="54" spans="1:13">
      <c r="B54" s="2" t="s">
        <v>73</v>
      </c>
    </row>
    <row r="56" spans="1:13">
      <c r="A56" t="s">
        <v>59</v>
      </c>
      <c r="B56" t="s">
        <v>54</v>
      </c>
      <c r="C56" t="s">
        <v>55</v>
      </c>
      <c r="D56" t="s">
        <v>56</v>
      </c>
      <c r="F56" t="s">
        <v>59</v>
      </c>
      <c r="G56" t="s">
        <v>54</v>
      </c>
      <c r="H56" t="s">
        <v>55</v>
      </c>
      <c r="I56" t="s">
        <v>56</v>
      </c>
    </row>
    <row r="57" spans="1:13">
      <c r="A57" t="s">
        <v>57</v>
      </c>
      <c r="B57" s="4">
        <f>F27</f>
        <v>3132.4000000000005</v>
      </c>
      <c r="C57" s="6">
        <v>88</v>
      </c>
      <c r="D57" s="23">
        <f>B57/C57</f>
        <v>35.595454545454551</v>
      </c>
      <c r="E57" s="14"/>
      <c r="F57" s="14" t="s">
        <v>58</v>
      </c>
      <c r="G57" s="4">
        <f>F28</f>
        <v>1650</v>
      </c>
      <c r="H57" s="6">
        <v>47</v>
      </c>
      <c r="I57" s="24">
        <f>G57/H57</f>
        <v>35.106382978723403</v>
      </c>
    </row>
    <row r="58" spans="1:13">
      <c r="A58" t="s">
        <v>24</v>
      </c>
      <c r="B58" s="7">
        <f>F29</f>
        <v>3064.3971955494585</v>
      </c>
      <c r="C58" s="16">
        <v>88</v>
      </c>
      <c r="D58" s="24">
        <f>B58/C58</f>
        <v>34.822695403971117</v>
      </c>
      <c r="E58" s="14"/>
      <c r="F58" s="14" t="s">
        <v>25</v>
      </c>
      <c r="G58" s="7">
        <f>F28</f>
        <v>1650</v>
      </c>
      <c r="H58" s="16">
        <v>47</v>
      </c>
      <c r="I58" s="23">
        <f>G58/H58</f>
        <v>35.106382978723403</v>
      </c>
    </row>
    <row r="60" spans="1:13">
      <c r="A60" t="s">
        <v>60</v>
      </c>
      <c r="B60" t="s">
        <v>54</v>
      </c>
      <c r="C60" t="s">
        <v>55</v>
      </c>
      <c r="D60" t="s">
        <v>56</v>
      </c>
      <c r="F60" t="s">
        <v>60</v>
      </c>
      <c r="G60" t="s">
        <v>54</v>
      </c>
      <c r="H60" t="s">
        <v>55</v>
      </c>
      <c r="I60" t="s">
        <v>56</v>
      </c>
    </row>
    <row r="61" spans="1:13">
      <c r="A61" t="s">
        <v>57</v>
      </c>
      <c r="B61" s="4">
        <f>F27</f>
        <v>3132.4000000000005</v>
      </c>
      <c r="C61" s="6">
        <v>500</v>
      </c>
      <c r="D61" s="23">
        <f>B61/C61</f>
        <v>6.264800000000001</v>
      </c>
      <c r="E61" s="14"/>
      <c r="F61" s="14" t="s">
        <v>58</v>
      </c>
      <c r="G61" s="4">
        <f>F28</f>
        <v>1650</v>
      </c>
      <c r="H61" s="6">
        <v>2000</v>
      </c>
      <c r="I61" s="24">
        <f>G61/H61</f>
        <v>0.82499999999999996</v>
      </c>
    </row>
    <row r="62" spans="1:13">
      <c r="A62" t="s">
        <v>24</v>
      </c>
      <c r="B62" s="7">
        <f>F29</f>
        <v>3064.3971955494585</v>
      </c>
      <c r="C62" s="16">
        <v>500</v>
      </c>
      <c r="D62" s="23">
        <f>B62/C62</f>
        <v>6.1287943910989169</v>
      </c>
      <c r="E62" s="14"/>
      <c r="F62" s="14" t="s">
        <v>25</v>
      </c>
      <c r="G62" s="7">
        <f>F28</f>
        <v>1650</v>
      </c>
      <c r="H62" s="16">
        <v>2000</v>
      </c>
      <c r="I62" s="24">
        <f>G62/H62</f>
        <v>0.82499999999999996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zoomScaleNormal="100" workbookViewId="0"/>
  </sheetViews>
  <sheetFormatPr defaultRowHeight="14.4"/>
  <sheetData>
    <row r="1" spans="1:8">
      <c r="A1" t="s">
        <v>96</v>
      </c>
    </row>
    <row r="3" spans="1:8">
      <c r="A3" t="s">
        <v>75</v>
      </c>
    </row>
    <row r="5" spans="1:8" ht="15.6">
      <c r="B5" s="33" t="s">
        <v>76</v>
      </c>
      <c r="C5" s="33" t="s">
        <v>77</v>
      </c>
      <c r="D5" s="33" t="s">
        <v>78</v>
      </c>
      <c r="E5" s="33" t="s">
        <v>79</v>
      </c>
      <c r="F5" s="33" t="s">
        <v>80</v>
      </c>
      <c r="G5" s="33" t="s">
        <v>81</v>
      </c>
      <c r="H5" s="33" t="s">
        <v>82</v>
      </c>
    </row>
    <row r="6" spans="1:8">
      <c r="B6" s="33" t="s">
        <v>18</v>
      </c>
      <c r="C6" s="34">
        <v>79</v>
      </c>
      <c r="D6" s="35">
        <v>86</v>
      </c>
      <c r="E6" s="35">
        <v>2.2000000000000002</v>
      </c>
      <c r="F6" s="35">
        <v>31</v>
      </c>
      <c r="G6" s="35">
        <v>4</v>
      </c>
      <c r="H6" s="36">
        <v>160</v>
      </c>
    </row>
    <row r="7" spans="1:8">
      <c r="B7" s="33" t="s">
        <v>16</v>
      </c>
      <c r="C7" s="37">
        <v>73</v>
      </c>
      <c r="D7" s="33">
        <v>90</v>
      </c>
      <c r="E7" s="33">
        <v>2</v>
      </c>
      <c r="F7" s="33">
        <v>46</v>
      </c>
      <c r="G7" s="33">
        <v>5</v>
      </c>
      <c r="H7" s="38">
        <v>161</v>
      </c>
    </row>
    <row r="8" spans="1:8">
      <c r="B8" s="33" t="s">
        <v>83</v>
      </c>
      <c r="C8" s="39">
        <v>71</v>
      </c>
      <c r="D8" s="40">
        <v>75</v>
      </c>
      <c r="E8" s="40">
        <v>1.7</v>
      </c>
      <c r="F8" s="40">
        <v>36</v>
      </c>
      <c r="G8" s="40">
        <v>5</v>
      </c>
      <c r="H8" s="41">
        <v>131</v>
      </c>
    </row>
    <row r="10" spans="1:8" s="42" customFormat="1" ht="15.6">
      <c r="C10" s="43" t="s">
        <v>84</v>
      </c>
    </row>
    <row r="11" spans="1:8" s="42" customFormat="1" ht="15.6">
      <c r="C11" s="43" t="s">
        <v>86</v>
      </c>
    </row>
    <row r="12" spans="1:8" s="42" customFormat="1" ht="15.6">
      <c r="C12" s="43" t="s">
        <v>88</v>
      </c>
    </row>
    <row r="13" spans="1:8" s="42" customFormat="1" ht="15.6">
      <c r="C13" s="43" t="s">
        <v>85</v>
      </c>
    </row>
    <row r="14" spans="1:8" s="42" customFormat="1" ht="15.6">
      <c r="C14" s="43" t="s">
        <v>87</v>
      </c>
    </row>
    <row r="15" spans="1:8" s="42" customFormat="1" ht="15.6">
      <c r="C15" s="43" t="s">
        <v>89</v>
      </c>
    </row>
    <row r="18" spans="1:5">
      <c r="A18" s="2" t="s">
        <v>90</v>
      </c>
    </row>
    <row r="19" spans="1:5">
      <c r="B19" t="s">
        <v>18</v>
      </c>
      <c r="C19">
        <f>E6*1000+20*(F6+G6)</f>
        <v>2900</v>
      </c>
    </row>
    <row r="20" spans="1:5">
      <c r="B20" t="s">
        <v>16</v>
      </c>
      <c r="C20">
        <f t="shared" ref="C20:C21" si="0">E7*1000+20*(F7+G7)</f>
        <v>3020</v>
      </c>
    </row>
    <row r="21" spans="1:5">
      <c r="B21" t="s">
        <v>83</v>
      </c>
      <c r="C21" s="44">
        <f t="shared" si="0"/>
        <v>2520</v>
      </c>
    </row>
    <row r="24" spans="1:5">
      <c r="A24" s="2" t="s">
        <v>91</v>
      </c>
    </row>
    <row r="25" spans="1:5">
      <c r="B25" t="s">
        <v>18</v>
      </c>
      <c r="C25" s="44">
        <f>-E6*1000+20*(-F6-G6+H6)</f>
        <v>300</v>
      </c>
    </row>
    <row r="26" spans="1:5">
      <c r="B26" t="s">
        <v>16</v>
      </c>
      <c r="C26">
        <f t="shared" ref="C26:C27" si="1">-E7*1000+20*(-F7-G7+H7)</f>
        <v>200</v>
      </c>
    </row>
    <row r="27" spans="1:5">
      <c r="B27" t="s">
        <v>83</v>
      </c>
      <c r="C27">
        <f t="shared" si="1"/>
        <v>100</v>
      </c>
    </row>
    <row r="29" spans="1:5">
      <c r="A29" s="2" t="s">
        <v>92</v>
      </c>
    </row>
    <row r="30" spans="1:5">
      <c r="C30" t="s">
        <v>93</v>
      </c>
      <c r="D30" t="s">
        <v>94</v>
      </c>
      <c r="E30" t="s">
        <v>95</v>
      </c>
    </row>
    <row r="31" spans="1:5">
      <c r="B31" t="s">
        <v>18</v>
      </c>
      <c r="C31">
        <f>E6*1000+20*(F6+G6)</f>
        <v>2900</v>
      </c>
      <c r="D31" s="45">
        <f>C31/C6</f>
        <v>36.708860759493668</v>
      </c>
      <c r="E31" s="45">
        <f>C31/D6</f>
        <v>33.720930232558139</v>
      </c>
    </row>
    <row r="32" spans="1:5">
      <c r="B32" t="s">
        <v>16</v>
      </c>
      <c r="C32">
        <f t="shared" ref="C32:C33" si="2">E7*1000+20*(F7+G7)</f>
        <v>3020</v>
      </c>
      <c r="D32" s="45">
        <f t="shared" ref="D32" si="3">C32/C7</f>
        <v>41.369863013698627</v>
      </c>
      <c r="E32" s="46">
        <f t="shared" ref="E32:E33" si="4">C32/D7</f>
        <v>33.555555555555557</v>
      </c>
    </row>
    <row r="33" spans="2:5">
      <c r="B33" t="s">
        <v>83</v>
      </c>
      <c r="C33">
        <f t="shared" si="2"/>
        <v>2520</v>
      </c>
      <c r="D33" s="46">
        <f t="shared" ref="D33" si="5">C33/C8</f>
        <v>35.492957746478872</v>
      </c>
      <c r="E33" s="45">
        <f t="shared" si="4"/>
        <v>33.6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P2</vt:lpstr>
      <vt:lpstr>P3</vt:lpstr>
      <vt:lpstr>P4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2013-04-05T10:47:44Z</dcterms:modified>
</cp:coreProperties>
</file>