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730" windowHeight="11760" activeTab="3"/>
  </bookViews>
  <sheets>
    <sheet name="price" sheetId="1" r:id="rId1"/>
    <sheet name="yield, resp. rate of return" sheetId="3" r:id="rId2"/>
    <sheet name="Elasticity" sheetId="4" r:id="rId3"/>
    <sheet name="Dur + Convex" sheetId="5" r:id="rId4"/>
    <sheet name="List5" sheetId="6" r:id="rId5"/>
  </sheets>
  <calcPr calcId="145621"/>
</workbook>
</file>

<file path=xl/calcChain.xml><?xml version="1.0" encoding="utf-8"?>
<calcChain xmlns="http://schemas.openxmlformats.org/spreadsheetml/2006/main">
  <c r="S4" i="4" l="1"/>
  <c r="S5" i="4"/>
  <c r="S6" i="4"/>
  <c r="S7" i="4"/>
  <c r="S8" i="4"/>
  <c r="S9" i="4"/>
  <c r="S10" i="4"/>
  <c r="S11" i="4"/>
  <c r="S12" i="4"/>
  <c r="S13" i="4"/>
  <c r="S14" i="4"/>
  <c r="S15" i="4"/>
  <c r="S16" i="4"/>
  <c r="S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3" i="4"/>
  <c r="O55" i="5"/>
  <c r="L55" i="5"/>
  <c r="L21" i="5"/>
  <c r="S56" i="5"/>
  <c r="S55" i="5"/>
  <c r="R56" i="5"/>
  <c r="R55" i="5"/>
  <c r="O56" i="5"/>
  <c r="L56" i="5"/>
  <c r="O22" i="5"/>
  <c r="S22" i="5"/>
  <c r="S21" i="5"/>
  <c r="O21" i="5"/>
  <c r="N17" i="5"/>
  <c r="N16" i="5"/>
  <c r="N15" i="5"/>
  <c r="J18" i="5"/>
  <c r="J53" i="5"/>
  <c r="O48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27" i="5"/>
  <c r="J51" i="5"/>
  <c r="J50" i="5"/>
  <c r="L48" i="5"/>
  <c r="K48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27" i="5"/>
  <c r="B30" i="5" l="1"/>
  <c r="B29" i="5"/>
  <c r="B28" i="5"/>
  <c r="E28" i="5" s="1"/>
  <c r="C40" i="1"/>
  <c r="A40" i="1"/>
  <c r="C37" i="1"/>
  <c r="A37" i="1"/>
  <c r="R22" i="5"/>
  <c r="R21" i="5"/>
  <c r="T13" i="5"/>
  <c r="T10" i="5"/>
  <c r="S12" i="5"/>
  <c r="S11" i="5"/>
  <c r="L22" i="5"/>
  <c r="O12" i="5"/>
  <c r="N3" i="5"/>
  <c r="N4" i="5"/>
  <c r="N5" i="5"/>
  <c r="N6" i="5"/>
  <c r="N7" i="5"/>
  <c r="N8" i="5"/>
  <c r="N9" i="5"/>
  <c r="N10" i="5"/>
  <c r="N11" i="5"/>
  <c r="N12" i="5"/>
  <c r="N2" i="5"/>
  <c r="J13" i="5"/>
  <c r="L6" i="5"/>
  <c r="L12" i="5"/>
  <c r="K3" i="5"/>
  <c r="O3" i="5" s="1"/>
  <c r="K4" i="5"/>
  <c r="O4" i="5" s="1"/>
  <c r="K5" i="5"/>
  <c r="L5" i="5" s="1"/>
  <c r="K6" i="5"/>
  <c r="O6" i="5" s="1"/>
  <c r="K7" i="5"/>
  <c r="O7" i="5" s="1"/>
  <c r="K8" i="5"/>
  <c r="O8" i="5" s="1"/>
  <c r="K9" i="5"/>
  <c r="L9" i="5" s="1"/>
  <c r="K10" i="5"/>
  <c r="L10" i="5" s="1"/>
  <c r="K11" i="5"/>
  <c r="O11" i="5" s="1"/>
  <c r="K12" i="5"/>
  <c r="K2" i="5"/>
  <c r="E2" i="5"/>
  <c r="Q24" i="4"/>
  <c r="Q20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L12" i="4"/>
  <c r="K12" i="4"/>
  <c r="J12" i="4"/>
  <c r="I12" i="4"/>
  <c r="H12" i="4"/>
  <c r="G12" i="4"/>
  <c r="F12" i="4"/>
  <c r="E12" i="4"/>
  <c r="D12" i="4"/>
  <c r="C12" i="4"/>
  <c r="B12" i="4"/>
  <c r="E3" i="4"/>
  <c r="B48" i="3"/>
  <c r="B37" i="3"/>
  <c r="E23" i="3"/>
  <c r="L8" i="5" l="1"/>
  <c r="L4" i="5"/>
  <c r="O10" i="5"/>
  <c r="K13" i="5"/>
  <c r="L11" i="5"/>
  <c r="L7" i="5"/>
  <c r="L3" i="5"/>
  <c r="O9" i="5"/>
  <c r="O5" i="5"/>
  <c r="O2" i="5"/>
  <c r="L2" i="5"/>
  <c r="L13" i="5" s="1"/>
  <c r="J15" i="5" s="1"/>
  <c r="J16" i="5" s="1"/>
  <c r="B13" i="4"/>
  <c r="O13" i="5" l="1"/>
  <c r="C33" i="1" l="1"/>
  <c r="C34" i="1" s="1"/>
  <c r="C31" i="1"/>
  <c r="C30" i="1"/>
  <c r="A34" i="1"/>
  <c r="A33" i="1"/>
  <c r="A32" i="1"/>
  <c r="A31" i="1"/>
  <c r="A30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B23" i="1"/>
  <c r="D34" i="1" s="1"/>
  <c r="L11" i="1"/>
  <c r="C11" i="1"/>
  <c r="D11" i="1"/>
  <c r="E11" i="1"/>
  <c r="F11" i="1"/>
  <c r="G11" i="1"/>
  <c r="H11" i="1"/>
  <c r="I11" i="1"/>
  <c r="J11" i="1"/>
  <c r="K11" i="1"/>
  <c r="B11" i="1"/>
  <c r="B34" i="1" s="1"/>
  <c r="E2" i="1"/>
  <c r="B24" i="1" l="1"/>
  <c r="B12" i="1"/>
  <c r="C32" i="1"/>
</calcChain>
</file>

<file path=xl/sharedStrings.xml><?xml version="1.0" encoding="utf-8"?>
<sst xmlns="http://schemas.openxmlformats.org/spreadsheetml/2006/main" count="154" uniqueCount="79">
  <si>
    <t>FV</t>
  </si>
  <si>
    <t>c</t>
  </si>
  <si>
    <t>k</t>
  </si>
  <si>
    <t>n</t>
  </si>
  <si>
    <t>annualy</t>
  </si>
  <si>
    <t>CF</t>
  </si>
  <si>
    <t>coupon</t>
  </si>
  <si>
    <t>PV CF</t>
  </si>
  <si>
    <t>P</t>
  </si>
  <si>
    <t>semi annualy</t>
  </si>
  <si>
    <t>A</t>
  </si>
  <si>
    <t>B</t>
  </si>
  <si>
    <t>Data</t>
  </si>
  <si>
    <t>Description</t>
  </si>
  <si>
    <t>February 15, 2008</t>
  </si>
  <si>
    <t>Settlement date</t>
  </si>
  <si>
    <t>November 15, 2016</t>
  </si>
  <si>
    <t>Maturity date</t>
  </si>
  <si>
    <t>5.75%</t>
  </si>
  <si>
    <t>Percent coupon</t>
  </si>
  <si>
    <t>95.04287</t>
  </si>
  <si>
    <t>Price</t>
  </si>
  <si>
    <t>$100</t>
  </si>
  <si>
    <t>Redemption value</t>
  </si>
  <si>
    <t>Frequency is semiannual (see above)</t>
  </si>
  <si>
    <t>30/360 basis (see above)</t>
  </si>
  <si>
    <t>Day count basis</t>
  </si>
  <si>
    <t>0 or omitted</t>
  </si>
  <si>
    <t>Actual/actual</t>
  </si>
  <si>
    <t>Actual/360</t>
  </si>
  <si>
    <t>Actual/365</t>
  </si>
  <si>
    <t>European 30/360</t>
  </si>
  <si>
    <t>US 30/360</t>
  </si>
  <si>
    <t>Required. The security's settlement date. The security settlement date is the date after the issue date when the security is traded to the buyer.</t>
  </si>
  <si>
    <t>Required. The security's maturity date. The maturity date is the date when the security expires</t>
  </si>
  <si>
    <t>Required. The security's annual coupon rate.</t>
  </si>
  <si>
    <t> Required. The security's price per $100 face value.</t>
  </si>
  <si>
    <t> Required. The security's redemption value per $100 face value.</t>
  </si>
  <si>
    <t>Required. The number of coupon payments per year. For annual payments, frequency = 1; for semiannual, frequency = 2; for quarterly, frequency = 4.</t>
  </si>
  <si>
    <t> Optional. The type of day count basis to use.</t>
  </si>
  <si>
    <t>Frequency is annual (see above)</t>
  </si>
  <si>
    <t>t * PV CF</t>
  </si>
  <si>
    <t>sum</t>
  </si>
  <si>
    <t>in years</t>
  </si>
  <si>
    <t>in percent</t>
  </si>
  <si>
    <t>period = t</t>
  </si>
  <si>
    <t>t^2 + T</t>
  </si>
  <si>
    <t>convexity</t>
  </si>
  <si>
    <t>y</t>
  </si>
  <si>
    <t>200 basis points</t>
  </si>
  <si>
    <t>0,1+/-0,02</t>
  </si>
  <si>
    <t xml:space="preserve">100 basis points +/- </t>
  </si>
  <si>
    <t>0,1+/-0,01</t>
  </si>
  <si>
    <t>effect of duration</t>
  </si>
  <si>
    <t>effect of convexity</t>
  </si>
  <si>
    <t>both effects</t>
  </si>
  <si>
    <t>coupon rate</t>
  </si>
  <si>
    <t>yield y</t>
  </si>
  <si>
    <t>number of period n</t>
  </si>
  <si>
    <t>Price P</t>
  </si>
  <si>
    <t>SUM of the Geomertic sequence for example1</t>
  </si>
  <si>
    <t>SUM of the Geometric sequence for example 2</t>
  </si>
  <si>
    <t>plus</t>
  </si>
  <si>
    <t>PV FV</t>
  </si>
  <si>
    <t>Basis</t>
  </si>
  <si>
    <t>YIELD</t>
  </si>
  <si>
    <t>yield</t>
  </si>
  <si>
    <t>semiannualy</t>
  </si>
  <si>
    <t>PV CF y = 0,1</t>
  </si>
  <si>
    <t>PV CF y = 0,05</t>
  </si>
  <si>
    <t>DUR</t>
  </si>
  <si>
    <t>mod DUR</t>
  </si>
  <si>
    <t>t^2 +t</t>
  </si>
  <si>
    <t>(t^2 + t)* PV CF</t>
  </si>
  <si>
    <t>0,05+/-0,01</t>
  </si>
  <si>
    <t>0,05+/-0,02</t>
  </si>
  <si>
    <t>Price change</t>
  </si>
  <si>
    <t>Bond price elasticity</t>
  </si>
  <si>
    <t>percentage change in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</si>
</sst>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2" xfId="0" applyFont="1" applyBorder="1"/>
    <xf numFmtId="0" fontId="2" fillId="0" borderId="3" xfId="0" applyFont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6" borderId="0" xfId="0" applyFill="1"/>
    <xf numFmtId="0" fontId="0" fillId="0" borderId="0" xfId="0" applyFont="1" applyBorder="1"/>
    <xf numFmtId="0" fontId="0" fillId="4" borderId="2" xfId="0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10" fontId="0" fillId="4" borderId="6" xfId="0" applyNumberFormat="1" applyFill="1" applyBorder="1"/>
    <xf numFmtId="0" fontId="0" fillId="4" borderId="7" xfId="0" applyFill="1" applyBorder="1"/>
    <xf numFmtId="0" fontId="0" fillId="4" borderId="0" xfId="0" applyFill="1" applyBorder="1"/>
    <xf numFmtId="10" fontId="0" fillId="4" borderId="8" xfId="0" applyNumberFormat="1" applyFill="1" applyBorder="1"/>
    <xf numFmtId="0" fontId="0" fillId="4" borderId="9" xfId="0" applyFill="1" applyBorder="1"/>
    <xf numFmtId="0" fontId="0" fillId="4" borderId="10" xfId="0" applyFill="1" applyBorder="1"/>
    <xf numFmtId="10" fontId="0" fillId="4" borderId="11" xfId="0" applyNumberFormat="1" applyFill="1" applyBorder="1"/>
    <xf numFmtId="0" fontId="0" fillId="4" borderId="8" xfId="0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0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0" fillId="4" borderId="6" xfId="0" applyFill="1" applyBorder="1"/>
    <xf numFmtId="0" fontId="0" fillId="4" borderId="11" xfId="0" applyFill="1" applyBorder="1"/>
    <xf numFmtId="0" fontId="2" fillId="3" borderId="0" xfId="0" applyFont="1" applyFill="1"/>
    <xf numFmtId="0" fontId="2" fillId="0" borderId="0" xfId="0" applyFont="1" applyFill="1"/>
    <xf numFmtId="0" fontId="2" fillId="4" borderId="0" xfId="0" applyFont="1" applyFill="1" applyBorder="1"/>
    <xf numFmtId="0" fontId="2" fillId="4" borderId="10" xfId="0" applyFont="1" applyFill="1" applyBorder="1"/>
    <xf numFmtId="0" fontId="2" fillId="4" borderId="5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 applyBorder="1"/>
    <xf numFmtId="0" fontId="2" fillId="3" borderId="10" xfId="0" applyFont="1" applyFill="1" applyBorder="1"/>
    <xf numFmtId="0" fontId="2" fillId="3" borderId="6" xfId="0" applyFont="1" applyFill="1" applyBorder="1"/>
    <xf numFmtId="0" fontId="2" fillId="3" borderId="8" xfId="0" applyFont="1" applyFill="1" applyBorder="1"/>
    <xf numFmtId="0" fontId="2" fillId="3" borderId="11" xfId="0" applyFont="1" applyFill="1" applyBorder="1"/>
    <xf numFmtId="0" fontId="2" fillId="0" borderId="0" xfId="0" applyFont="1"/>
    <xf numFmtId="0" fontId="2" fillId="4" borderId="4" xfId="0" applyFont="1" applyFill="1" applyBorder="1"/>
    <xf numFmtId="0" fontId="2" fillId="4" borderId="6" xfId="0" applyFont="1" applyFill="1" applyBorder="1"/>
    <xf numFmtId="14" fontId="2" fillId="4" borderId="7" xfId="0" applyNumberFormat="1" applyFont="1" applyFill="1" applyBorder="1"/>
    <xf numFmtId="0" fontId="2" fillId="4" borderId="8" xfId="0" applyFont="1" applyFill="1" applyBorder="1"/>
    <xf numFmtId="9" fontId="2" fillId="4" borderId="7" xfId="0" applyNumberFormat="1" applyFont="1" applyFill="1" applyBorder="1"/>
    <xf numFmtId="0" fontId="2" fillId="4" borderId="7" xfId="0" applyFont="1" applyFill="1" applyBorder="1"/>
    <xf numFmtId="0" fontId="2" fillId="4" borderId="9" xfId="0" applyFont="1" applyFill="1" applyBorder="1"/>
    <xf numFmtId="0" fontId="2" fillId="4" borderId="11" xfId="0" applyFont="1" applyFill="1" applyBorder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Elasticity!$P$2:$P$16</c:f>
              <c:numCache>
                <c:formatCode>General</c:formatCode>
                <c:ptCount val="15"/>
                <c:pt idx="0">
                  <c:v>166.29910000000001</c:v>
                </c:pt>
                <c:pt idx="1">
                  <c:v>153.8955</c:v>
                </c:pt>
                <c:pt idx="2">
                  <c:v>142.65100000000001</c:v>
                </c:pt>
                <c:pt idx="3">
                  <c:v>132.4436</c:v>
                </c:pt>
                <c:pt idx="4">
                  <c:v>123.16520478755443</c:v>
                </c:pt>
                <c:pt idx="5">
                  <c:v>114.72017410282933</c:v>
                </c:pt>
                <c:pt idx="6">
                  <c:v>107.02358154093258</c:v>
                </c:pt>
                <c:pt idx="7">
                  <c:v>99.999999999999972</c:v>
                </c:pt>
                <c:pt idx="8">
                  <c:v>93.582342298840956</c:v>
                </c:pt>
                <c:pt idx="9">
                  <c:v>87.710865788590596</c:v>
                </c:pt>
                <c:pt idx="10">
                  <c:v>82.332303966576319</c:v>
                </c:pt>
                <c:pt idx="11">
                  <c:v>77.399107886356518</c:v>
                </c:pt>
                <c:pt idx="12">
                  <c:v>72.868782620235635</c:v>
                </c:pt>
                <c:pt idx="13">
                  <c:v>68.703306122238473</c:v>
                </c:pt>
                <c:pt idx="14">
                  <c:v>64.868619619020436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48352"/>
        <c:axId val="112949888"/>
      </c:lineChart>
      <c:catAx>
        <c:axId val="11294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949888"/>
        <c:crosses val="autoZero"/>
        <c:auto val="1"/>
        <c:lblAlgn val="ctr"/>
        <c:lblOffset val="100"/>
        <c:noMultiLvlLbl val="0"/>
      </c:catAx>
      <c:valAx>
        <c:axId val="11294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94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485774</xdr:colOff>
      <xdr:row>33</xdr:row>
      <xdr:rowOff>38100</xdr:rowOff>
    </xdr:from>
    <xdr:ext cx="1933575" cy="6121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ovéPole 1"/>
            <xdr:cNvSpPr txBox="1"/>
          </xdr:nvSpPr>
          <xdr:spPr>
            <a:xfrm>
              <a:off x="4676774" y="6391275"/>
              <a:ext cx="1933575" cy="6121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𝐺𝑒𝑚𝑒𝑡𝑟𝑖𝑐</m:t>
                    </m:r>
                    <m:r>
                      <a:rPr lang="en-US" sz="1100" b="0" i="1">
                        <a:latin typeface="Cambria Math"/>
                      </a:rPr>
                      <m:t> </m:t>
                    </m:r>
                    <m:r>
                      <a:rPr lang="en-US" sz="1100" b="0" i="1">
                        <a:latin typeface="Cambria Math"/>
                      </a:rPr>
                      <m:t>𝑠𝑒𝑞𝑢𝑒𝑛𝑐𝑒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𝑎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sub>
                    </m:sSub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𝑞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/>
                              </a:rPr>
                              <m:t>𝑛</m:t>
                            </m:r>
                          </m:sup>
                        </m:sSup>
                        <m:r>
                          <a:rPr lang="en-US" sz="1100" b="0" i="1">
                            <a:latin typeface="Cambria Math"/>
                          </a:rPr>
                          <m:t>−1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𝑞</m:t>
                        </m:r>
                        <m:r>
                          <a:rPr lang="en-US" sz="1100" b="0" i="1">
                            <a:latin typeface="Cambria Math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cs-CZ" sz="1100"/>
            </a:p>
          </xdr:txBody>
        </xdr:sp>
      </mc:Choice>
      <mc:Fallback>
        <xdr:sp macro="" textlink="">
          <xdr:nvSpPr>
            <xdr:cNvPr id="2" name="TextovéPole 1"/>
            <xdr:cNvSpPr txBox="1"/>
          </xdr:nvSpPr>
          <xdr:spPr>
            <a:xfrm>
              <a:off x="4676774" y="6391275"/>
              <a:ext cx="1933575" cy="6121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𝐺𝑒𝑚𝑒𝑡𝑟𝑖𝑐 𝑠𝑒𝑞𝑢𝑒𝑛𝑐𝑒=𝑎_1  (𝑞^𝑛−1)/(𝑞−1)</a:t>
              </a:r>
              <a:endParaRPr lang="cs-CZ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13</xdr:row>
      <xdr:rowOff>123825</xdr:rowOff>
    </xdr:from>
    <xdr:to>
      <xdr:col>10</xdr:col>
      <xdr:colOff>104775</xdr:colOff>
      <xdr:row>28</xdr:row>
      <xdr:rowOff>9525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orkbookViewId="0">
      <selection activeCell="M32" sqref="M32"/>
    </sheetView>
  </sheetViews>
  <sheetFormatPr defaultRowHeight="15" x14ac:dyDescent="0.25"/>
  <cols>
    <col min="1" max="1" width="24.42578125" customWidth="1"/>
    <col min="2" max="2" width="11" customWidth="1"/>
  </cols>
  <sheetData>
    <row r="1" spans="1:15" x14ac:dyDescent="0.25">
      <c r="A1" s="38" t="s">
        <v>0</v>
      </c>
      <c r="B1" s="38">
        <v>100</v>
      </c>
      <c r="C1" s="38"/>
      <c r="D1" s="38"/>
      <c r="E1" s="38"/>
      <c r="F1" s="38"/>
    </row>
    <row r="2" spans="1:15" x14ac:dyDescent="0.25">
      <c r="A2" s="38" t="s">
        <v>56</v>
      </c>
      <c r="B2" s="38">
        <v>0.08</v>
      </c>
      <c r="C2" s="38"/>
      <c r="D2" s="38" t="s">
        <v>6</v>
      </c>
      <c r="E2" s="38">
        <f>B2*B1</f>
        <v>8</v>
      </c>
      <c r="F2" s="38"/>
    </row>
    <row r="3" spans="1:15" x14ac:dyDescent="0.25">
      <c r="A3" s="38" t="s">
        <v>57</v>
      </c>
      <c r="B3" s="38">
        <v>0.1</v>
      </c>
      <c r="C3" s="38"/>
      <c r="D3" s="38"/>
      <c r="E3" s="38"/>
      <c r="F3" s="38"/>
    </row>
    <row r="4" spans="1:15" x14ac:dyDescent="0.25">
      <c r="A4" s="38" t="s">
        <v>58</v>
      </c>
      <c r="B4" s="38">
        <v>10</v>
      </c>
      <c r="C4" s="38"/>
      <c r="D4" s="38"/>
      <c r="E4" s="38"/>
      <c r="F4" s="38"/>
    </row>
    <row r="5" spans="1:15" x14ac:dyDescent="0.25">
      <c r="A5" s="38"/>
      <c r="B5" s="38"/>
      <c r="C5" s="38"/>
      <c r="D5" s="38"/>
      <c r="E5" s="38"/>
      <c r="F5" s="38"/>
    </row>
    <row r="6" spans="1:15" x14ac:dyDescent="0.25">
      <c r="B6" s="39"/>
      <c r="C6" s="39"/>
      <c r="D6" s="39"/>
      <c r="E6" s="39"/>
      <c r="F6" s="39"/>
    </row>
    <row r="7" spans="1:15" x14ac:dyDescent="0.25">
      <c r="A7" s="38" t="s">
        <v>4</v>
      </c>
      <c r="B7" s="3"/>
    </row>
    <row r="9" spans="1:15" x14ac:dyDescent="0.25">
      <c r="A9" s="50" t="s">
        <v>3</v>
      </c>
      <c r="B9" s="50">
        <v>1</v>
      </c>
      <c r="C9" s="50">
        <v>2</v>
      </c>
      <c r="D9" s="50">
        <v>3</v>
      </c>
      <c r="E9" s="50">
        <v>4</v>
      </c>
      <c r="F9" s="50">
        <v>5</v>
      </c>
      <c r="G9" s="50">
        <v>6</v>
      </c>
      <c r="H9" s="50">
        <v>7</v>
      </c>
      <c r="I9" s="50">
        <v>8</v>
      </c>
      <c r="J9" s="50">
        <v>9</v>
      </c>
      <c r="K9" s="50">
        <v>10</v>
      </c>
      <c r="L9" s="50">
        <v>10</v>
      </c>
    </row>
    <row r="10" spans="1:15" x14ac:dyDescent="0.25">
      <c r="A10" s="50" t="s">
        <v>5</v>
      </c>
      <c r="B10" s="50">
        <v>8</v>
      </c>
      <c r="C10" s="50">
        <v>8</v>
      </c>
      <c r="D10" s="50">
        <v>8</v>
      </c>
      <c r="E10" s="50">
        <v>8</v>
      </c>
      <c r="F10" s="50">
        <v>8</v>
      </c>
      <c r="G10" s="50">
        <v>8</v>
      </c>
      <c r="H10" s="50">
        <v>8</v>
      </c>
      <c r="I10" s="50">
        <v>8</v>
      </c>
      <c r="J10" s="50">
        <v>8</v>
      </c>
      <c r="K10" s="50">
        <v>8</v>
      </c>
      <c r="L10" s="50">
        <v>100</v>
      </c>
    </row>
    <row r="11" spans="1:15" ht="15.75" thickBot="1" x14ac:dyDescent="0.3">
      <c r="A11" s="50" t="s">
        <v>7</v>
      </c>
      <c r="B11" s="50">
        <f>B10/(1+$B$3)^B9</f>
        <v>7.2727272727272725</v>
      </c>
      <c r="C11" s="50">
        <f t="shared" ref="C11:L11" si="0">C10/(1+$B$3)^C9</f>
        <v>6.6115702479338836</v>
      </c>
      <c r="D11" s="50">
        <f t="shared" si="0"/>
        <v>6.0105184072126203</v>
      </c>
      <c r="E11" s="50">
        <f t="shared" si="0"/>
        <v>5.4641076429205642</v>
      </c>
      <c r="F11" s="50">
        <f t="shared" si="0"/>
        <v>4.9673705844732394</v>
      </c>
      <c r="G11" s="50">
        <f t="shared" si="0"/>
        <v>4.5157914404302177</v>
      </c>
      <c r="H11" s="50">
        <f t="shared" si="0"/>
        <v>4.1052649458456516</v>
      </c>
      <c r="I11" s="50">
        <f t="shared" si="0"/>
        <v>3.7320590416778652</v>
      </c>
      <c r="J11" s="50">
        <f t="shared" si="0"/>
        <v>3.3927809469798773</v>
      </c>
      <c r="K11" s="50">
        <f t="shared" si="0"/>
        <v>3.0843463154362518</v>
      </c>
      <c r="L11" s="50">
        <f t="shared" si="0"/>
        <v>38.554328942953148</v>
      </c>
      <c r="N11" s="1"/>
      <c r="O11" s="1"/>
    </row>
    <row r="12" spans="1:15" ht="15.75" thickBot="1" x14ac:dyDescent="0.3">
      <c r="A12" s="6" t="s">
        <v>59</v>
      </c>
      <c r="B12" s="7">
        <f>SUM(B11:L11)</f>
        <v>87.710865788590596</v>
      </c>
    </row>
    <row r="14" spans="1:15" x14ac:dyDescent="0.25">
      <c r="A14" s="38" t="s">
        <v>9</v>
      </c>
      <c r="B14" s="38"/>
    </row>
    <row r="15" spans="1:15" ht="15.75" thickBot="1" x14ac:dyDescent="0.3">
      <c r="A15" s="39"/>
      <c r="B15" s="39"/>
    </row>
    <row r="16" spans="1:15" x14ac:dyDescent="0.25">
      <c r="A16" s="43" t="s">
        <v>0</v>
      </c>
      <c r="B16" s="44">
        <v>1000</v>
      </c>
      <c r="C16" s="44"/>
      <c r="D16" s="42" t="s">
        <v>6</v>
      </c>
      <c r="E16" s="42">
        <v>4</v>
      </c>
      <c r="F16" s="47"/>
    </row>
    <row r="17" spans="1:22" x14ac:dyDescent="0.25">
      <c r="A17" s="38" t="s">
        <v>56</v>
      </c>
      <c r="B17" s="40">
        <v>0.04</v>
      </c>
      <c r="C17" s="45"/>
      <c r="D17" s="45"/>
      <c r="E17" s="45"/>
      <c r="F17" s="48"/>
    </row>
    <row r="18" spans="1:22" x14ac:dyDescent="0.25">
      <c r="A18" s="38" t="s">
        <v>57</v>
      </c>
      <c r="B18" s="40">
        <v>0.05</v>
      </c>
      <c r="C18" s="45"/>
      <c r="D18" s="45"/>
      <c r="E18" s="45"/>
      <c r="F18" s="48"/>
    </row>
    <row r="19" spans="1:22" ht="15.75" thickBot="1" x14ac:dyDescent="0.3">
      <c r="A19" s="38" t="s">
        <v>58</v>
      </c>
      <c r="B19" s="41">
        <v>20</v>
      </c>
      <c r="C19" s="46"/>
      <c r="D19" s="46"/>
      <c r="E19" s="46"/>
      <c r="F19" s="49"/>
    </row>
    <row r="21" spans="1:22" x14ac:dyDescent="0.25">
      <c r="A21" s="50" t="s">
        <v>3</v>
      </c>
      <c r="B21" s="50">
        <v>1</v>
      </c>
      <c r="C21" s="50">
        <v>2</v>
      </c>
      <c r="D21" s="50">
        <v>3</v>
      </c>
      <c r="E21" s="50">
        <v>4</v>
      </c>
      <c r="F21" s="50">
        <v>5</v>
      </c>
      <c r="G21" s="50">
        <v>6</v>
      </c>
      <c r="H21" s="50">
        <v>7</v>
      </c>
      <c r="I21" s="50">
        <v>8</v>
      </c>
      <c r="J21" s="50">
        <v>9</v>
      </c>
      <c r="K21" s="50">
        <v>10</v>
      </c>
      <c r="L21" s="50">
        <v>11</v>
      </c>
      <c r="M21" s="50">
        <v>12</v>
      </c>
      <c r="N21" s="50">
        <v>13</v>
      </c>
      <c r="O21" s="50">
        <v>14</v>
      </c>
      <c r="P21" s="50">
        <v>15</v>
      </c>
      <c r="Q21" s="50">
        <v>16</v>
      </c>
      <c r="R21" s="50">
        <v>17</v>
      </c>
      <c r="S21" s="50">
        <v>18</v>
      </c>
      <c r="T21" s="50">
        <v>19</v>
      </c>
      <c r="U21" s="50">
        <v>20</v>
      </c>
      <c r="V21" s="50">
        <v>20</v>
      </c>
    </row>
    <row r="22" spans="1:22" x14ac:dyDescent="0.25">
      <c r="A22" s="50" t="s">
        <v>5</v>
      </c>
      <c r="B22" s="50">
        <v>4</v>
      </c>
      <c r="C22" s="50">
        <v>4</v>
      </c>
      <c r="D22" s="50">
        <v>4</v>
      </c>
      <c r="E22" s="50">
        <v>4</v>
      </c>
      <c r="F22" s="50">
        <v>4</v>
      </c>
      <c r="G22" s="50">
        <v>4</v>
      </c>
      <c r="H22" s="50">
        <v>4</v>
      </c>
      <c r="I22" s="50">
        <v>4</v>
      </c>
      <c r="J22" s="50">
        <v>4</v>
      </c>
      <c r="K22" s="50">
        <v>4</v>
      </c>
      <c r="L22" s="50">
        <v>4</v>
      </c>
      <c r="M22" s="50">
        <v>4</v>
      </c>
      <c r="N22" s="50">
        <v>4</v>
      </c>
      <c r="O22" s="50">
        <v>4</v>
      </c>
      <c r="P22" s="50">
        <v>4</v>
      </c>
      <c r="Q22" s="50">
        <v>4</v>
      </c>
      <c r="R22" s="50">
        <v>4</v>
      </c>
      <c r="S22" s="50">
        <v>4</v>
      </c>
      <c r="T22" s="50">
        <v>4</v>
      </c>
      <c r="U22" s="50">
        <v>4</v>
      </c>
      <c r="V22" s="50">
        <v>100</v>
      </c>
    </row>
    <row r="23" spans="1:22" ht="15.75" thickBot="1" x14ac:dyDescent="0.3">
      <c r="A23" s="50" t="s">
        <v>7</v>
      </c>
      <c r="B23" s="50">
        <f>B22/(1+$B$18)^B21</f>
        <v>3.8095238095238093</v>
      </c>
      <c r="C23" s="50">
        <f t="shared" ref="C23:V23" si="1">C22/(1+$B$18)^C21</f>
        <v>3.6281179138321993</v>
      </c>
      <c r="D23" s="50">
        <f t="shared" si="1"/>
        <v>3.4553503941259041</v>
      </c>
      <c r="E23" s="50">
        <f t="shared" si="1"/>
        <v>3.2908098991675279</v>
      </c>
      <c r="F23" s="50">
        <f t="shared" si="1"/>
        <v>3.1341046658738358</v>
      </c>
      <c r="G23" s="50">
        <f t="shared" si="1"/>
        <v>2.9848615865465105</v>
      </c>
      <c r="H23" s="50">
        <f t="shared" si="1"/>
        <v>2.8427253205204859</v>
      </c>
      <c r="I23" s="50">
        <f t="shared" si="1"/>
        <v>2.7073574481147489</v>
      </c>
      <c r="J23" s="50">
        <f t="shared" si="1"/>
        <v>2.578435664871189</v>
      </c>
      <c r="K23" s="50">
        <f t="shared" si="1"/>
        <v>2.4556530141630373</v>
      </c>
      <c r="L23" s="50">
        <f t="shared" si="1"/>
        <v>2.3387171563457496</v>
      </c>
      <c r="M23" s="50">
        <f t="shared" si="1"/>
        <v>2.227349672710238</v>
      </c>
      <c r="N23" s="50">
        <f t="shared" si="1"/>
        <v>2.1212854025811785</v>
      </c>
      <c r="O23" s="50">
        <f t="shared" si="1"/>
        <v>2.0202718119820755</v>
      </c>
      <c r="P23" s="50">
        <f t="shared" si="1"/>
        <v>1.9240683923638808</v>
      </c>
      <c r="Q23" s="50">
        <f t="shared" si="1"/>
        <v>1.8324460879656008</v>
      </c>
      <c r="R23" s="50">
        <f t="shared" si="1"/>
        <v>1.7451867504434291</v>
      </c>
      <c r="S23" s="50">
        <f t="shared" si="1"/>
        <v>1.6620826194699325</v>
      </c>
      <c r="T23" s="50">
        <f t="shared" si="1"/>
        <v>1.5829358280666024</v>
      </c>
      <c r="U23" s="50">
        <f t="shared" si="1"/>
        <v>1.5075579314920025</v>
      </c>
      <c r="V23" s="50">
        <f t="shared" si="1"/>
        <v>37.688948287300057</v>
      </c>
    </row>
    <row r="24" spans="1:22" ht="15.75" thickBot="1" x14ac:dyDescent="0.3">
      <c r="A24" s="6" t="s">
        <v>8</v>
      </c>
      <c r="B24" s="15">
        <f>SUM(B23:V23)</f>
        <v>87.537789657459996</v>
      </c>
    </row>
    <row r="29" spans="1:22" x14ac:dyDescent="0.25">
      <c r="A29" s="3" t="s">
        <v>60</v>
      </c>
      <c r="B29" s="3"/>
      <c r="C29" s="3" t="s">
        <v>61</v>
      </c>
      <c r="D29" s="3"/>
      <c r="E29" s="3"/>
      <c r="F29" s="3"/>
      <c r="G29" s="3"/>
    </row>
    <row r="30" spans="1:22" x14ac:dyDescent="0.25">
      <c r="A30">
        <f>1/1.1^10-1</f>
        <v>-0.61445671057046858</v>
      </c>
      <c r="C30">
        <f>1/1.05^20-1</f>
        <v>-0.62311051712699939</v>
      </c>
    </row>
    <row r="31" spans="1:22" x14ac:dyDescent="0.25">
      <c r="A31">
        <f>1/1.1-1</f>
        <v>-9.0909090909090939E-2</v>
      </c>
      <c r="C31">
        <f>1/1.05-1</f>
        <v>-4.7619047619047672E-2</v>
      </c>
    </row>
    <row r="32" spans="1:22" x14ac:dyDescent="0.25">
      <c r="A32">
        <f>A30/A31</f>
        <v>6.7590238162751524</v>
      </c>
      <c r="C32">
        <f>C30/C31</f>
        <v>13.085320859666973</v>
      </c>
    </row>
    <row r="33" spans="1:4" ht="15.75" thickBot="1" x14ac:dyDescent="0.3">
      <c r="A33">
        <f>A32*80</f>
        <v>540.72190530201215</v>
      </c>
      <c r="C33">
        <f>C32*40</f>
        <v>523.41283438667892</v>
      </c>
    </row>
    <row r="34" spans="1:4" ht="15.75" thickBot="1" x14ac:dyDescent="0.3">
      <c r="A34" s="11">
        <f>A33/1.1</f>
        <v>491.56536845637464</v>
      </c>
      <c r="B34" s="14">
        <f>SUM(B11:K11)</f>
        <v>49.156536845637447</v>
      </c>
      <c r="C34" s="11">
        <f>C33/1.05</f>
        <v>498.48841370159897</v>
      </c>
      <c r="D34" s="13">
        <f>SUM(B23:U23)</f>
        <v>49.848841370159946</v>
      </c>
    </row>
    <row r="35" spans="1:4" x14ac:dyDescent="0.25">
      <c r="A35" t="s">
        <v>62</v>
      </c>
      <c r="C35" t="s">
        <v>62</v>
      </c>
    </row>
    <row r="36" spans="1:4" ht="15.75" thickBot="1" x14ac:dyDescent="0.3">
      <c r="A36" t="s">
        <v>63</v>
      </c>
      <c r="C36" t="s">
        <v>63</v>
      </c>
    </row>
    <row r="37" spans="1:4" ht="15.75" thickBot="1" x14ac:dyDescent="0.3">
      <c r="A37" s="13">
        <f>100/1.1^10</f>
        <v>38.554328942953148</v>
      </c>
      <c r="C37" s="13">
        <f>100/1.05^20</f>
        <v>37.688948287300057</v>
      </c>
    </row>
    <row r="39" spans="1:4" ht="15.75" thickBot="1" x14ac:dyDescent="0.3">
      <c r="A39" t="s">
        <v>21</v>
      </c>
    </row>
    <row r="40" spans="1:4" ht="15.75" thickBot="1" x14ac:dyDescent="0.3">
      <c r="A40" s="13">
        <f>B34+A37</f>
        <v>87.710865788590596</v>
      </c>
      <c r="C40" s="13">
        <f>D34+C37</f>
        <v>87.537789657459996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7" workbookViewId="0">
      <selection activeCell="A33" sqref="A33"/>
    </sheetView>
  </sheetViews>
  <sheetFormatPr defaultRowHeight="15" x14ac:dyDescent="0.25"/>
  <cols>
    <col min="1" max="1" width="10.140625" bestFit="1" customWidth="1"/>
    <col min="2" max="2" width="21.42578125" customWidth="1"/>
    <col min="3" max="3" width="38.85546875" customWidth="1"/>
  </cols>
  <sheetData>
    <row r="1" spans="1:4" x14ac:dyDescent="0.25">
      <c r="B1" t="s">
        <v>10</v>
      </c>
      <c r="C1" t="s">
        <v>11</v>
      </c>
    </row>
    <row r="2" spans="1:4" x14ac:dyDescent="0.25">
      <c r="A2">
        <v>2</v>
      </c>
      <c r="B2" t="s">
        <v>12</v>
      </c>
      <c r="C2" t="s">
        <v>13</v>
      </c>
    </row>
    <row r="3" spans="1:4" x14ac:dyDescent="0.25">
      <c r="A3">
        <v>3</v>
      </c>
      <c r="B3" t="s">
        <v>14</v>
      </c>
      <c r="C3" t="s">
        <v>15</v>
      </c>
      <c r="D3" t="s">
        <v>33</v>
      </c>
    </row>
    <row r="4" spans="1:4" x14ac:dyDescent="0.25">
      <c r="A4">
        <v>4</v>
      </c>
      <c r="B4" t="s">
        <v>16</v>
      </c>
      <c r="C4" t="s">
        <v>17</v>
      </c>
      <c r="D4" t="s">
        <v>34</v>
      </c>
    </row>
    <row r="5" spans="1:4" x14ac:dyDescent="0.25">
      <c r="A5">
        <v>5</v>
      </c>
      <c r="B5" t="s">
        <v>18</v>
      </c>
      <c r="C5" t="s">
        <v>19</v>
      </c>
      <c r="D5" t="s">
        <v>35</v>
      </c>
    </row>
    <row r="6" spans="1:4" x14ac:dyDescent="0.25">
      <c r="A6">
        <v>6</v>
      </c>
      <c r="B6" t="s">
        <v>20</v>
      </c>
      <c r="C6" t="s">
        <v>21</v>
      </c>
      <c r="D6" t="s">
        <v>36</v>
      </c>
    </row>
    <row r="7" spans="1:4" x14ac:dyDescent="0.25">
      <c r="A7">
        <v>7</v>
      </c>
      <c r="B7" t="s">
        <v>22</v>
      </c>
      <c r="C7" t="s">
        <v>23</v>
      </c>
      <c r="D7" t="s">
        <v>37</v>
      </c>
    </row>
    <row r="8" spans="1:4" x14ac:dyDescent="0.25">
      <c r="A8">
        <v>8</v>
      </c>
      <c r="B8">
        <v>2</v>
      </c>
      <c r="C8" t="s">
        <v>24</v>
      </c>
      <c r="D8" t="s">
        <v>38</v>
      </c>
    </row>
    <row r="9" spans="1:4" x14ac:dyDescent="0.25">
      <c r="A9">
        <v>9</v>
      </c>
      <c r="B9">
        <v>0</v>
      </c>
      <c r="C9" t="s">
        <v>25</v>
      </c>
      <c r="D9" t="s">
        <v>39</v>
      </c>
    </row>
    <row r="12" spans="1:4" x14ac:dyDescent="0.25">
      <c r="A12" t="s">
        <v>64</v>
      </c>
      <c r="B12" t="s">
        <v>26</v>
      </c>
    </row>
    <row r="13" spans="1:4" x14ac:dyDescent="0.25">
      <c r="A13" t="s">
        <v>27</v>
      </c>
      <c r="B13" t="s">
        <v>32</v>
      </c>
    </row>
    <row r="14" spans="1:4" x14ac:dyDescent="0.25">
      <c r="A14">
        <v>1</v>
      </c>
      <c r="B14" t="s">
        <v>28</v>
      </c>
    </row>
    <row r="15" spans="1:4" x14ac:dyDescent="0.25">
      <c r="A15">
        <v>2</v>
      </c>
      <c r="B15" t="s">
        <v>29</v>
      </c>
    </row>
    <row r="16" spans="1:4" x14ac:dyDescent="0.25">
      <c r="A16">
        <v>3</v>
      </c>
      <c r="B16" t="s">
        <v>30</v>
      </c>
    </row>
    <row r="17" spans="1:5" x14ac:dyDescent="0.25">
      <c r="A17">
        <v>4</v>
      </c>
      <c r="B17" t="s">
        <v>31</v>
      </c>
    </row>
    <row r="21" spans="1:5" ht="15.75" thickBot="1" x14ac:dyDescent="0.3"/>
    <row r="22" spans="1:5" ht="15.75" thickBot="1" x14ac:dyDescent="0.3">
      <c r="A22" s="17" t="s">
        <v>0</v>
      </c>
      <c r="B22" s="36">
        <v>100</v>
      </c>
    </row>
    <row r="23" spans="1:5" ht="15.75" thickBot="1" x14ac:dyDescent="0.3">
      <c r="A23" s="20" t="s">
        <v>1</v>
      </c>
      <c r="B23" s="26">
        <v>0.08</v>
      </c>
      <c r="D23" s="14" t="s">
        <v>6</v>
      </c>
      <c r="E23" s="15">
        <f>B23*B22</f>
        <v>8</v>
      </c>
    </row>
    <row r="24" spans="1:5" x14ac:dyDescent="0.25">
      <c r="A24" s="20" t="s">
        <v>2</v>
      </c>
      <c r="B24" s="26">
        <v>0.1</v>
      </c>
    </row>
    <row r="25" spans="1:5" ht="15.75" thickBot="1" x14ac:dyDescent="0.3">
      <c r="A25" s="23" t="s">
        <v>3</v>
      </c>
      <c r="B25" s="37">
        <v>10</v>
      </c>
    </row>
    <row r="26" spans="1:5" ht="15.75" thickBot="1" x14ac:dyDescent="0.3"/>
    <row r="27" spans="1:5" x14ac:dyDescent="0.25">
      <c r="A27" s="51" t="s">
        <v>4</v>
      </c>
      <c r="B27" s="42"/>
      <c r="C27" s="52"/>
    </row>
    <row r="28" spans="1:5" x14ac:dyDescent="0.25">
      <c r="A28" s="53">
        <v>42005</v>
      </c>
      <c r="B28" s="40"/>
      <c r="C28" s="54" t="s">
        <v>15</v>
      </c>
    </row>
    <row r="29" spans="1:5" x14ac:dyDescent="0.25">
      <c r="A29" s="53">
        <v>46022</v>
      </c>
      <c r="B29" s="40"/>
      <c r="C29" s="54" t="s">
        <v>17</v>
      </c>
    </row>
    <row r="30" spans="1:5" x14ac:dyDescent="0.25">
      <c r="A30" s="55">
        <v>0.08</v>
      </c>
      <c r="B30" s="40"/>
      <c r="C30" s="54" t="s">
        <v>19</v>
      </c>
    </row>
    <row r="31" spans="1:5" x14ac:dyDescent="0.25">
      <c r="A31" s="56">
        <v>87.71</v>
      </c>
      <c r="B31" s="40"/>
      <c r="C31" s="54" t="s">
        <v>21</v>
      </c>
    </row>
    <row r="32" spans="1:5" x14ac:dyDescent="0.25">
      <c r="A32" s="56">
        <v>100</v>
      </c>
      <c r="B32" s="40"/>
      <c r="C32" s="54" t="s">
        <v>23</v>
      </c>
    </row>
    <row r="33" spans="1:3" x14ac:dyDescent="0.25">
      <c r="A33" s="56">
        <v>1</v>
      </c>
      <c r="B33" s="40"/>
      <c r="C33" s="54" t="s">
        <v>40</v>
      </c>
    </row>
    <row r="34" spans="1:3" ht="15.75" thickBot="1" x14ac:dyDescent="0.3">
      <c r="A34" s="57">
        <v>1</v>
      </c>
      <c r="B34" s="41"/>
      <c r="C34" s="58" t="s">
        <v>25</v>
      </c>
    </row>
    <row r="36" spans="1:3" ht="15.75" thickBot="1" x14ac:dyDescent="0.3"/>
    <row r="37" spans="1:3" ht="15.75" thickBot="1" x14ac:dyDescent="0.3">
      <c r="A37" s="14" t="s">
        <v>65</v>
      </c>
      <c r="B37" s="15">
        <f>YIELD(A28,A29,A30,A31,A32,A33,A34)</f>
        <v>9.8820567623548877E-2</v>
      </c>
    </row>
    <row r="38" spans="1:3" ht="15.75" thickBot="1" x14ac:dyDescent="0.3"/>
    <row r="39" spans="1:3" x14ac:dyDescent="0.25">
      <c r="A39" s="51" t="s">
        <v>67</v>
      </c>
      <c r="B39" s="42"/>
      <c r="C39" s="52"/>
    </row>
    <row r="40" spans="1:3" x14ac:dyDescent="0.25">
      <c r="A40" s="53">
        <v>42005</v>
      </c>
      <c r="B40" s="40"/>
      <c r="C40" s="54" t="s">
        <v>15</v>
      </c>
    </row>
    <row r="41" spans="1:3" x14ac:dyDescent="0.25">
      <c r="A41" s="53">
        <v>46022</v>
      </c>
      <c r="B41" s="40"/>
      <c r="C41" s="54" t="s">
        <v>17</v>
      </c>
    </row>
    <row r="42" spans="1:3" x14ac:dyDescent="0.25">
      <c r="A42" s="55">
        <v>0.08</v>
      </c>
      <c r="B42" s="40"/>
      <c r="C42" s="54" t="s">
        <v>19</v>
      </c>
    </row>
    <row r="43" spans="1:3" x14ac:dyDescent="0.25">
      <c r="A43" s="56">
        <v>87.53</v>
      </c>
      <c r="B43" s="40"/>
      <c r="C43" s="54" t="s">
        <v>21</v>
      </c>
    </row>
    <row r="44" spans="1:3" x14ac:dyDescent="0.25">
      <c r="A44" s="56">
        <v>100</v>
      </c>
      <c r="B44" s="40"/>
      <c r="C44" s="54" t="s">
        <v>23</v>
      </c>
    </row>
    <row r="45" spans="1:3" x14ac:dyDescent="0.25">
      <c r="A45" s="56">
        <v>2</v>
      </c>
      <c r="B45" s="40"/>
      <c r="C45" s="54" t="s">
        <v>24</v>
      </c>
    </row>
    <row r="46" spans="1:3" ht="15.75" thickBot="1" x14ac:dyDescent="0.3">
      <c r="A46" s="57">
        <v>1</v>
      </c>
      <c r="B46" s="41"/>
      <c r="C46" s="58" t="s">
        <v>25</v>
      </c>
    </row>
    <row r="47" spans="1:3" ht="15.75" thickBot="1" x14ac:dyDescent="0.3"/>
    <row r="48" spans="1:3" ht="15.75" thickBot="1" x14ac:dyDescent="0.3">
      <c r="A48" s="14" t="s">
        <v>65</v>
      </c>
      <c r="B48" s="15">
        <f>YIELD(A40,A41,A42,A43,A44,A45,A46)</f>
        <v>9.8849678900311086E-2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R23" sqref="R23"/>
    </sheetView>
  </sheetViews>
  <sheetFormatPr defaultRowHeight="15" x14ac:dyDescent="0.25"/>
  <cols>
    <col min="17" max="17" width="16.7109375" customWidth="1"/>
    <col min="18" max="18" width="22.28515625" style="59" customWidth="1"/>
    <col min="19" max="19" width="17.28515625" style="59" customWidth="1"/>
    <col min="20" max="20" width="9.140625" style="59"/>
  </cols>
  <sheetData>
    <row r="1" spans="1:19" ht="15.75" thickBot="1" x14ac:dyDescent="0.3">
      <c r="O1" s="3" t="s">
        <v>48</v>
      </c>
      <c r="P1" s="3" t="s">
        <v>8</v>
      </c>
      <c r="Q1" s="3" t="s">
        <v>76</v>
      </c>
      <c r="R1" s="3" t="s">
        <v>78</v>
      </c>
      <c r="S1" s="3" t="s">
        <v>77</v>
      </c>
    </row>
    <row r="2" spans="1:19" x14ac:dyDescent="0.25">
      <c r="A2" s="3" t="s">
        <v>0</v>
      </c>
      <c r="B2" s="3">
        <v>100</v>
      </c>
      <c r="C2" s="3"/>
      <c r="D2" s="3"/>
      <c r="E2" s="3"/>
      <c r="F2" s="3"/>
      <c r="O2" s="17">
        <v>0.01</v>
      </c>
      <c r="P2" s="18">
        <v>166.29910000000001</v>
      </c>
      <c r="Q2" s="19"/>
    </row>
    <row r="3" spans="1:19" x14ac:dyDescent="0.25">
      <c r="A3" s="3" t="s">
        <v>56</v>
      </c>
      <c r="B3" s="3">
        <v>0.08</v>
      </c>
      <c r="C3" s="3"/>
      <c r="D3" s="3" t="s">
        <v>6</v>
      </c>
      <c r="E3" s="3">
        <f>B3*B2</f>
        <v>8</v>
      </c>
      <c r="F3" s="3"/>
      <c r="O3" s="20">
        <v>0.02</v>
      </c>
      <c r="P3" s="21">
        <v>153.8955</v>
      </c>
      <c r="Q3" s="22">
        <f>(P3-P2)/P2</f>
        <v>-7.4586092167666637E-2</v>
      </c>
      <c r="R3" s="59">
        <f>(O3-O2)/O2*100</f>
        <v>100</v>
      </c>
      <c r="S3" s="4">
        <f>Q3/R3</f>
        <v>-7.458609216766664E-4</v>
      </c>
    </row>
    <row r="4" spans="1:19" x14ac:dyDescent="0.25">
      <c r="A4" s="5" t="s">
        <v>66</v>
      </c>
      <c r="B4" s="5">
        <v>0.91</v>
      </c>
      <c r="C4" s="3"/>
      <c r="D4" s="3"/>
      <c r="E4" s="3"/>
      <c r="F4" s="3"/>
      <c r="O4" s="20">
        <v>0.03</v>
      </c>
      <c r="P4" s="21">
        <v>142.65100000000001</v>
      </c>
      <c r="Q4" s="22">
        <f t="shared" ref="Q4:Q16" si="0">(P4-P3)/P3</f>
        <v>-7.3065814140114482E-2</v>
      </c>
      <c r="R4" s="59">
        <f t="shared" ref="R4:R16" si="1">(O4-O3)/O3*100</f>
        <v>49.999999999999986</v>
      </c>
      <c r="S4" s="4">
        <f t="shared" ref="S4:S16" si="2">Q4/R4</f>
        <v>-1.4613162828022901E-3</v>
      </c>
    </row>
    <row r="5" spans="1:19" x14ac:dyDescent="0.25">
      <c r="A5" s="3" t="s">
        <v>3</v>
      </c>
      <c r="B5" s="3">
        <v>10</v>
      </c>
      <c r="C5" s="3"/>
      <c r="D5" s="3"/>
      <c r="E5" s="3"/>
      <c r="F5" s="3"/>
      <c r="O5" s="20">
        <v>0.04</v>
      </c>
      <c r="P5" s="21">
        <v>132.4436</v>
      </c>
      <c r="Q5" s="22">
        <f t="shared" si="0"/>
        <v>-7.1555053942839564E-2</v>
      </c>
      <c r="R5" s="59">
        <f t="shared" si="1"/>
        <v>33.333333333333343</v>
      </c>
      <c r="S5" s="4">
        <f t="shared" si="2"/>
        <v>-2.1466516182851864E-3</v>
      </c>
    </row>
    <row r="6" spans="1:19" x14ac:dyDescent="0.25">
      <c r="O6" s="20">
        <v>0.05</v>
      </c>
      <c r="P6" s="21">
        <v>123.16520478755443</v>
      </c>
      <c r="Q6" s="22">
        <f t="shared" si="0"/>
        <v>-7.0055444071631806E-2</v>
      </c>
      <c r="R6" s="59">
        <f t="shared" si="1"/>
        <v>25.000000000000007</v>
      </c>
      <c r="S6" s="4">
        <f t="shared" si="2"/>
        <v>-2.8022177628652715E-3</v>
      </c>
    </row>
    <row r="7" spans="1:19" x14ac:dyDescent="0.25">
      <c r="A7" s="3" t="s">
        <v>4</v>
      </c>
      <c r="O7" s="20">
        <v>0.06</v>
      </c>
      <c r="P7" s="21">
        <v>114.72017410282933</v>
      </c>
      <c r="Q7" s="22">
        <f t="shared" si="0"/>
        <v>-6.8566692186253317E-2</v>
      </c>
      <c r="R7" s="59">
        <f t="shared" si="1"/>
        <v>19.999999999999989</v>
      </c>
      <c r="S7" s="4">
        <f t="shared" si="2"/>
        <v>-3.4283346093126675E-3</v>
      </c>
    </row>
    <row r="8" spans="1:19" x14ac:dyDescent="0.25">
      <c r="O8" s="20">
        <v>7.0000000000000007E-2</v>
      </c>
      <c r="P8" s="21">
        <v>107.02358154093258</v>
      </c>
      <c r="Q8" s="22">
        <f t="shared" si="0"/>
        <v>-6.7090140178813845E-2</v>
      </c>
      <c r="R8" s="59">
        <f t="shared" si="1"/>
        <v>16.666666666666682</v>
      </c>
      <c r="S8" s="4">
        <f t="shared" si="2"/>
        <v>-4.0254084107288271E-3</v>
      </c>
    </row>
    <row r="9" spans="1:19" x14ac:dyDescent="0.25">
      <c r="O9" s="20">
        <v>0.08</v>
      </c>
      <c r="P9" s="21">
        <v>99.999999999999972</v>
      </c>
      <c r="Q9" s="22">
        <f t="shared" si="0"/>
        <v>-6.5626485675461615E-2</v>
      </c>
      <c r="R9" s="59">
        <f t="shared" si="1"/>
        <v>14.285714285714276</v>
      </c>
      <c r="S9" s="4">
        <f t="shared" si="2"/>
        <v>-4.5938539972823159E-3</v>
      </c>
    </row>
    <row r="10" spans="1:19" x14ac:dyDescent="0.25">
      <c r="A10" t="s">
        <v>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10</v>
      </c>
      <c r="O10" s="20">
        <v>0.09</v>
      </c>
      <c r="P10" s="21">
        <v>93.582342298840956</v>
      </c>
      <c r="Q10" s="22">
        <f t="shared" si="0"/>
        <v>-6.4176577011590172E-2</v>
      </c>
      <c r="R10" s="59">
        <f t="shared" si="1"/>
        <v>12.499999999999993</v>
      </c>
      <c r="S10" s="4">
        <f t="shared" si="2"/>
        <v>-5.134126160927217E-3</v>
      </c>
    </row>
    <row r="11" spans="1:19" x14ac:dyDescent="0.25">
      <c r="A11" t="s">
        <v>5</v>
      </c>
      <c r="B11">
        <v>8</v>
      </c>
      <c r="C11">
        <v>8</v>
      </c>
      <c r="D11">
        <v>8</v>
      </c>
      <c r="E11">
        <v>8</v>
      </c>
      <c r="F11">
        <v>8</v>
      </c>
      <c r="G11">
        <v>8</v>
      </c>
      <c r="H11">
        <v>8</v>
      </c>
      <c r="I11">
        <v>8</v>
      </c>
      <c r="J11">
        <v>8</v>
      </c>
      <c r="K11">
        <v>8</v>
      </c>
      <c r="L11">
        <v>100</v>
      </c>
      <c r="O11" s="20">
        <v>0.1</v>
      </c>
      <c r="P11" s="21">
        <v>87.710865788590596</v>
      </c>
      <c r="Q11" s="22">
        <f t="shared" si="0"/>
        <v>-6.2741286080451958E-2</v>
      </c>
      <c r="R11" s="59">
        <f t="shared" si="1"/>
        <v>11.111111111111121</v>
      </c>
      <c r="S11" s="4">
        <f t="shared" si="2"/>
        <v>-5.6467157472406713E-3</v>
      </c>
    </row>
    <row r="12" spans="1:19" ht="15.75" thickBot="1" x14ac:dyDescent="0.3">
      <c r="A12" t="s">
        <v>7</v>
      </c>
      <c r="B12">
        <f>B11/(1+$B$4)^B10</f>
        <v>4.1884816753926701</v>
      </c>
      <c r="C12">
        <f t="shared" ref="C12:L12" si="3">C11/(1+$B$4)^C10</f>
        <v>2.1929223431375235</v>
      </c>
      <c r="D12">
        <f t="shared" si="3"/>
        <v>1.1481268812238341</v>
      </c>
      <c r="E12">
        <f t="shared" si="3"/>
        <v>0.60111355037897074</v>
      </c>
      <c r="F12">
        <f t="shared" si="3"/>
        <v>0.31471913632406845</v>
      </c>
      <c r="G12">
        <f t="shared" si="3"/>
        <v>0.16477441692359601</v>
      </c>
      <c r="H12">
        <f t="shared" si="3"/>
        <v>8.6269328232249212E-2</v>
      </c>
      <c r="I12">
        <f t="shared" si="3"/>
        <v>4.5167187556151421E-2</v>
      </c>
      <c r="J12">
        <f t="shared" si="3"/>
        <v>2.3647742175995506E-2</v>
      </c>
      <c r="K12">
        <f t="shared" si="3"/>
        <v>1.2381016846070946E-2</v>
      </c>
      <c r="L12">
        <f t="shared" si="3"/>
        <v>0.15476271057588681</v>
      </c>
      <c r="O12" s="20">
        <v>0.11</v>
      </c>
      <c r="P12" s="21">
        <v>82.332303966576319</v>
      </c>
      <c r="Q12" s="22">
        <f t="shared" si="0"/>
        <v>-6.1321499607337342E-2</v>
      </c>
      <c r="R12" s="59">
        <f t="shared" si="1"/>
        <v>9.9999999999999947</v>
      </c>
      <c r="S12" s="4">
        <f t="shared" si="2"/>
        <v>-6.1321499607337373E-3</v>
      </c>
    </row>
    <row r="13" spans="1:19" ht="15.75" thickBot="1" x14ac:dyDescent="0.3">
      <c r="A13" s="12" t="s">
        <v>8</v>
      </c>
      <c r="B13" s="16">
        <f>SUM(B12:L12)</f>
        <v>8.9323659887670175</v>
      </c>
      <c r="O13" s="20">
        <v>0.12</v>
      </c>
      <c r="P13" s="21">
        <v>77.399107886356518</v>
      </c>
      <c r="Q13" s="22">
        <f t="shared" si="0"/>
        <v>-5.9918110420212278E-2</v>
      </c>
      <c r="R13" s="59">
        <f t="shared" si="1"/>
        <v>9.0909090909090864</v>
      </c>
      <c r="S13" s="4">
        <f t="shared" si="2"/>
        <v>-6.5909921462233541E-3</v>
      </c>
    </row>
    <row r="14" spans="1:19" x14ac:dyDescent="0.25">
      <c r="O14" s="20">
        <v>0.13</v>
      </c>
      <c r="P14" s="21">
        <v>72.868782620235635</v>
      </c>
      <c r="Q14" s="22">
        <f t="shared" si="0"/>
        <v>-5.8532008828482418E-2</v>
      </c>
      <c r="R14" s="59">
        <f t="shared" si="1"/>
        <v>8.333333333333341</v>
      </c>
      <c r="S14" s="4">
        <f t="shared" si="2"/>
        <v>-7.0238410594178841E-3</v>
      </c>
    </row>
    <row r="15" spans="1:19" x14ac:dyDescent="0.25">
      <c r="O15" s="20">
        <v>0.14000000000000001</v>
      </c>
      <c r="P15" s="21">
        <v>68.703306122238473</v>
      </c>
      <c r="Q15" s="22">
        <f t="shared" si="0"/>
        <v>-5.7164074219629005E-2</v>
      </c>
      <c r="R15" s="59">
        <f t="shared" si="1"/>
        <v>7.6923076923076987</v>
      </c>
      <c r="S15" s="4">
        <f t="shared" si="2"/>
        <v>-7.4313296485517648E-3</v>
      </c>
    </row>
    <row r="16" spans="1:19" ht="15.75" thickBot="1" x14ac:dyDescent="0.3">
      <c r="O16" s="23">
        <v>0.15</v>
      </c>
      <c r="P16" s="24">
        <v>64.868619619020436</v>
      </c>
      <c r="Q16" s="25">
        <f t="shared" si="0"/>
        <v>-5.5815166978940962E-2</v>
      </c>
      <c r="R16" s="59">
        <f t="shared" si="1"/>
        <v>7.1428571428571281</v>
      </c>
      <c r="S16" s="4">
        <f t="shared" si="2"/>
        <v>-7.8141233770517501E-3</v>
      </c>
    </row>
    <row r="18" spans="15:17" x14ac:dyDescent="0.25">
      <c r="O18" s="3" t="s">
        <v>48</v>
      </c>
      <c r="P18" s="3" t="s">
        <v>8</v>
      </c>
      <c r="Q18" s="3" t="s">
        <v>76</v>
      </c>
    </row>
    <row r="19" spans="15:17" x14ac:dyDescent="0.25">
      <c r="O19" s="20">
        <v>0.5</v>
      </c>
      <c r="P19" s="21">
        <v>17.456688512929901</v>
      </c>
      <c r="Q19" s="26"/>
    </row>
    <row r="20" spans="15:17" ht="15.75" thickBot="1" x14ac:dyDescent="0.3">
      <c r="O20" s="23">
        <v>0.51</v>
      </c>
      <c r="P20" s="24">
        <v>17.054409047575597</v>
      </c>
      <c r="Q20" s="25">
        <f>(P20-P19)/P19</f>
        <v>-2.3044431654740374E-2</v>
      </c>
    </row>
    <row r="22" spans="15:17" x14ac:dyDescent="0.25">
      <c r="O22" s="3" t="s">
        <v>48</v>
      </c>
      <c r="P22" s="3" t="s">
        <v>8</v>
      </c>
      <c r="Q22" s="3" t="s">
        <v>76</v>
      </c>
    </row>
    <row r="23" spans="15:17" x14ac:dyDescent="0.25">
      <c r="O23" s="20">
        <v>0.9</v>
      </c>
      <c r="P23" s="21">
        <v>9.0374945429138869</v>
      </c>
      <c r="Q23" s="26"/>
    </row>
    <row r="24" spans="15:17" ht="15.75" thickBot="1" x14ac:dyDescent="0.3">
      <c r="O24" s="23">
        <v>0.91</v>
      </c>
      <c r="P24" s="24">
        <v>8.9323659887670175</v>
      </c>
      <c r="Q24" s="25">
        <f>(P24-P23)/P23</f>
        <v>-1.1632488810662521E-2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workbookViewId="0">
      <selection activeCell="J53" sqref="J53"/>
    </sheetView>
  </sheetViews>
  <sheetFormatPr defaultRowHeight="15" x14ac:dyDescent="0.25"/>
  <cols>
    <col min="1" max="1" width="17.85546875" customWidth="1"/>
    <col min="10" max="10" width="12.5703125" customWidth="1"/>
    <col min="11" max="11" width="19" customWidth="1"/>
    <col min="12" max="12" width="21.28515625" customWidth="1"/>
    <col min="14" max="14" width="18.140625" customWidth="1"/>
    <col min="17" max="17" width="15.140625" customWidth="1"/>
  </cols>
  <sheetData>
    <row r="1" spans="1:20" x14ac:dyDescent="0.25">
      <c r="A1" s="3" t="s">
        <v>0</v>
      </c>
      <c r="B1" s="3">
        <v>100</v>
      </c>
      <c r="C1" s="3"/>
      <c r="D1" s="3"/>
      <c r="E1" s="3"/>
      <c r="F1" s="3"/>
      <c r="I1" t="s">
        <v>45</v>
      </c>
      <c r="J1" t="s">
        <v>5</v>
      </c>
      <c r="K1" t="s">
        <v>68</v>
      </c>
      <c r="L1" t="s">
        <v>41</v>
      </c>
      <c r="N1" t="s">
        <v>72</v>
      </c>
      <c r="O1" t="s">
        <v>73</v>
      </c>
      <c r="Q1" s="3" t="s">
        <v>48</v>
      </c>
      <c r="R1" s="3" t="s">
        <v>8</v>
      </c>
    </row>
    <row r="2" spans="1:20" x14ac:dyDescent="0.25">
      <c r="A2" s="3" t="s">
        <v>56</v>
      </c>
      <c r="B2" s="3">
        <v>0.08</v>
      </c>
      <c r="C2" s="3"/>
      <c r="D2" s="3" t="s">
        <v>6</v>
      </c>
      <c r="E2" s="3">
        <f>B2*B1</f>
        <v>8</v>
      </c>
      <c r="F2" s="3"/>
      <c r="I2">
        <v>1</v>
      </c>
      <c r="J2">
        <v>8</v>
      </c>
      <c r="K2">
        <f>J2/(1+$B$3)^I2</f>
        <v>7.2727272727272725</v>
      </c>
      <c r="L2">
        <f>K2*I2</f>
        <v>7.2727272727272725</v>
      </c>
      <c r="N2">
        <f>I2^2+I2</f>
        <v>2</v>
      </c>
      <c r="O2">
        <f>K2*N2</f>
        <v>14.545454545454545</v>
      </c>
      <c r="Q2">
        <v>0.01</v>
      </c>
      <c r="R2">
        <v>166.29910000000001</v>
      </c>
    </row>
    <row r="3" spans="1:20" x14ac:dyDescent="0.25">
      <c r="A3" s="5" t="s">
        <v>48</v>
      </c>
      <c r="B3" s="5">
        <v>0.1</v>
      </c>
      <c r="C3" s="3"/>
      <c r="D3" s="3"/>
      <c r="E3" s="3"/>
      <c r="F3" s="3"/>
      <c r="I3">
        <v>2</v>
      </c>
      <c r="J3">
        <v>8</v>
      </c>
      <c r="K3">
        <f t="shared" ref="K3:K12" si="0">J3/(1+$B$3)^I3</f>
        <v>6.6115702479338836</v>
      </c>
      <c r="L3">
        <f t="shared" ref="L3:L12" si="1">K3*I3</f>
        <v>13.223140495867767</v>
      </c>
      <c r="N3">
        <f t="shared" ref="N3:N12" si="2">I3^2+I3</f>
        <v>6</v>
      </c>
      <c r="O3">
        <f t="shared" ref="O3:O12" si="3">K3*N3</f>
        <v>39.669421487603302</v>
      </c>
      <c r="Q3">
        <v>0.02</v>
      </c>
      <c r="R3">
        <v>153.8955</v>
      </c>
    </row>
    <row r="4" spans="1:20" x14ac:dyDescent="0.25">
      <c r="A4" s="3" t="s">
        <v>3</v>
      </c>
      <c r="B4" s="3">
        <v>10</v>
      </c>
      <c r="C4" s="3"/>
      <c r="D4" s="3"/>
      <c r="E4" s="3"/>
      <c r="F4" s="3"/>
      <c r="I4">
        <v>3</v>
      </c>
      <c r="J4">
        <v>8</v>
      </c>
      <c r="K4">
        <f t="shared" si="0"/>
        <v>6.0105184072126203</v>
      </c>
      <c r="L4">
        <f t="shared" si="1"/>
        <v>18.031555221637859</v>
      </c>
      <c r="N4">
        <f t="shared" si="2"/>
        <v>12</v>
      </c>
      <c r="O4">
        <f t="shared" si="3"/>
        <v>72.126220886551437</v>
      </c>
      <c r="Q4">
        <v>0.03</v>
      </c>
      <c r="R4">
        <v>142.65100000000001</v>
      </c>
    </row>
    <row r="5" spans="1:20" x14ac:dyDescent="0.25">
      <c r="I5">
        <v>4</v>
      </c>
      <c r="J5">
        <v>8</v>
      </c>
      <c r="K5">
        <f t="shared" si="0"/>
        <v>5.4641076429205642</v>
      </c>
      <c r="L5">
        <f t="shared" si="1"/>
        <v>21.856430571682257</v>
      </c>
      <c r="N5">
        <f t="shared" si="2"/>
        <v>20</v>
      </c>
      <c r="O5">
        <f t="shared" si="3"/>
        <v>109.28215285841128</v>
      </c>
      <c r="Q5">
        <v>0.04</v>
      </c>
      <c r="R5">
        <v>132.4436</v>
      </c>
    </row>
    <row r="6" spans="1:20" x14ac:dyDescent="0.25">
      <c r="A6" s="3" t="s">
        <v>4</v>
      </c>
      <c r="I6">
        <v>5</v>
      </c>
      <c r="J6">
        <v>8</v>
      </c>
      <c r="K6">
        <f t="shared" si="0"/>
        <v>4.9673705844732394</v>
      </c>
      <c r="L6">
        <f t="shared" si="1"/>
        <v>24.836852922366198</v>
      </c>
      <c r="N6">
        <f t="shared" si="2"/>
        <v>30</v>
      </c>
      <c r="O6">
        <f t="shared" si="3"/>
        <v>149.02111753419717</v>
      </c>
      <c r="Q6">
        <v>0.05</v>
      </c>
      <c r="R6">
        <v>123.16520478755443</v>
      </c>
    </row>
    <row r="7" spans="1:20" x14ac:dyDescent="0.25">
      <c r="I7">
        <v>6</v>
      </c>
      <c r="J7">
        <v>8</v>
      </c>
      <c r="K7">
        <f t="shared" si="0"/>
        <v>4.5157914404302177</v>
      </c>
      <c r="L7">
        <f t="shared" si="1"/>
        <v>27.094748642581308</v>
      </c>
      <c r="N7">
        <f t="shared" si="2"/>
        <v>42</v>
      </c>
      <c r="O7">
        <f t="shared" si="3"/>
        <v>189.66324049806914</v>
      </c>
      <c r="Q7">
        <v>0.06</v>
      </c>
      <c r="R7">
        <v>114.72017410282933</v>
      </c>
    </row>
    <row r="8" spans="1:20" x14ac:dyDescent="0.25">
      <c r="I8">
        <v>7</v>
      </c>
      <c r="J8">
        <v>8</v>
      </c>
      <c r="K8">
        <f t="shared" si="0"/>
        <v>4.1052649458456516</v>
      </c>
      <c r="L8">
        <f t="shared" si="1"/>
        <v>28.736854620919562</v>
      </c>
      <c r="N8">
        <f t="shared" si="2"/>
        <v>56</v>
      </c>
      <c r="O8">
        <f t="shared" si="3"/>
        <v>229.8948369673565</v>
      </c>
      <c r="Q8">
        <v>7.0000000000000007E-2</v>
      </c>
      <c r="R8">
        <v>107.02358154093258</v>
      </c>
    </row>
    <row r="9" spans="1:20" x14ac:dyDescent="0.25">
      <c r="I9">
        <v>8</v>
      </c>
      <c r="J9">
        <v>8</v>
      </c>
      <c r="K9">
        <f t="shared" si="0"/>
        <v>3.7320590416778652</v>
      </c>
      <c r="L9">
        <f t="shared" si="1"/>
        <v>29.856472333422921</v>
      </c>
      <c r="N9">
        <f t="shared" si="2"/>
        <v>72</v>
      </c>
      <c r="O9">
        <f t="shared" si="3"/>
        <v>268.70825100080629</v>
      </c>
      <c r="Q9" s="2">
        <v>0.08</v>
      </c>
      <c r="R9" s="2">
        <v>99.999999999999972</v>
      </c>
    </row>
    <row r="10" spans="1:20" ht="15.75" thickBot="1" x14ac:dyDescent="0.3">
      <c r="I10">
        <v>9</v>
      </c>
      <c r="J10">
        <v>8</v>
      </c>
      <c r="K10">
        <f t="shared" si="0"/>
        <v>3.3927809469798773</v>
      </c>
      <c r="L10">
        <f t="shared" si="1"/>
        <v>30.535028522818894</v>
      </c>
      <c r="N10">
        <f t="shared" si="2"/>
        <v>90</v>
      </c>
      <c r="O10">
        <f t="shared" si="3"/>
        <v>305.35028522818897</v>
      </c>
      <c r="Q10">
        <v>0.09</v>
      </c>
      <c r="R10">
        <v>93.582342298840956</v>
      </c>
      <c r="T10" s="10">
        <f>(R9-R11)/R11</f>
        <v>0.14010959874720497</v>
      </c>
    </row>
    <row r="11" spans="1:20" ht="15.75" thickBot="1" x14ac:dyDescent="0.3">
      <c r="I11">
        <v>10</v>
      </c>
      <c r="J11">
        <v>8</v>
      </c>
      <c r="K11">
        <f t="shared" si="0"/>
        <v>3.0843463154362518</v>
      </c>
      <c r="L11">
        <f t="shared" si="1"/>
        <v>30.843463154362517</v>
      </c>
      <c r="N11">
        <f t="shared" si="2"/>
        <v>110</v>
      </c>
      <c r="O11">
        <f t="shared" si="3"/>
        <v>339.27809469798768</v>
      </c>
      <c r="Q11" s="8">
        <v>0.1</v>
      </c>
      <c r="R11" s="9">
        <v>87.710865788590596</v>
      </c>
      <c r="S11" s="10">
        <f>(R10-R11)/R11</f>
        <v>6.6941267281551795E-2</v>
      </c>
    </row>
    <row r="12" spans="1:20" x14ac:dyDescent="0.25">
      <c r="I12">
        <v>10</v>
      </c>
      <c r="J12">
        <v>100</v>
      </c>
      <c r="K12">
        <f t="shared" si="0"/>
        <v>38.554328942953148</v>
      </c>
      <c r="L12">
        <f t="shared" si="1"/>
        <v>385.54328942953146</v>
      </c>
      <c r="N12">
        <f t="shared" si="2"/>
        <v>110</v>
      </c>
      <c r="O12">
        <f t="shared" si="3"/>
        <v>4240.9761837248461</v>
      </c>
      <c r="Q12">
        <v>0.11</v>
      </c>
      <c r="R12">
        <v>82.332303966576319</v>
      </c>
      <c r="S12" s="10">
        <f>(R12-R11)/R11</f>
        <v>-6.1321499607337342E-2</v>
      </c>
    </row>
    <row r="13" spans="1:20" x14ac:dyDescent="0.25">
      <c r="I13" t="s">
        <v>42</v>
      </c>
      <c r="J13">
        <f>SUM(J2:J12)</f>
        <v>180</v>
      </c>
      <c r="K13">
        <f t="shared" ref="K13:L13" si="4">SUM(K2:K12)</f>
        <v>87.710865788590596</v>
      </c>
      <c r="L13">
        <f t="shared" si="4"/>
        <v>617.83056318791796</v>
      </c>
      <c r="O13">
        <f>SUM(O2:O12)</f>
        <v>5958.5152594294723</v>
      </c>
      <c r="Q13">
        <v>0.12</v>
      </c>
      <c r="R13">
        <v>77.399107886356518</v>
      </c>
      <c r="T13" s="10">
        <f>(R13-R11)/R11</f>
        <v>-0.11756534164294417</v>
      </c>
    </row>
    <row r="14" spans="1:20" ht="15.75" thickBot="1" x14ac:dyDescent="0.3">
      <c r="Q14">
        <v>0.13</v>
      </c>
      <c r="R14">
        <v>72.868782620235635</v>
      </c>
    </row>
    <row r="15" spans="1:20" x14ac:dyDescent="0.25">
      <c r="I15" s="27" t="s">
        <v>70</v>
      </c>
      <c r="J15" s="28">
        <f>L13/K13</f>
        <v>7.0439455548993699</v>
      </c>
      <c r="K15" s="28"/>
      <c r="L15" s="29" t="s">
        <v>43</v>
      </c>
      <c r="N15">
        <f>1/(1.1^2)</f>
        <v>0.82644628099173545</v>
      </c>
      <c r="Q15">
        <v>0.14000000000000001</v>
      </c>
      <c r="R15">
        <v>68.703306122238473</v>
      </c>
    </row>
    <row r="16" spans="1:20" x14ac:dyDescent="0.25">
      <c r="I16" s="30" t="s">
        <v>71</v>
      </c>
      <c r="J16" s="31">
        <f>J15/1+B3</f>
        <v>7.1439455548993696</v>
      </c>
      <c r="K16" s="31"/>
      <c r="L16" s="32" t="s">
        <v>44</v>
      </c>
      <c r="N16">
        <f>O13*N15</f>
        <v>4924.3927763879929</v>
      </c>
      <c r="Q16">
        <v>0.15</v>
      </c>
      <c r="R16">
        <v>64.868619619020436</v>
      </c>
    </row>
    <row r="17" spans="1:19" x14ac:dyDescent="0.25">
      <c r="I17" s="30"/>
      <c r="J17" s="31"/>
      <c r="K17" s="31"/>
      <c r="L17" s="32"/>
      <c r="N17">
        <f>N16/K13</f>
        <v>56.143474723613508</v>
      </c>
    </row>
    <row r="18" spans="1:19" ht="15.75" thickBot="1" x14ac:dyDescent="0.3">
      <c r="I18" s="33" t="s">
        <v>47</v>
      </c>
      <c r="J18" s="34">
        <f>O13*1/(1+B3)^2/K13</f>
        <v>56.143474723613508</v>
      </c>
      <c r="K18" s="34"/>
      <c r="L18" s="35"/>
    </row>
    <row r="20" spans="1:19" ht="15.75" thickBot="1" x14ac:dyDescent="0.3"/>
    <row r="21" spans="1:19" x14ac:dyDescent="0.25">
      <c r="I21" t="s">
        <v>51</v>
      </c>
      <c r="J21" t="s">
        <v>52</v>
      </c>
      <c r="K21" s="17" t="s">
        <v>53</v>
      </c>
      <c r="L21" s="36">
        <f>1/1.1*J15*0.01</f>
        <v>6.4035868680903357E-2</v>
      </c>
      <c r="N21" s="17" t="s">
        <v>54</v>
      </c>
      <c r="O21" s="36">
        <f>0.5*J18*((1/1.1)^2)*(0.01^2)</f>
        <v>2.3199782943641944E-3</v>
      </c>
      <c r="Q21" s="17" t="s">
        <v>55</v>
      </c>
      <c r="R21" s="18">
        <f>L21+O21</f>
        <v>6.6355846975267557E-2</v>
      </c>
      <c r="S21" s="36">
        <f>-L21+O21</f>
        <v>-6.1715890386539164E-2</v>
      </c>
    </row>
    <row r="22" spans="1:19" ht="15.75" thickBot="1" x14ac:dyDescent="0.3">
      <c r="I22" t="s">
        <v>49</v>
      </c>
      <c r="J22" t="s">
        <v>50</v>
      </c>
      <c r="K22" s="23"/>
      <c r="L22" s="37">
        <f>1/1.1*J15*0.02</f>
        <v>0.12807173736180671</v>
      </c>
      <c r="N22" s="23"/>
      <c r="O22" s="37">
        <f>1/2*J18*((1/1.1)^2)*0.02^2</f>
        <v>9.2799131774567774E-3</v>
      </c>
      <c r="Q22" s="23"/>
      <c r="R22" s="24">
        <f>L22+O22</f>
        <v>0.13735165053926349</v>
      </c>
      <c r="S22" s="37">
        <f>-L22+O22</f>
        <v>-0.11879182418434994</v>
      </c>
    </row>
    <row r="25" spans="1:19" x14ac:dyDescent="0.25">
      <c r="A25" s="38" t="s">
        <v>67</v>
      </c>
    </row>
    <row r="26" spans="1:19" x14ac:dyDescent="0.25">
      <c r="I26" t="s">
        <v>45</v>
      </c>
      <c r="J26" t="s">
        <v>5</v>
      </c>
      <c r="K26" t="s">
        <v>69</v>
      </c>
      <c r="L26" t="s">
        <v>41</v>
      </c>
      <c r="N26" t="s">
        <v>46</v>
      </c>
      <c r="O26" t="s">
        <v>73</v>
      </c>
    </row>
    <row r="27" spans="1:19" x14ac:dyDescent="0.25">
      <c r="A27" s="3" t="s">
        <v>0</v>
      </c>
      <c r="B27" s="3">
        <v>100</v>
      </c>
      <c r="C27" s="3"/>
      <c r="D27" s="3"/>
      <c r="E27" s="3"/>
      <c r="F27" s="3"/>
      <c r="I27">
        <v>1</v>
      </c>
      <c r="J27">
        <v>4</v>
      </c>
      <c r="K27">
        <f>J27/(1+$B$29)^I27</f>
        <v>3.8095238095238093</v>
      </c>
      <c r="L27">
        <f>I27*K27</f>
        <v>3.8095238095238093</v>
      </c>
      <c r="N27">
        <f>I27^2+I27</f>
        <v>2</v>
      </c>
      <c r="O27">
        <f>N27*K27</f>
        <v>7.6190476190476186</v>
      </c>
    </row>
    <row r="28" spans="1:19" x14ac:dyDescent="0.25">
      <c r="A28" s="3" t="s">
        <v>56</v>
      </c>
      <c r="B28" s="3">
        <f>0.08/2</f>
        <v>0.04</v>
      </c>
      <c r="C28" s="3"/>
      <c r="D28" s="3" t="s">
        <v>6</v>
      </c>
      <c r="E28" s="3">
        <f>B28*B27</f>
        <v>4</v>
      </c>
      <c r="F28" s="3"/>
      <c r="I28">
        <v>2</v>
      </c>
      <c r="J28">
        <v>4</v>
      </c>
      <c r="K28">
        <f t="shared" ref="K28:K47" si="5">J28/(1+$B$29)^I28</f>
        <v>3.6281179138321993</v>
      </c>
      <c r="L28">
        <f t="shared" ref="L28:L48" si="6">I28*K28</f>
        <v>7.2562358276643986</v>
      </c>
      <c r="N28">
        <f t="shared" ref="N28:N47" si="7">I28^2+I28</f>
        <v>6</v>
      </c>
      <c r="O28">
        <f t="shared" ref="O28:O47" si="8">N28*K28</f>
        <v>21.768707482993197</v>
      </c>
    </row>
    <row r="29" spans="1:19" x14ac:dyDescent="0.25">
      <c r="A29" s="5" t="s">
        <v>48</v>
      </c>
      <c r="B29" s="5">
        <f>0.1/2</f>
        <v>0.05</v>
      </c>
      <c r="C29" s="3"/>
      <c r="D29" s="3"/>
      <c r="E29" s="3"/>
      <c r="F29" s="3"/>
      <c r="I29">
        <v>3</v>
      </c>
      <c r="J29">
        <v>4</v>
      </c>
      <c r="K29">
        <f t="shared" si="5"/>
        <v>3.4553503941259041</v>
      </c>
      <c r="L29">
        <f t="shared" si="6"/>
        <v>10.366051182377712</v>
      </c>
      <c r="N29">
        <f t="shared" si="7"/>
        <v>12</v>
      </c>
      <c r="O29">
        <f t="shared" si="8"/>
        <v>41.464204729510847</v>
      </c>
    </row>
    <row r="30" spans="1:19" x14ac:dyDescent="0.25">
      <c r="A30" s="3" t="s">
        <v>3</v>
      </c>
      <c r="B30" s="3">
        <f>20</f>
        <v>20</v>
      </c>
      <c r="C30" s="3"/>
      <c r="D30" s="3"/>
      <c r="E30" s="3"/>
      <c r="F30" s="3"/>
      <c r="I30">
        <v>4</v>
      </c>
      <c r="J30">
        <v>4</v>
      </c>
      <c r="K30">
        <f t="shared" si="5"/>
        <v>3.2908098991675279</v>
      </c>
      <c r="L30">
        <f t="shared" si="6"/>
        <v>13.163239596670111</v>
      </c>
      <c r="N30">
        <f t="shared" si="7"/>
        <v>20</v>
      </c>
      <c r="O30">
        <f t="shared" si="8"/>
        <v>65.816197983350563</v>
      </c>
    </row>
    <row r="31" spans="1:19" x14ac:dyDescent="0.25">
      <c r="I31">
        <v>5</v>
      </c>
      <c r="J31">
        <v>4</v>
      </c>
      <c r="K31">
        <f t="shared" si="5"/>
        <v>3.1341046658738358</v>
      </c>
      <c r="L31">
        <f t="shared" si="6"/>
        <v>15.670523329369178</v>
      </c>
      <c r="N31">
        <f t="shared" si="7"/>
        <v>30</v>
      </c>
      <c r="O31">
        <f t="shared" si="8"/>
        <v>94.023139976215077</v>
      </c>
    </row>
    <row r="32" spans="1:19" x14ac:dyDescent="0.25">
      <c r="I32">
        <v>6</v>
      </c>
      <c r="J32">
        <v>4</v>
      </c>
      <c r="K32">
        <f t="shared" si="5"/>
        <v>2.9848615865465105</v>
      </c>
      <c r="L32">
        <f t="shared" si="6"/>
        <v>17.909169519279061</v>
      </c>
      <c r="N32">
        <f t="shared" si="7"/>
        <v>42</v>
      </c>
      <c r="O32">
        <f t="shared" si="8"/>
        <v>125.36418663495344</v>
      </c>
    </row>
    <row r="33" spans="9:15" x14ac:dyDescent="0.25">
      <c r="I33">
        <v>7</v>
      </c>
      <c r="J33">
        <v>4</v>
      </c>
      <c r="K33">
        <f t="shared" si="5"/>
        <v>2.8427253205204859</v>
      </c>
      <c r="L33">
        <f t="shared" si="6"/>
        <v>19.899077243643401</v>
      </c>
      <c r="N33">
        <f t="shared" si="7"/>
        <v>56</v>
      </c>
      <c r="O33">
        <f t="shared" si="8"/>
        <v>159.19261794914721</v>
      </c>
    </row>
    <row r="34" spans="9:15" x14ac:dyDescent="0.25">
      <c r="I34">
        <v>8</v>
      </c>
      <c r="J34">
        <v>4</v>
      </c>
      <c r="K34">
        <f t="shared" si="5"/>
        <v>2.7073574481147489</v>
      </c>
      <c r="L34">
        <f t="shared" si="6"/>
        <v>21.658859584917991</v>
      </c>
      <c r="N34">
        <f t="shared" si="7"/>
        <v>72</v>
      </c>
      <c r="O34">
        <f t="shared" si="8"/>
        <v>194.92973626426192</v>
      </c>
    </row>
    <row r="35" spans="9:15" x14ac:dyDescent="0.25">
      <c r="I35">
        <v>9</v>
      </c>
      <c r="J35">
        <v>4</v>
      </c>
      <c r="K35">
        <f t="shared" si="5"/>
        <v>2.578435664871189</v>
      </c>
      <c r="L35">
        <f t="shared" si="6"/>
        <v>23.205920983840702</v>
      </c>
      <c r="N35">
        <f t="shared" si="7"/>
        <v>90</v>
      </c>
      <c r="O35">
        <f t="shared" si="8"/>
        <v>232.05920983840701</v>
      </c>
    </row>
    <row r="36" spans="9:15" x14ac:dyDescent="0.25">
      <c r="I36">
        <v>10</v>
      </c>
      <c r="J36">
        <v>4</v>
      </c>
      <c r="K36">
        <f t="shared" si="5"/>
        <v>2.4556530141630373</v>
      </c>
      <c r="L36">
        <f t="shared" si="6"/>
        <v>24.556530141630372</v>
      </c>
      <c r="N36">
        <f t="shared" si="7"/>
        <v>110</v>
      </c>
      <c r="O36">
        <f t="shared" si="8"/>
        <v>270.12183155793412</v>
      </c>
    </row>
    <row r="37" spans="9:15" x14ac:dyDescent="0.25">
      <c r="I37">
        <v>11</v>
      </c>
      <c r="J37">
        <v>4</v>
      </c>
      <c r="K37">
        <f t="shared" si="5"/>
        <v>2.3387171563457496</v>
      </c>
      <c r="L37">
        <f t="shared" si="6"/>
        <v>25.725888719803244</v>
      </c>
      <c r="N37">
        <f t="shared" si="7"/>
        <v>132</v>
      </c>
      <c r="O37">
        <f t="shared" si="8"/>
        <v>308.71066463763896</v>
      </c>
    </row>
    <row r="38" spans="9:15" x14ac:dyDescent="0.25">
      <c r="I38">
        <v>12</v>
      </c>
      <c r="J38">
        <v>4</v>
      </c>
      <c r="K38">
        <f t="shared" si="5"/>
        <v>2.227349672710238</v>
      </c>
      <c r="L38">
        <f t="shared" si="6"/>
        <v>26.728196072522856</v>
      </c>
      <c r="N38">
        <f t="shared" si="7"/>
        <v>156</v>
      </c>
      <c r="O38">
        <f t="shared" si="8"/>
        <v>347.46654894279715</v>
      </c>
    </row>
    <row r="39" spans="9:15" x14ac:dyDescent="0.25">
      <c r="I39">
        <v>13</v>
      </c>
      <c r="J39">
        <v>4</v>
      </c>
      <c r="K39">
        <f t="shared" si="5"/>
        <v>2.1212854025811785</v>
      </c>
      <c r="L39">
        <f t="shared" si="6"/>
        <v>27.576710233555321</v>
      </c>
      <c r="N39">
        <f t="shared" si="7"/>
        <v>182</v>
      </c>
      <c r="O39">
        <f t="shared" si="8"/>
        <v>386.07394326977447</v>
      </c>
    </row>
    <row r="40" spans="9:15" x14ac:dyDescent="0.25">
      <c r="I40">
        <v>14</v>
      </c>
      <c r="J40">
        <v>4</v>
      </c>
      <c r="K40">
        <f t="shared" si="5"/>
        <v>2.0202718119820755</v>
      </c>
      <c r="L40">
        <f t="shared" si="6"/>
        <v>28.283805367749057</v>
      </c>
      <c r="N40">
        <f t="shared" si="7"/>
        <v>210</v>
      </c>
      <c r="O40">
        <f t="shared" si="8"/>
        <v>424.25708051623587</v>
      </c>
    </row>
    <row r="41" spans="9:15" x14ac:dyDescent="0.25">
      <c r="I41">
        <v>15</v>
      </c>
      <c r="J41">
        <v>4</v>
      </c>
      <c r="K41">
        <f t="shared" si="5"/>
        <v>1.9240683923638808</v>
      </c>
      <c r="L41">
        <f t="shared" si="6"/>
        <v>28.861025885458211</v>
      </c>
      <c r="N41">
        <f t="shared" si="7"/>
        <v>240</v>
      </c>
      <c r="O41">
        <f t="shared" si="8"/>
        <v>461.77641416733138</v>
      </c>
    </row>
    <row r="42" spans="9:15" x14ac:dyDescent="0.25">
      <c r="I42">
        <v>16</v>
      </c>
      <c r="J42">
        <v>4</v>
      </c>
      <c r="K42">
        <f t="shared" si="5"/>
        <v>1.8324460879656008</v>
      </c>
      <c r="L42">
        <f t="shared" si="6"/>
        <v>29.319137407449613</v>
      </c>
      <c r="N42">
        <f t="shared" si="7"/>
        <v>272</v>
      </c>
      <c r="O42">
        <f t="shared" si="8"/>
        <v>498.42533592664341</v>
      </c>
    </row>
    <row r="43" spans="9:15" x14ac:dyDescent="0.25">
      <c r="I43">
        <v>17</v>
      </c>
      <c r="J43">
        <v>4</v>
      </c>
      <c r="K43">
        <f t="shared" si="5"/>
        <v>1.7451867504434291</v>
      </c>
      <c r="L43">
        <f t="shared" si="6"/>
        <v>29.668174757538296</v>
      </c>
      <c r="N43">
        <f t="shared" si="7"/>
        <v>306</v>
      </c>
      <c r="O43">
        <f t="shared" si="8"/>
        <v>534.02714563568929</v>
      </c>
    </row>
    <row r="44" spans="9:15" x14ac:dyDescent="0.25">
      <c r="I44">
        <v>18</v>
      </c>
      <c r="J44">
        <v>4</v>
      </c>
      <c r="K44">
        <f t="shared" si="5"/>
        <v>1.6620826194699325</v>
      </c>
      <c r="L44">
        <f t="shared" si="6"/>
        <v>29.917487150458786</v>
      </c>
      <c r="N44">
        <f t="shared" si="7"/>
        <v>342</v>
      </c>
      <c r="O44">
        <f t="shared" si="8"/>
        <v>568.43225585871687</v>
      </c>
    </row>
    <row r="45" spans="9:15" x14ac:dyDescent="0.25">
      <c r="I45">
        <v>19</v>
      </c>
      <c r="J45">
        <v>4</v>
      </c>
      <c r="K45">
        <f t="shared" si="5"/>
        <v>1.5829358280666024</v>
      </c>
      <c r="L45">
        <f t="shared" si="6"/>
        <v>30.075780733265447</v>
      </c>
      <c r="N45">
        <f t="shared" si="7"/>
        <v>380</v>
      </c>
      <c r="O45">
        <f t="shared" si="8"/>
        <v>601.51561466530893</v>
      </c>
    </row>
    <row r="46" spans="9:15" x14ac:dyDescent="0.25">
      <c r="I46">
        <v>20</v>
      </c>
      <c r="J46">
        <v>4</v>
      </c>
      <c r="K46">
        <f t="shared" si="5"/>
        <v>1.5075579314920025</v>
      </c>
      <c r="L46">
        <f t="shared" si="6"/>
        <v>30.151158629840047</v>
      </c>
      <c r="N46">
        <f t="shared" si="7"/>
        <v>420</v>
      </c>
      <c r="O46">
        <f t="shared" si="8"/>
        <v>633.17433122664102</v>
      </c>
    </row>
    <row r="47" spans="9:15" x14ac:dyDescent="0.25">
      <c r="I47">
        <v>20</v>
      </c>
      <c r="J47">
        <v>100</v>
      </c>
      <c r="K47">
        <f t="shared" si="5"/>
        <v>37.688948287300057</v>
      </c>
      <c r="L47">
        <f t="shared" si="6"/>
        <v>753.77896574600118</v>
      </c>
      <c r="N47">
        <f t="shared" si="7"/>
        <v>420</v>
      </c>
      <c r="O47">
        <f t="shared" si="8"/>
        <v>15829.358280666023</v>
      </c>
    </row>
    <row r="48" spans="9:15" x14ac:dyDescent="0.25">
      <c r="I48" t="s">
        <v>42</v>
      </c>
      <c r="K48">
        <f>SUM(K27:K47)</f>
        <v>87.537789657459996</v>
      </c>
      <c r="L48">
        <f>SUM(L27:L47)</f>
        <v>1197.5814619225587</v>
      </c>
      <c r="O48">
        <f>SUM(O27:O47)</f>
        <v>21805.576495548623</v>
      </c>
    </row>
    <row r="49" spans="9:19" ht="15.75" thickBot="1" x14ac:dyDescent="0.3"/>
    <row r="50" spans="9:19" x14ac:dyDescent="0.25">
      <c r="I50" s="17" t="s">
        <v>70</v>
      </c>
      <c r="J50" s="18">
        <f>L48/(2*K48)</f>
        <v>6.8403684089394892</v>
      </c>
      <c r="K50" s="18"/>
      <c r="L50" s="36" t="s">
        <v>43</v>
      </c>
    </row>
    <row r="51" spans="9:19" x14ac:dyDescent="0.25">
      <c r="I51" s="20" t="s">
        <v>71</v>
      </c>
      <c r="J51" s="21">
        <f>J50/(1+B29)</f>
        <v>6.51463657994237</v>
      </c>
      <c r="K51" s="21"/>
      <c r="L51" s="26" t="s">
        <v>44</v>
      </c>
    </row>
    <row r="52" spans="9:19" x14ac:dyDescent="0.25">
      <c r="I52" s="20"/>
      <c r="J52" s="21"/>
      <c r="K52" s="21"/>
      <c r="L52" s="26"/>
    </row>
    <row r="53" spans="9:19" ht="15.75" thickBot="1" x14ac:dyDescent="0.3">
      <c r="I53" s="23" t="s">
        <v>47</v>
      </c>
      <c r="J53" s="24">
        <f>((1/(1.05^2))*O48)/(4*K48)</f>
        <v>56.485035644685894</v>
      </c>
      <c r="K53" s="24"/>
      <c r="L53" s="37"/>
    </row>
    <row r="54" spans="9:19" ht="15.75" thickBot="1" x14ac:dyDescent="0.3"/>
    <row r="55" spans="9:19" x14ac:dyDescent="0.25">
      <c r="I55" t="s">
        <v>51</v>
      </c>
      <c r="J55" t="s">
        <v>74</v>
      </c>
      <c r="K55" t="s">
        <v>53</v>
      </c>
      <c r="L55">
        <f>(1/1.05)*J50*0.01</f>
        <v>6.5146365799423706E-2</v>
      </c>
      <c r="N55" t="s">
        <v>54</v>
      </c>
      <c r="O55">
        <f>0.5*J53*1/1.05^2*0.01^2</f>
        <v>2.5616796210741902E-3</v>
      </c>
      <c r="Q55" s="17" t="s">
        <v>55</v>
      </c>
      <c r="R55" s="18">
        <f>L55+O55</f>
        <v>6.7708045420497895E-2</v>
      </c>
      <c r="S55" s="36">
        <f>-L55+O55</f>
        <v>-6.2584686178349516E-2</v>
      </c>
    </row>
    <row r="56" spans="9:19" ht="15.75" thickBot="1" x14ac:dyDescent="0.3">
      <c r="I56" t="s">
        <v>49</v>
      </c>
      <c r="J56" t="s">
        <v>75</v>
      </c>
      <c r="L56">
        <f>(1/1.1)*J51*(0.02)</f>
        <v>0.11844793781713399</v>
      </c>
      <c r="O56">
        <f>0.5*J53*1/1.05^2*0.02^2</f>
        <v>1.0246718484296761E-2</v>
      </c>
      <c r="Q56" s="23"/>
      <c r="R56" s="24">
        <f>L56+O56</f>
        <v>0.12869465630143076</v>
      </c>
      <c r="S56" s="37">
        <f>-L56+O56</f>
        <v>-0.10820121933283723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workbookViewId="0">
      <selection activeCell="F1" sqref="A1:XFD1048576"/>
    </sheetView>
  </sheetViews>
  <sheetFormatPr defaultRowHeight="15" x14ac:dyDescent="0.25"/>
  <cols>
    <col min="3" max="3" width="16.28515625" bestFit="1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price</vt:lpstr>
      <vt:lpstr>yield, resp. rate of return</vt:lpstr>
      <vt:lpstr>Elasticity</vt:lpstr>
      <vt:lpstr>Dur + Convex</vt:lpstr>
      <vt:lpstr>List5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Linnertova Dagmar</dc:creator>
  <cp:lastModifiedBy>Linnertova Dagmar</cp:lastModifiedBy>
  <dcterms:created xsi:type="dcterms:W3CDTF">2015-03-16T13:24:44Z</dcterms:created>
  <dcterms:modified xsi:type="dcterms:W3CDTF">2015-03-17T09:54:02Z</dcterms:modified>
</cp:coreProperties>
</file>