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bookViews>
    <workbookView xWindow="0" yWindow="0" windowWidth="1920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U30" i="1"/>
  <c r="V42" i="1"/>
  <c r="W42" i="1"/>
  <c r="U42" i="1"/>
  <c r="R44" i="1" a="1"/>
  <c r="R44" i="1" s="1"/>
  <c r="R45" i="1"/>
  <c r="R47" i="1"/>
  <c r="L44" i="1" a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T20" i="1"/>
  <c r="O42" i="1"/>
  <c r="P42" i="1"/>
  <c r="P41" i="1"/>
  <c r="L42" i="1" a="1"/>
  <c r="L42" i="1" s="1"/>
  <c r="M42" i="1"/>
  <c r="P39" i="1"/>
  <c r="P40" i="1"/>
  <c r="P38" i="1"/>
  <c r="L39" i="1"/>
  <c r="M39" i="1"/>
  <c r="N39" i="1"/>
  <c r="O39" i="1"/>
  <c r="L40" i="1"/>
  <c r="M40" i="1"/>
  <c r="N40" i="1"/>
  <c r="O40" i="1"/>
  <c r="L41" i="1"/>
  <c r="M41" i="1"/>
  <c r="N41" i="1"/>
  <c r="O41" i="1"/>
  <c r="M38" i="1"/>
  <c r="N38" i="1"/>
  <c r="O38" i="1"/>
  <c r="L38" i="1"/>
  <c r="X23" i="1"/>
  <c r="W27" i="1"/>
  <c r="V27" i="1"/>
  <c r="X24" i="1"/>
  <c r="Y24" i="1"/>
  <c r="Z24" i="1"/>
  <c r="X25" i="1"/>
  <c r="Y25" i="1"/>
  <c r="Z25" i="1"/>
  <c r="Y23" i="1"/>
  <c r="Z23" i="1"/>
  <c r="X21" i="1" a="1"/>
  <c r="X21" i="1"/>
  <c r="Y21" i="1"/>
  <c r="Z21" i="1"/>
  <c r="U27" i="1"/>
  <c r="V26" i="1"/>
  <c r="W26" i="1"/>
  <c r="U26" i="1"/>
  <c r="Q31" i="1"/>
  <c r="Q28" i="1"/>
  <c r="Q29" i="1"/>
  <c r="Q27" i="1"/>
  <c r="P31" i="1"/>
  <c r="P27" i="1" a="1"/>
  <c r="P27" i="1" s="1"/>
  <c r="P23" i="1"/>
  <c r="P24" i="1"/>
  <c r="P22" i="1"/>
  <c r="L22" i="1" a="1"/>
  <c r="L22" i="1"/>
  <c r="M22" i="1"/>
  <c r="N22" i="1"/>
  <c r="L23" i="1"/>
  <c r="M23" i="1"/>
  <c r="N23" i="1"/>
  <c r="L24" i="1"/>
  <c r="M24" i="1"/>
  <c r="N24" i="1"/>
  <c r="A54" i="1"/>
  <c r="W14" i="1"/>
  <c r="X11" i="1"/>
  <c r="Y11" i="1"/>
  <c r="Z11" i="1"/>
  <c r="X12" i="1"/>
  <c r="Y12" i="1"/>
  <c r="Z12" i="1"/>
  <c r="Y10" i="1"/>
  <c r="Z10" i="1"/>
  <c r="X10" i="1"/>
  <c r="V14" i="1" s="1"/>
  <c r="X8" i="1" a="1"/>
  <c r="X8" i="1"/>
  <c r="Y8" i="1"/>
  <c r="Z8" i="1"/>
  <c r="U14" i="1"/>
  <c r="S14" i="1" a="1"/>
  <c r="S14" i="1"/>
  <c r="S15" i="1"/>
  <c r="S16" i="1"/>
  <c r="Q14" i="1" a="1"/>
  <c r="Q14" i="1"/>
  <c r="Q15" i="1"/>
  <c r="Q16" i="1"/>
  <c r="Q17" i="1"/>
  <c r="L14" i="1" a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9" i="1"/>
  <c r="M9" i="1"/>
  <c r="N9" i="1"/>
  <c r="L10" i="1"/>
  <c r="M10" i="1"/>
  <c r="N10" i="1"/>
  <c r="M8" i="1"/>
  <c r="N8" i="1"/>
  <c r="L8" i="1"/>
  <c r="M6" i="1"/>
  <c r="N6" i="1"/>
  <c r="L6" i="1"/>
  <c r="M5" i="1"/>
  <c r="N5" i="1"/>
  <c r="L5" i="1"/>
  <c r="M4" i="1"/>
  <c r="N4" i="1"/>
  <c r="L4" i="1"/>
  <c r="K71" i="1" a="1"/>
  <c r="K71" i="1" s="1"/>
  <c r="L71" i="1"/>
  <c r="L72" i="1"/>
  <c r="L73" i="1"/>
  <c r="L74" i="1"/>
  <c r="L75" i="1"/>
  <c r="I71" i="1" a="1"/>
  <c r="I71" i="1" s="1"/>
  <c r="I72" i="1"/>
  <c r="I69" i="1"/>
  <c r="I68" i="1"/>
  <c r="I64" i="1" a="1"/>
  <c r="I64" i="1" s="1"/>
  <c r="I65" i="1"/>
  <c r="I62" i="1"/>
  <c r="I61" i="1"/>
  <c r="I56" i="1" a="1"/>
  <c r="I56" i="1"/>
  <c r="I57" i="1"/>
  <c r="F56" i="1" a="1"/>
  <c r="F56" i="1" s="1"/>
  <c r="I53" i="1"/>
  <c r="I52" i="1"/>
  <c r="G53" i="1"/>
  <c r="F53" i="1"/>
  <c r="G52" i="1"/>
  <c r="F52" i="1"/>
  <c r="G49" i="1"/>
  <c r="H49" i="1"/>
  <c r="I49" i="1"/>
  <c r="F49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G2" i="1"/>
  <c r="H2" i="1"/>
  <c r="I2" i="1"/>
  <c r="F2" i="1"/>
  <c r="G1" i="1"/>
  <c r="H1" i="1"/>
  <c r="I1" i="1"/>
  <c r="F1" i="1"/>
  <c r="R48" i="1" l="1"/>
  <c r="R46" i="1"/>
  <c r="N42" i="1"/>
  <c r="P28" i="1"/>
  <c r="P29" i="1"/>
  <c r="K75" i="1"/>
  <c r="K74" i="1"/>
  <c r="K73" i="1"/>
  <c r="K72" i="1"/>
  <c r="G57" i="1"/>
  <c r="G56" i="1"/>
  <c r="F57" i="1"/>
  <c r="U43" i="1" l="1"/>
  <c r="W35" i="1" a="1"/>
  <c r="R50" i="1"/>
  <c r="W35" i="1" l="1"/>
  <c r="Y35" i="1"/>
  <c r="X35" i="1"/>
  <c r="Y37" i="1" l="1"/>
  <c r="Y38" i="1"/>
  <c r="Y39" i="1"/>
  <c r="X37" i="1"/>
  <c r="X38" i="1"/>
  <c r="X39" i="1"/>
  <c r="W38" i="1"/>
  <c r="W37" i="1"/>
  <c r="W39" i="1"/>
  <c r="V43" i="1" l="1"/>
  <c r="W43" i="1" s="1"/>
</calcChain>
</file>

<file path=xl/sharedStrings.xml><?xml version="1.0" encoding="utf-8"?>
<sst xmlns="http://schemas.openxmlformats.org/spreadsheetml/2006/main" count="41" uniqueCount="26">
  <si>
    <t>Date</t>
  </si>
  <si>
    <t>K</t>
  </si>
  <si>
    <t>L</t>
  </si>
  <si>
    <t>M</t>
  </si>
  <si>
    <t>Index</t>
  </si>
  <si>
    <t>rf=2,5% p.a.</t>
  </si>
  <si>
    <t>E(ri)</t>
  </si>
  <si>
    <t>VRS</t>
  </si>
  <si>
    <t>InvM</t>
  </si>
  <si>
    <t>alfa</t>
  </si>
  <si>
    <t>beta</t>
  </si>
  <si>
    <t>CovarM</t>
  </si>
  <si>
    <t>Inversion</t>
  </si>
  <si>
    <t>wi</t>
  </si>
  <si>
    <t>Rp</t>
  </si>
  <si>
    <t>Var(P)</t>
  </si>
  <si>
    <t>Sigma(P)</t>
  </si>
  <si>
    <t>250day/year</t>
  </si>
  <si>
    <t>Tang_port</t>
  </si>
  <si>
    <t>Zi</t>
  </si>
  <si>
    <t>sum(Zi)</t>
  </si>
  <si>
    <t>rf</t>
  </si>
  <si>
    <t>Systém of Eq</t>
  </si>
  <si>
    <t>lambda1</t>
  </si>
  <si>
    <t>lambda2</t>
  </si>
  <si>
    <t>E(Rp)=13%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</si>
</sst>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I1" workbookViewId="0">
      <selection activeCell="W43" sqref="W43"/>
    </sheetView>
  </sheetViews>
  <sheetFormatPr defaultRowHeight="15" x14ac:dyDescent="0.25"/>
  <cols>
    <col min="1" max="1" width="11.28515625" bestFit="1" customWidth="1"/>
    <col min="12" max="12" width="12.7109375" bestFit="1" customWidth="1"/>
    <col min="23" max="23" width="12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tr">
        <f>B1</f>
        <v>K</v>
      </c>
      <c r="G1" t="str">
        <f t="shared" ref="G1:I1" si="0">C1</f>
        <v>L</v>
      </c>
      <c r="H1" t="str">
        <f t="shared" si="0"/>
        <v>M</v>
      </c>
      <c r="I1" t="str">
        <f t="shared" si="0"/>
        <v>Index</v>
      </c>
    </row>
    <row r="2" spans="1:26" x14ac:dyDescent="0.25">
      <c r="A2" s="2">
        <v>42422</v>
      </c>
      <c r="B2" s="3">
        <v>176.39999</v>
      </c>
      <c r="C2" s="3">
        <v>82.39</v>
      </c>
      <c r="D2" s="3">
        <v>15.86121</v>
      </c>
      <c r="E2" s="3">
        <v>112.48</v>
      </c>
      <c r="F2">
        <f>LN(B2/B3)</f>
        <v>-3.1307543738969226E-2</v>
      </c>
      <c r="G2">
        <f t="shared" ref="G2:I2" si="1">LN(C2/C3)</f>
        <v>-1.3342230131366103E-3</v>
      </c>
      <c r="H2">
        <f t="shared" si="1"/>
        <v>-0.45710709608809247</v>
      </c>
      <c r="I2">
        <f t="shared" si="1"/>
        <v>1.7850408937271137E-2</v>
      </c>
    </row>
    <row r="3" spans="1:26" x14ac:dyDescent="0.25">
      <c r="A3" s="2">
        <v>42419</v>
      </c>
      <c r="B3" s="3">
        <v>182.01</v>
      </c>
      <c r="C3" s="3">
        <v>82.5</v>
      </c>
      <c r="D3" s="3">
        <v>25.05275</v>
      </c>
      <c r="E3" s="3">
        <v>110.49</v>
      </c>
      <c r="F3">
        <f t="shared" ref="F3:F48" si="2">LN(B3/B4)</f>
        <v>-2.2813492174162186E-2</v>
      </c>
      <c r="G3">
        <f t="shared" ref="G3:G48" si="3">LN(C3/C4)</f>
        <v>6.0624433502738954E-4</v>
      </c>
      <c r="H3">
        <f t="shared" ref="H3:H48" si="4">LN(D3/D4)</f>
        <v>0.97611491373257897</v>
      </c>
      <c r="I3">
        <f t="shared" ref="I3:I48" si="5">LN(E3/E4)</f>
        <v>-7.663563630278169E-3</v>
      </c>
      <c r="L3" t="s">
        <v>11</v>
      </c>
    </row>
    <row r="4" spans="1:26" x14ac:dyDescent="0.25">
      <c r="A4" s="2">
        <v>42418</v>
      </c>
      <c r="B4" s="3">
        <v>186.21001000000001</v>
      </c>
      <c r="C4" s="3">
        <v>82.45</v>
      </c>
      <c r="D4" s="3">
        <v>9.4391759999999998</v>
      </c>
      <c r="E4" s="3">
        <v>111.34</v>
      </c>
      <c r="F4">
        <f t="shared" si="2"/>
        <v>1.9522391622535492E-2</v>
      </c>
      <c r="G4">
        <f t="shared" si="3"/>
        <v>5.4728017413549108E-3</v>
      </c>
      <c r="H4">
        <f t="shared" si="4"/>
        <v>-1.120849345984954</v>
      </c>
      <c r="I4">
        <f t="shared" si="5"/>
        <v>2.1424203600409374E-2</v>
      </c>
      <c r="L4" s="6">
        <f>COVAR($F$2:$F$47,F2:F47)</f>
        <v>5.3629912197114028E-4</v>
      </c>
      <c r="M4" s="6">
        <f t="shared" ref="M4:N4" si="6">COVAR($F$2:$F$47,G2:G47)</f>
        <v>-2.301817803458761E-5</v>
      </c>
      <c r="N4" s="6">
        <f t="shared" si="6"/>
        <v>1.2822360053911998E-3</v>
      </c>
    </row>
    <row r="5" spans="1:26" x14ac:dyDescent="0.25">
      <c r="A5" s="2">
        <v>42417</v>
      </c>
      <c r="B5" s="3">
        <v>182.61</v>
      </c>
      <c r="C5" s="3">
        <v>82</v>
      </c>
      <c r="D5" s="3">
        <v>28.954280000000001</v>
      </c>
      <c r="E5" s="3">
        <v>108.98</v>
      </c>
      <c r="F5">
        <f t="shared" si="2"/>
        <v>3.9770612965125178E-2</v>
      </c>
      <c r="G5">
        <f t="shared" si="3"/>
        <v>9.5577250061013516E-3</v>
      </c>
      <c r="H5">
        <f t="shared" si="4"/>
        <v>0.43019075176665883</v>
      </c>
      <c r="I5">
        <f t="shared" si="5"/>
        <v>2.7442306217245527E-2</v>
      </c>
      <c r="L5" s="6">
        <f>COVAR($G$2:$G$47,F2:F47)</f>
        <v>-2.301817803458761E-5</v>
      </c>
      <c r="M5" s="6">
        <f t="shared" ref="M5:N5" si="7">COVAR($G$2:$G$47,G2:G47)</f>
        <v>4.1080808504096475E-4</v>
      </c>
      <c r="N5" s="6">
        <f t="shared" si="7"/>
        <v>5.6273588577696685E-3</v>
      </c>
    </row>
    <row r="6" spans="1:26" x14ac:dyDescent="0.25">
      <c r="A6" s="2">
        <v>42416</v>
      </c>
      <c r="B6" s="3">
        <v>175.49001000000001</v>
      </c>
      <c r="C6" s="3">
        <v>81.22</v>
      </c>
      <c r="D6" s="3">
        <v>18.831430000000001</v>
      </c>
      <c r="E6" s="3">
        <v>106.03</v>
      </c>
      <c r="F6">
        <f t="shared" si="2"/>
        <v>-1.2795950474532558E-2</v>
      </c>
      <c r="G6">
        <f t="shared" si="3"/>
        <v>2.342065785517908E-3</v>
      </c>
      <c r="H6">
        <f t="shared" si="4"/>
        <v>1.8234247312463918</v>
      </c>
      <c r="I6">
        <f t="shared" si="5"/>
        <v>-1.2186127555726208E-2</v>
      </c>
      <c r="L6" s="6">
        <f>COVAR($H$2:$H$47,F2:F47)</f>
        <v>1.2822360053911998E-3</v>
      </c>
      <c r="M6" s="6">
        <f t="shared" ref="M6:N6" si="8">COVAR($H$2:$H$47,G2:G47)</f>
        <v>5.6273588577696685E-3</v>
      </c>
      <c r="N6" s="6">
        <f t="shared" si="8"/>
        <v>0.9278906315453278</v>
      </c>
    </row>
    <row r="7" spans="1:26" x14ac:dyDescent="0.25">
      <c r="A7" s="2">
        <v>42412</v>
      </c>
      <c r="B7" s="3">
        <v>177.75</v>
      </c>
      <c r="C7" s="3">
        <v>81.03</v>
      </c>
      <c r="D7" s="3">
        <v>3.0407449999999998</v>
      </c>
      <c r="E7" s="3">
        <v>107.33</v>
      </c>
      <c r="F7">
        <f t="shared" si="2"/>
        <v>-1.2856521411533995E-2</v>
      </c>
      <c r="G7">
        <f t="shared" si="3"/>
        <v>1.7805363622296733E-2</v>
      </c>
      <c r="H7">
        <f t="shared" si="4"/>
        <v>-1.0580600198755103</v>
      </c>
      <c r="I7">
        <f t="shared" si="5"/>
        <v>9.3214026137880329E-4</v>
      </c>
      <c r="Q7" t="s">
        <v>7</v>
      </c>
    </row>
    <row r="8" spans="1:26" x14ac:dyDescent="0.25">
      <c r="A8" s="2">
        <v>42411</v>
      </c>
      <c r="B8" s="3">
        <v>180.05</v>
      </c>
      <c r="C8" s="3">
        <v>79.599999999999994</v>
      </c>
      <c r="D8" s="3">
        <v>8.7597079999999998</v>
      </c>
      <c r="E8" s="3">
        <v>107.23</v>
      </c>
      <c r="F8">
        <f t="shared" si="2"/>
        <v>-1.5978301370331412E-2</v>
      </c>
      <c r="G8">
        <f t="shared" si="3"/>
        <v>3.1456458779192068E-3</v>
      </c>
      <c r="H8">
        <f t="shared" si="4"/>
        <v>-1.2364358652787411</v>
      </c>
      <c r="I8">
        <f t="shared" si="5"/>
        <v>-1.2787424059890336E-2</v>
      </c>
      <c r="L8">
        <f>2*L4</f>
        <v>1.0725982439422806E-3</v>
      </c>
      <c r="M8">
        <f t="shared" ref="M8:N8" si="9">2*M4</f>
        <v>-4.6036356069175221E-5</v>
      </c>
      <c r="N8">
        <f t="shared" si="9"/>
        <v>2.5644720107823996E-3</v>
      </c>
      <c r="O8">
        <v>1</v>
      </c>
      <c r="Q8">
        <v>0</v>
      </c>
      <c r="X8">
        <f t="array" ref="X8:Z8">TRANSPOSE(Q14:Q16)</f>
        <v>0.42149859810362017</v>
      </c>
      <c r="Y8">
        <v>0.5823920921505471</v>
      </c>
      <c r="Z8">
        <v>-3.8906902541672533E-3</v>
      </c>
    </row>
    <row r="9" spans="1:26" x14ac:dyDescent="0.25">
      <c r="A9" s="2">
        <v>42410</v>
      </c>
      <c r="B9" s="3">
        <v>182.95</v>
      </c>
      <c r="C9" s="3">
        <v>79.349999999999994</v>
      </c>
      <c r="D9" s="3">
        <v>30.162469999999999</v>
      </c>
      <c r="E9" s="3">
        <v>108.61</v>
      </c>
      <c r="F9">
        <f t="shared" si="2"/>
        <v>2.6271155167719496E-3</v>
      </c>
      <c r="G9">
        <f t="shared" si="3"/>
        <v>-9.1576880345471037E-3</v>
      </c>
      <c r="H9">
        <f t="shared" si="4"/>
        <v>2.2867538239228047</v>
      </c>
      <c r="I9">
        <f t="shared" si="5"/>
        <v>5.3545179630510344E-3</v>
      </c>
      <c r="L9">
        <f t="shared" ref="L9:N9" si="10">2*L5</f>
        <v>-4.6036356069175221E-5</v>
      </c>
      <c r="M9">
        <f t="shared" si="10"/>
        <v>8.216161700819295E-4</v>
      </c>
      <c r="N9">
        <f t="shared" si="10"/>
        <v>1.1254717715539337E-2</v>
      </c>
      <c r="O9">
        <v>1</v>
      </c>
      <c r="Q9">
        <v>0</v>
      </c>
    </row>
    <row r="10" spans="1:26" x14ac:dyDescent="0.25">
      <c r="A10" s="2">
        <v>42409</v>
      </c>
      <c r="B10" s="3">
        <v>182.47</v>
      </c>
      <c r="C10" s="3">
        <v>80.08</v>
      </c>
      <c r="D10" s="3">
        <v>3.064378</v>
      </c>
      <c r="E10" s="3">
        <v>108.03</v>
      </c>
      <c r="F10">
        <f t="shared" si="2"/>
        <v>4.6691836867614909E-3</v>
      </c>
      <c r="G10">
        <f t="shared" si="3"/>
        <v>-1.3396379950648832E-2</v>
      </c>
      <c r="H10">
        <f t="shared" si="4"/>
        <v>-1.400650360094307</v>
      </c>
      <c r="I10">
        <f t="shared" si="5"/>
        <v>1.126379141726948E-2</v>
      </c>
      <c r="L10">
        <f t="shared" ref="L10:N10" si="11">2*L6</f>
        <v>2.5644720107823996E-3</v>
      </c>
      <c r="M10">
        <f t="shared" si="11"/>
        <v>1.1254717715539337E-2</v>
      </c>
      <c r="N10">
        <f t="shared" si="11"/>
        <v>1.8557812630906556</v>
      </c>
      <c r="O10">
        <v>1</v>
      </c>
      <c r="Q10">
        <v>0</v>
      </c>
      <c r="X10">
        <f>$Q14*L4*X$8</f>
        <v>9.527947488589384E-5</v>
      </c>
      <c r="Y10">
        <f>$Q14*M4*Y$8</f>
        <v>-5.650443656509703E-6</v>
      </c>
      <c r="Z10">
        <f>$Q14*N4*Z$8</f>
        <v>-2.102765095419082E-6</v>
      </c>
    </row>
    <row r="11" spans="1:26" x14ac:dyDescent="0.25">
      <c r="A11" s="2">
        <v>42408</v>
      </c>
      <c r="B11" s="3">
        <v>181.62</v>
      </c>
      <c r="C11" s="3">
        <v>81.16</v>
      </c>
      <c r="D11" s="3">
        <v>12.434749999999999</v>
      </c>
      <c r="E11" s="3">
        <v>106.82</v>
      </c>
      <c r="F11">
        <f t="shared" si="2"/>
        <v>-1.0461549608698358E-2</v>
      </c>
      <c r="G11">
        <f t="shared" si="3"/>
        <v>1.3396379950648782E-2</v>
      </c>
      <c r="H11">
        <f t="shared" si="4"/>
        <v>-0.82864004717846018</v>
      </c>
      <c r="I11">
        <f t="shared" si="5"/>
        <v>-1.7814536806150381E-2</v>
      </c>
      <c r="L11">
        <v>1</v>
      </c>
      <c r="M11">
        <v>1</v>
      </c>
      <c r="N11">
        <v>1</v>
      </c>
      <c r="O11">
        <v>0</v>
      </c>
      <c r="Q11">
        <v>1</v>
      </c>
      <c r="X11">
        <f>$Q15*L5*X$8</f>
        <v>-5.650443656509703E-6</v>
      </c>
      <c r="Y11">
        <f>$Q15*M5*Y$8</f>
        <v>1.3933811181762414E-4</v>
      </c>
      <c r="Z11">
        <f>$Q15*N5*Z$8</f>
        <v>-1.2751073161208861E-5</v>
      </c>
    </row>
    <row r="12" spans="1:26" x14ac:dyDescent="0.25">
      <c r="A12" s="2">
        <v>42405</v>
      </c>
      <c r="B12" s="3">
        <v>183.53</v>
      </c>
      <c r="C12" s="3">
        <v>80.08</v>
      </c>
      <c r="D12" s="3">
        <v>28.478090000000002</v>
      </c>
      <c r="E12" s="3">
        <v>108.74</v>
      </c>
      <c r="F12">
        <f t="shared" si="2"/>
        <v>8.3165112480645571E-3</v>
      </c>
      <c r="G12">
        <f t="shared" si="3"/>
        <v>3.1267613492575305E-3</v>
      </c>
      <c r="H12">
        <f t="shared" si="4"/>
        <v>0.39172266512430404</v>
      </c>
      <c r="I12">
        <f t="shared" si="5"/>
        <v>1.3144686160351242E-2</v>
      </c>
      <c r="X12">
        <f>$Q16*L6*X$8</f>
        <v>-2.1027650954190815E-6</v>
      </c>
      <c r="Y12">
        <f>$Q16*M6*Y$8</f>
        <v>-1.2751073161208861E-5</v>
      </c>
      <c r="Z12">
        <f>$Q16*N6*Z$8</f>
        <v>1.4045917205020198E-5</v>
      </c>
    </row>
    <row r="13" spans="1:26" x14ac:dyDescent="0.25">
      <c r="A13" s="2">
        <v>42404</v>
      </c>
      <c r="B13" s="3">
        <v>182.01</v>
      </c>
      <c r="C13" s="3">
        <v>79.83</v>
      </c>
      <c r="D13" s="3">
        <v>19.248100000000001</v>
      </c>
      <c r="E13" s="3">
        <v>107.32</v>
      </c>
      <c r="F13">
        <f t="shared" si="2"/>
        <v>9.8278176176024006E-3</v>
      </c>
      <c r="G13">
        <f t="shared" si="3"/>
        <v>1.7055558400599788E-2</v>
      </c>
      <c r="H13">
        <f t="shared" si="4"/>
        <v>-0.47992246620265028</v>
      </c>
      <c r="I13">
        <f t="shared" si="5"/>
        <v>1.9381545631790464E-2</v>
      </c>
      <c r="L13" t="s">
        <v>12</v>
      </c>
      <c r="Q13" t="s">
        <v>13</v>
      </c>
      <c r="S13" t="s">
        <v>6</v>
      </c>
      <c r="U13" t="s">
        <v>14</v>
      </c>
      <c r="V13" t="s">
        <v>15</v>
      </c>
      <c r="W13" t="s">
        <v>16</v>
      </c>
    </row>
    <row r="14" spans="1:26" x14ac:dyDescent="0.25">
      <c r="A14" s="2">
        <v>42403</v>
      </c>
      <c r="B14" s="3">
        <v>180.23</v>
      </c>
      <c r="C14" s="3">
        <v>78.48</v>
      </c>
      <c r="D14" s="3">
        <v>31.103950000000001</v>
      </c>
      <c r="E14" s="3">
        <v>105.26</v>
      </c>
      <c r="F14">
        <f t="shared" si="2"/>
        <v>1.7293432623276969E-2</v>
      </c>
      <c r="G14">
        <f t="shared" si="3"/>
        <v>5.0837365290035762E-2</v>
      </c>
      <c r="H14">
        <f t="shared" si="4"/>
        <v>5.1235848603896565E-2</v>
      </c>
      <c r="I14">
        <f t="shared" si="5"/>
        <v>-8.5466032456498907E-4</v>
      </c>
      <c r="L14">
        <f t="array" ref="L14:O17">MINVERSE(L8:O11)</f>
        <v>512.05296413827546</v>
      </c>
      <c r="M14">
        <v>-514.23692157939081</v>
      </c>
      <c r="N14">
        <v>2.1839574411155249</v>
      </c>
      <c r="O14">
        <v>0.42149859810362017</v>
      </c>
      <c r="Q14">
        <f t="array" ref="Q14:Q17">MMULT(L14:O17,Q8:Q11)</f>
        <v>0.42149859810362017</v>
      </c>
      <c r="S14">
        <f t="array" ref="S14:S16">TRANSPOSE(F49:H49)</f>
        <v>3.7003964837513362E-3</v>
      </c>
      <c r="U14">
        <f>SUMPRODUCT(S14:S16,Q14:Q16)</f>
        <v>2.4542327070938056E-3</v>
      </c>
      <c r="V14">
        <f>SUM(X10:Z12)</f>
        <v>2.0765494008226292E-4</v>
      </c>
      <c r="W14">
        <f>V14^0.5</f>
        <v>1.4410237336083778E-2</v>
      </c>
    </row>
    <row r="15" spans="1:26" x14ac:dyDescent="0.25">
      <c r="A15" s="2">
        <v>42402</v>
      </c>
      <c r="B15" s="3">
        <v>177.14</v>
      </c>
      <c r="C15" s="3">
        <v>74.59</v>
      </c>
      <c r="D15" s="3">
        <v>29.550450000000001</v>
      </c>
      <c r="E15" s="3">
        <v>105.35</v>
      </c>
      <c r="F15">
        <f t="shared" si="2"/>
        <v>1.7367973510810229E-2</v>
      </c>
      <c r="G15">
        <f t="shared" si="3"/>
        <v>-2.2535418135066116E-2</v>
      </c>
      <c r="H15">
        <f t="shared" si="4"/>
        <v>0.15860003343780391</v>
      </c>
      <c r="I15">
        <f t="shared" si="5"/>
        <v>2.5378657072485062E-2</v>
      </c>
      <c r="L15">
        <v>-514.23692157939092</v>
      </c>
      <c r="M15">
        <v>516.97542230945544</v>
      </c>
      <c r="N15">
        <v>-2.7385007300646005</v>
      </c>
      <c r="O15">
        <v>0.5823920921505471</v>
      </c>
      <c r="Q15">
        <v>0.5823920921505471</v>
      </c>
      <c r="S15">
        <v>1.7464363279815897E-3</v>
      </c>
    </row>
    <row r="16" spans="1:26" x14ac:dyDescent="0.25">
      <c r="A16" s="2">
        <v>42401</v>
      </c>
      <c r="B16" s="3">
        <v>174.09</v>
      </c>
      <c r="C16" s="3">
        <v>76.290000000000006</v>
      </c>
      <c r="D16" s="3">
        <v>25.21651</v>
      </c>
      <c r="E16" s="3">
        <v>102.71</v>
      </c>
      <c r="F16">
        <f t="shared" si="2"/>
        <v>2.4715589475625993E-2</v>
      </c>
      <c r="G16">
        <f t="shared" si="3"/>
        <v>-2.0242030177869179E-2</v>
      </c>
      <c r="H16">
        <f t="shared" si="4"/>
        <v>-0.14571143478009108</v>
      </c>
      <c r="I16">
        <f t="shared" si="5"/>
        <v>1.9763683453196287E-2</v>
      </c>
      <c r="L16">
        <v>2.1839574411155183</v>
      </c>
      <c r="M16">
        <v>-2.7385007300645938</v>
      </c>
      <c r="N16">
        <v>0.55454328894907567</v>
      </c>
      <c r="O16">
        <v>-3.8906902541672533E-3</v>
      </c>
      <c r="Q16">
        <v>-3.8906902541672533E-3</v>
      </c>
      <c r="S16">
        <v>3.1508529871932464E-2</v>
      </c>
    </row>
    <row r="17" spans="1:26" x14ac:dyDescent="0.25">
      <c r="A17" s="2">
        <v>42398</v>
      </c>
      <c r="B17" s="3">
        <v>169.84</v>
      </c>
      <c r="C17" s="3">
        <v>77.849999999999994</v>
      </c>
      <c r="D17" s="3">
        <v>29.172029999999999</v>
      </c>
      <c r="E17" s="3">
        <v>100.7</v>
      </c>
      <c r="F17">
        <f t="shared" si="2"/>
        <v>3.121702985050278E-2</v>
      </c>
      <c r="G17">
        <f t="shared" si="3"/>
        <v>1.1108354990049111E-2</v>
      </c>
      <c r="H17">
        <f t="shared" si="4"/>
        <v>0.85913415579319596</v>
      </c>
      <c r="I17">
        <f t="shared" si="5"/>
        <v>4.3121060372778429E-2</v>
      </c>
      <c r="L17">
        <v>0.42149859810362011</v>
      </c>
      <c r="M17">
        <v>0.5823920921505471</v>
      </c>
      <c r="N17">
        <v>-3.8906902541672576E-3</v>
      </c>
      <c r="O17">
        <v>-4.1530988016452567E-4</v>
      </c>
      <c r="Q17">
        <v>-4.1530988016452567E-4</v>
      </c>
    </row>
    <row r="18" spans="1:26" x14ac:dyDescent="0.25">
      <c r="A18" s="2">
        <v>42397</v>
      </c>
      <c r="B18" s="3">
        <v>164.62</v>
      </c>
      <c r="C18" s="3">
        <v>76.989999999999995</v>
      </c>
      <c r="D18" s="3">
        <v>12.35519</v>
      </c>
      <c r="E18" s="3">
        <v>96.45</v>
      </c>
      <c r="F18">
        <f t="shared" si="2"/>
        <v>4.1392803196134212E-3</v>
      </c>
      <c r="G18">
        <f t="shared" si="3"/>
        <v>2.2328219427927107E-2</v>
      </c>
      <c r="H18">
        <f t="shared" si="4"/>
        <v>1.4213921328386481</v>
      </c>
      <c r="I18">
        <f t="shared" si="5"/>
        <v>-5.2737829692661017E-3</v>
      </c>
    </row>
    <row r="19" spans="1:26" x14ac:dyDescent="0.25">
      <c r="A19" s="2">
        <v>42396</v>
      </c>
      <c r="B19" s="3">
        <v>163.94</v>
      </c>
      <c r="C19" s="3">
        <v>75.290000000000006</v>
      </c>
      <c r="D19" s="3">
        <v>2.9822679999999999</v>
      </c>
      <c r="E19" s="3">
        <v>96.96</v>
      </c>
      <c r="F19">
        <f t="shared" si="2"/>
        <v>-1.0859450910567992E-2</v>
      </c>
      <c r="G19">
        <f t="shared" si="3"/>
        <v>-1.8554384511179581E-2</v>
      </c>
      <c r="H19">
        <f t="shared" si="4"/>
        <v>-2.3596508623849455</v>
      </c>
      <c r="I19">
        <f t="shared" si="5"/>
        <v>-1.6062548013378971E-2</v>
      </c>
    </row>
    <row r="20" spans="1:26" x14ac:dyDescent="0.25">
      <c r="A20" s="2">
        <v>42395</v>
      </c>
      <c r="B20" s="3">
        <v>165.73</v>
      </c>
      <c r="C20" s="3">
        <v>76.7</v>
      </c>
      <c r="D20" s="3">
        <v>31.57403</v>
      </c>
      <c r="E20" s="3">
        <v>98.53</v>
      </c>
      <c r="F20">
        <f t="shared" si="2"/>
        <v>1.2062514736368291E-4</v>
      </c>
      <c r="G20">
        <f t="shared" si="3"/>
        <v>3.6106921968902576E-2</v>
      </c>
      <c r="H20">
        <f t="shared" si="4"/>
        <v>0.95934274053102642</v>
      </c>
      <c r="I20">
        <f t="shared" si="5"/>
        <v>-1.4409035632368342E-2</v>
      </c>
      <c r="S20" t="s">
        <v>21</v>
      </c>
      <c r="T20">
        <f>0.04/250</f>
        <v>1.6000000000000001E-4</v>
      </c>
    </row>
    <row r="21" spans="1:26" x14ac:dyDescent="0.25">
      <c r="A21" s="2">
        <v>42394</v>
      </c>
      <c r="B21" s="3">
        <v>165.71001000000001</v>
      </c>
      <c r="C21" s="3">
        <v>73.98</v>
      </c>
      <c r="D21" s="3">
        <v>12.09742</v>
      </c>
      <c r="E21" s="3">
        <v>99.96</v>
      </c>
      <c r="F21">
        <f t="shared" si="2"/>
        <v>4.1397962930435572E-2</v>
      </c>
      <c r="G21">
        <f t="shared" si="3"/>
        <v>-3.4410568720724011E-2</v>
      </c>
      <c r="H21">
        <f t="shared" si="4"/>
        <v>-0.62132189447528441</v>
      </c>
      <c r="I21">
        <f t="shared" si="5"/>
        <v>2.6046569993643638E-2</v>
      </c>
      <c r="K21" t="s">
        <v>18</v>
      </c>
      <c r="P21" t="s">
        <v>7</v>
      </c>
      <c r="X21">
        <f t="array" ref="X21:Z21">TRANSPOSE(Q27:Q29)</f>
        <v>0.60946864582702176</v>
      </c>
      <c r="Y21">
        <v>0.39075770539502958</v>
      </c>
      <c r="Z21">
        <v>-2.2635122205135564E-4</v>
      </c>
    </row>
    <row r="22" spans="1:26" x14ac:dyDescent="0.25">
      <c r="A22" s="2">
        <v>42391</v>
      </c>
      <c r="B22" s="3">
        <v>158.99001000000001</v>
      </c>
      <c r="C22" s="3">
        <v>76.569999999999993</v>
      </c>
      <c r="D22" s="3">
        <v>22.517980000000001</v>
      </c>
      <c r="E22" s="3">
        <v>97.39</v>
      </c>
      <c r="F22">
        <f t="shared" si="2"/>
        <v>-1.4982425990077665E-2</v>
      </c>
      <c r="G22">
        <f t="shared" si="3"/>
        <v>3.2789822822990755E-2</v>
      </c>
      <c r="H22">
        <f t="shared" si="4"/>
        <v>0.41446409666532807</v>
      </c>
      <c r="I22">
        <f t="shared" si="5"/>
        <v>-2.163509301776138E-2</v>
      </c>
      <c r="L22">
        <f t="array" ref="L22:N24">MINVERSE(L4:N6)</f>
        <v>1879.6650020598968</v>
      </c>
      <c r="M22">
        <v>153.66731028954527</v>
      </c>
      <c r="N22">
        <v>-3.5294194510492423</v>
      </c>
      <c r="P22">
        <f>S14-$A$54</f>
        <v>3.6003964837513364E-3</v>
      </c>
    </row>
    <row r="23" spans="1:26" x14ac:dyDescent="0.25">
      <c r="A23" s="2">
        <v>42390</v>
      </c>
      <c r="B23" s="3">
        <v>161.38999999999999</v>
      </c>
      <c r="C23" s="3">
        <v>74.099999999999994</v>
      </c>
      <c r="D23" s="3">
        <v>14.8775</v>
      </c>
      <c r="E23" s="3">
        <v>99.52</v>
      </c>
      <c r="F23">
        <f t="shared" si="2"/>
        <v>3.6470919016312289E-2</v>
      </c>
      <c r="G23">
        <f t="shared" si="3"/>
        <v>1.2493372710980177E-2</v>
      </c>
      <c r="H23">
        <f t="shared" si="4"/>
        <v>-0.18701728654909672</v>
      </c>
      <c r="I23">
        <f t="shared" si="5"/>
        <v>2.430834157663005E-2</v>
      </c>
      <c r="L23">
        <v>153.66731028954746</v>
      </c>
      <c r="M23">
        <v>2667.336252474483</v>
      </c>
      <c r="N23">
        <v>-16.3888884402153</v>
      </c>
      <c r="P23">
        <f t="shared" ref="P23:P24" si="12">S15-$A$54</f>
        <v>1.6464363279815896E-3</v>
      </c>
      <c r="X23">
        <f>$Q27*L4*X$21</f>
        <v>1.992093976754472E-4</v>
      </c>
      <c r="Y23">
        <f t="shared" ref="Y23:Z23" si="13">$Q27*M4*Y$21</f>
        <v>-5.481884281734951E-6</v>
      </c>
      <c r="Z23">
        <f t="shared" si="13"/>
        <v>-1.7688955099159651E-7</v>
      </c>
    </row>
    <row r="24" spans="1:26" x14ac:dyDescent="0.25">
      <c r="A24" s="2">
        <v>42389</v>
      </c>
      <c r="B24" s="3">
        <v>155.61000000000001</v>
      </c>
      <c r="C24" s="3">
        <v>73.180000000000007</v>
      </c>
      <c r="D24" s="3">
        <v>17.93703</v>
      </c>
      <c r="E24" s="3">
        <v>97.13</v>
      </c>
      <c r="F24">
        <f t="shared" si="2"/>
        <v>-7.7458375387318276E-3</v>
      </c>
      <c r="G24">
        <f t="shared" si="3"/>
        <v>-4.3060536581414066E-2</v>
      </c>
      <c r="H24">
        <f t="shared" si="4"/>
        <v>-0.55314014249661037</v>
      </c>
      <c r="I24">
        <f t="shared" si="5"/>
        <v>4.8506209973011635E-3</v>
      </c>
      <c r="L24">
        <v>-3.5294194510492454</v>
      </c>
      <c r="M24">
        <v>-16.388888440215315</v>
      </c>
      <c r="N24">
        <v>1.1819838113946202</v>
      </c>
      <c r="P24">
        <f t="shared" si="12"/>
        <v>3.1408529871932461E-2</v>
      </c>
      <c r="X24">
        <f t="shared" ref="X24:X25" si="14">$Q28*L5*X$21</f>
        <v>-5.4818842817349519E-6</v>
      </c>
      <c r="Y24">
        <f t="shared" ref="Y24:Y25" si="15">$Q28*M5*Y$21</f>
        <v>6.2726937358666092E-5</v>
      </c>
      <c r="Z24">
        <f t="shared" ref="Z24:Z25" si="16">$Q28*N5*Z$21</f>
        <v>-4.9773136069361967E-7</v>
      </c>
    </row>
    <row r="25" spans="1:26" x14ac:dyDescent="0.25">
      <c r="A25" s="2">
        <v>42388</v>
      </c>
      <c r="B25" s="3">
        <v>156.82001</v>
      </c>
      <c r="C25" s="3">
        <v>76.400000000000006</v>
      </c>
      <c r="D25" s="3">
        <v>31.187190000000001</v>
      </c>
      <c r="E25" s="3">
        <v>96.66</v>
      </c>
      <c r="F25">
        <f t="shared" si="2"/>
        <v>1.97708078835231E-2</v>
      </c>
      <c r="G25">
        <f t="shared" si="3"/>
        <v>-1.5326965839346228E-2</v>
      </c>
      <c r="H25">
        <f t="shared" si="4"/>
        <v>1.1962242807488452</v>
      </c>
      <c r="I25">
        <f t="shared" si="5"/>
        <v>-1.3440167440593347E-3</v>
      </c>
      <c r="X25">
        <f t="shared" si="14"/>
        <v>-1.7688955099159654E-7</v>
      </c>
      <c r="Y25">
        <f t="shared" si="15"/>
        <v>-4.9773136069361967E-7</v>
      </c>
      <c r="Z25">
        <f t="shared" si="16"/>
        <v>4.7540361192820605E-8</v>
      </c>
    </row>
    <row r="26" spans="1:26" x14ac:dyDescent="0.25">
      <c r="A26" s="2">
        <v>42384</v>
      </c>
      <c r="B26" s="3">
        <v>153.75</v>
      </c>
      <c r="C26" s="3">
        <v>77.58</v>
      </c>
      <c r="D26" s="3">
        <v>9.4289349999999992</v>
      </c>
      <c r="E26" s="3">
        <v>96.79</v>
      </c>
      <c r="F26">
        <f t="shared" si="2"/>
        <v>1.3752738493351607E-2</v>
      </c>
      <c r="G26">
        <f t="shared" si="3"/>
        <v>-1.9656025302635632E-2</v>
      </c>
      <c r="H26">
        <f t="shared" si="4"/>
        <v>-0.34188244160485681</v>
      </c>
      <c r="I26">
        <f t="shared" si="5"/>
        <v>5.0753643569174337E-3</v>
      </c>
      <c r="P26" t="s">
        <v>19</v>
      </c>
      <c r="Q26" t="s">
        <v>13</v>
      </c>
      <c r="U26" t="str">
        <f>U13</f>
        <v>Rp</v>
      </c>
      <c r="V26" t="str">
        <f t="shared" ref="V26:W26" si="17">V13</f>
        <v>Var(P)</v>
      </c>
      <c r="W26" t="str">
        <f t="shared" si="17"/>
        <v>Sigma(P)</v>
      </c>
    </row>
    <row r="27" spans="1:26" x14ac:dyDescent="0.25">
      <c r="A27" s="2">
        <v>42383</v>
      </c>
      <c r="B27" s="3">
        <v>151.64999</v>
      </c>
      <c r="C27" s="3">
        <v>79.12</v>
      </c>
      <c r="D27" s="3">
        <v>13.272119999999999</v>
      </c>
      <c r="E27" s="3">
        <v>96.3</v>
      </c>
      <c r="F27">
        <f t="shared" si="2"/>
        <v>-3.3778519591244775E-2</v>
      </c>
      <c r="G27">
        <f t="shared" si="3"/>
        <v>4.4848247080091788E-2</v>
      </c>
      <c r="H27">
        <f t="shared" si="4"/>
        <v>-0.50555820611169511</v>
      </c>
      <c r="I27">
        <f t="shared" si="5"/>
        <v>-5.1801991562793186E-2</v>
      </c>
      <c r="O27">
        <v>1</v>
      </c>
      <c r="P27">
        <f t="array" ref="P27:P29">MMULT(L22:N24,P22:P24)</f>
        <v>6.9096888298719676</v>
      </c>
      <c r="Q27">
        <f>P27/$P$31</f>
        <v>0.60946864582702176</v>
      </c>
      <c r="U27">
        <f>SUMPRODUCT(Q27:Q29,S14:S16)</f>
        <v>2.9305770918740533E-3</v>
      </c>
      <c r="V27">
        <f>SUM(X23:Z25)</f>
        <v>2.4967086500846586E-4</v>
      </c>
      <c r="W27">
        <f>V27^0.5</f>
        <v>1.5800976710585515E-2</v>
      </c>
    </row>
    <row r="28" spans="1:26" x14ac:dyDescent="0.25">
      <c r="A28" s="2">
        <v>42382</v>
      </c>
      <c r="B28" s="3">
        <v>156.86000000000001</v>
      </c>
      <c r="C28" s="3">
        <v>75.650000000000006</v>
      </c>
      <c r="D28" s="3">
        <v>22.003990000000002</v>
      </c>
      <c r="E28" s="3">
        <v>101.42</v>
      </c>
      <c r="F28">
        <f t="shared" si="2"/>
        <v>3.7279464591266319E-2</v>
      </c>
      <c r="G28">
        <f t="shared" si="3"/>
        <v>5.9662092785709208E-3</v>
      </c>
      <c r="H28">
        <f t="shared" si="4"/>
        <v>-0.17585458731215917</v>
      </c>
      <c r="I28">
        <f t="shared" si="5"/>
        <v>1.9715863164417417E-2</v>
      </c>
      <c r="O28">
        <v>2</v>
      </c>
      <c r="P28">
        <v>4.4301116565080036</v>
      </c>
      <c r="Q28">
        <f t="shared" ref="Q28:Q29" si="18">P28/$P$31</f>
        <v>0.39075770539502958</v>
      </c>
    </row>
    <row r="29" spans="1:26" x14ac:dyDescent="0.25">
      <c r="A29" s="2">
        <v>42381</v>
      </c>
      <c r="B29" s="3">
        <v>151.12</v>
      </c>
      <c r="C29" s="3">
        <v>75.2</v>
      </c>
      <c r="D29" s="3">
        <v>26.234580000000001</v>
      </c>
      <c r="E29" s="3">
        <v>99.44</v>
      </c>
      <c r="F29">
        <f t="shared" si="2"/>
        <v>-2.1796196171336546E-2</v>
      </c>
      <c r="G29">
        <f t="shared" si="3"/>
        <v>2.0284126176886328E-2</v>
      </c>
      <c r="H29">
        <f t="shared" si="4"/>
        <v>2.1011913250138807</v>
      </c>
      <c r="I29">
        <f t="shared" si="5"/>
        <v>-5.5157337853023293E-3</v>
      </c>
      <c r="O29">
        <v>3</v>
      </c>
      <c r="P29">
        <v>-2.5661968361207835E-3</v>
      </c>
      <c r="Q29">
        <f t="shared" si="18"/>
        <v>-2.2635122205135564E-4</v>
      </c>
    </row>
    <row r="30" spans="1:26" x14ac:dyDescent="0.25">
      <c r="A30" s="2">
        <v>42380</v>
      </c>
      <c r="B30" s="3">
        <v>154.44999999999999</v>
      </c>
      <c r="C30" s="3">
        <v>73.69</v>
      </c>
      <c r="D30" s="3">
        <v>3.2087680000000001</v>
      </c>
      <c r="E30" s="3">
        <v>99.99</v>
      </c>
      <c r="F30">
        <f t="shared" si="2"/>
        <v>4.7376536679475121E-3</v>
      </c>
      <c r="G30">
        <f t="shared" si="3"/>
        <v>-1.3479109590067352E-2</v>
      </c>
      <c r="H30">
        <f t="shared" si="4"/>
        <v>9.0055515911173275E-3</v>
      </c>
      <c r="I30">
        <f t="shared" si="5"/>
        <v>6.7964725913795918E-2</v>
      </c>
      <c r="U30">
        <f>U27*250</f>
        <v>0.73264427296851331</v>
      </c>
    </row>
    <row r="31" spans="1:26" x14ac:dyDescent="0.25">
      <c r="A31" s="2">
        <v>42377</v>
      </c>
      <c r="B31" s="3">
        <v>153.72</v>
      </c>
      <c r="C31" s="3">
        <v>74.69</v>
      </c>
      <c r="D31" s="3">
        <v>3.1800009999999999</v>
      </c>
      <c r="E31" s="3">
        <v>93.42</v>
      </c>
      <c r="F31">
        <f t="shared" si="2"/>
        <v>-2.149513225008538E-2</v>
      </c>
      <c r="G31">
        <f t="shared" si="3"/>
        <v>-2.0408871631207238E-2</v>
      </c>
      <c r="H31">
        <f t="shared" si="4"/>
        <v>-1.3997417417346589</v>
      </c>
      <c r="I31">
        <f t="shared" si="5"/>
        <v>-7.1463159447122948E-3</v>
      </c>
      <c r="O31" t="s">
        <v>20</v>
      </c>
      <c r="P31">
        <f>SUM(P27:P29)</f>
        <v>11.337234289543851</v>
      </c>
      <c r="Q31">
        <f>SUM(Q27:Q29)</f>
        <v>0.99999999999999989</v>
      </c>
    </row>
    <row r="32" spans="1:26" x14ac:dyDescent="0.25">
      <c r="A32" s="2">
        <v>42376</v>
      </c>
      <c r="B32" s="3">
        <v>157.06</v>
      </c>
      <c r="C32" s="3">
        <v>76.23</v>
      </c>
      <c r="D32" s="3">
        <v>12.89221</v>
      </c>
      <c r="E32" s="3">
        <v>94.09</v>
      </c>
      <c r="F32">
        <f t="shared" si="2"/>
        <v>-2.8248692748483496E-2</v>
      </c>
      <c r="G32">
        <f t="shared" si="3"/>
        <v>-1.6135678643628693E-2</v>
      </c>
      <c r="H32">
        <f t="shared" si="4"/>
        <v>-0.61914588610192167</v>
      </c>
      <c r="I32">
        <f t="shared" si="5"/>
        <v>-3.3958233386633938E-2</v>
      </c>
    </row>
    <row r="33" spans="1:25" x14ac:dyDescent="0.25">
      <c r="A33" s="2">
        <v>42375</v>
      </c>
      <c r="B33" s="3">
        <v>161.56</v>
      </c>
      <c r="C33" s="3">
        <v>77.47</v>
      </c>
      <c r="D33" s="3">
        <v>23.945229999999999</v>
      </c>
      <c r="E33" s="3">
        <v>97.34</v>
      </c>
      <c r="F33">
        <f t="shared" si="2"/>
        <v>1.1892734171441583E-2</v>
      </c>
      <c r="G33">
        <f t="shared" si="3"/>
        <v>-8.3553413646670661E-3</v>
      </c>
      <c r="H33">
        <f t="shared" si="4"/>
        <v>0.11836291211169388</v>
      </c>
      <c r="I33">
        <f t="shared" si="5"/>
        <v>9.3926478830151077E-3</v>
      </c>
    </row>
    <row r="34" spans="1:25" x14ac:dyDescent="0.25">
      <c r="A34" s="2">
        <v>42374</v>
      </c>
      <c r="B34" s="3">
        <v>159.64999</v>
      </c>
      <c r="C34" s="3">
        <v>78.12</v>
      </c>
      <c r="D34" s="3">
        <v>21.272310000000001</v>
      </c>
      <c r="E34" s="3">
        <v>96.43</v>
      </c>
      <c r="F34">
        <f t="shared" si="2"/>
        <v>5.107897016928413E-2</v>
      </c>
      <c r="G34">
        <f t="shared" si="3"/>
        <v>8.4844319218721296E-3</v>
      </c>
      <c r="H34">
        <f t="shared" si="4"/>
        <v>0.15941358195480568</v>
      </c>
      <c r="I34">
        <f t="shared" si="5"/>
        <v>2.0429184633186156E-2</v>
      </c>
    </row>
    <row r="35" spans="1:25" x14ac:dyDescent="0.25">
      <c r="A35" s="2">
        <v>42373</v>
      </c>
      <c r="B35" s="3">
        <v>151.69999999999999</v>
      </c>
      <c r="C35" s="3">
        <v>77.459999999999994</v>
      </c>
      <c r="D35" s="3">
        <v>18.137699999999999</v>
      </c>
      <c r="E35" s="3">
        <v>94.48</v>
      </c>
      <c r="F35">
        <f t="shared" si="2"/>
        <v>-6.4392760260771958E-3</v>
      </c>
      <c r="G35">
        <f t="shared" si="3"/>
        <v>-6.3059214171794749E-3</v>
      </c>
      <c r="H35">
        <f t="shared" si="4"/>
        <v>-0.35310251738723536</v>
      </c>
      <c r="I35">
        <f t="shared" si="5"/>
        <v>-1.9599222971268454E-2</v>
      </c>
      <c r="W35">
        <f t="array" ref="W35:Y35">TRANSPOSE(R44:R46)</f>
        <v>0.71578550085109383</v>
      </c>
      <c r="X35">
        <v>0.28236828079748078</v>
      </c>
      <c r="Y35">
        <v>1.8462183514254688E-3</v>
      </c>
    </row>
    <row r="36" spans="1:25" x14ac:dyDescent="0.25">
      <c r="A36" s="2">
        <v>42369</v>
      </c>
      <c r="B36" s="3">
        <v>152.67999</v>
      </c>
      <c r="C36" s="3">
        <v>77.95</v>
      </c>
      <c r="D36" s="3">
        <v>25.8186</v>
      </c>
      <c r="E36" s="3">
        <v>96.35</v>
      </c>
      <c r="F36">
        <f t="shared" si="2"/>
        <v>-2.464801169636166E-2</v>
      </c>
      <c r="G36">
        <f t="shared" si="3"/>
        <v>-2.050494118420401E-3</v>
      </c>
      <c r="H36">
        <f t="shared" si="4"/>
        <v>0.31598482318081628</v>
      </c>
      <c r="I36">
        <f t="shared" si="5"/>
        <v>-2.5913463580969111E-3</v>
      </c>
      <c r="K36" t="s">
        <v>25</v>
      </c>
    </row>
    <row r="37" spans="1:25" x14ac:dyDescent="0.25">
      <c r="A37" s="2">
        <v>42368</v>
      </c>
      <c r="B37" s="3">
        <v>156.49001000000001</v>
      </c>
      <c r="C37" s="3">
        <v>78.11</v>
      </c>
      <c r="D37" s="3">
        <v>18.82358</v>
      </c>
      <c r="E37" s="3">
        <v>96.6</v>
      </c>
      <c r="F37">
        <f t="shared" si="2"/>
        <v>1.2787576295953529E-4</v>
      </c>
      <c r="G37">
        <f t="shared" si="3"/>
        <v>-1.3353031112159044E-2</v>
      </c>
      <c r="H37">
        <f t="shared" si="4"/>
        <v>0.20039483842233791</v>
      </c>
      <c r="I37">
        <f t="shared" si="5"/>
        <v>2.7071215622487804E-2</v>
      </c>
      <c r="L37" t="s">
        <v>22</v>
      </c>
      <c r="R37" t="s">
        <v>7</v>
      </c>
      <c r="W37">
        <f>$R44*L4*W$35</f>
        <v>2.7477225621841991E-4</v>
      </c>
      <c r="X37">
        <f t="shared" ref="X37:Y37" si="19">$R44*M4*X$35</f>
        <v>-4.652321845452584E-6</v>
      </c>
      <c r="Y37">
        <f t="shared" si="19"/>
        <v>1.6944701719275345E-6</v>
      </c>
    </row>
    <row r="38" spans="1:25" x14ac:dyDescent="0.25">
      <c r="A38" s="2">
        <v>42367</v>
      </c>
      <c r="B38" s="3">
        <v>156.47</v>
      </c>
      <c r="C38" s="3">
        <v>79.16</v>
      </c>
      <c r="D38" s="3">
        <v>15.40536</v>
      </c>
      <c r="E38" s="3">
        <v>94.02</v>
      </c>
      <c r="F38">
        <f t="shared" si="2"/>
        <v>4.7241546041254447E-2</v>
      </c>
      <c r="G38">
        <f t="shared" si="3"/>
        <v>5.3198352187734865E-3</v>
      </c>
      <c r="H38">
        <f t="shared" si="4"/>
        <v>0.71525753646113499</v>
      </c>
      <c r="I38">
        <f t="shared" si="5"/>
        <v>-1.0474623622673748E-2</v>
      </c>
      <c r="L38">
        <f>L8</f>
        <v>1.0725982439422806E-3</v>
      </c>
      <c r="M38">
        <f t="shared" ref="M38:O38" si="20">M8</f>
        <v>-4.6036356069175221E-5</v>
      </c>
      <c r="N38">
        <f t="shared" si="20"/>
        <v>2.5644720107823996E-3</v>
      </c>
      <c r="O38">
        <f t="shared" si="20"/>
        <v>1</v>
      </c>
      <c r="P38">
        <f>S14</f>
        <v>3.7003964837513362E-3</v>
      </c>
      <c r="R38">
        <v>0</v>
      </c>
      <c r="W38">
        <f t="shared" ref="W38:W39" si="21">$R45*L5*W$35</f>
        <v>-4.652321845452584E-6</v>
      </c>
      <c r="X38">
        <f t="shared" ref="X38:X39" si="22">$R45*M5*X$35</f>
        <v>3.2754486972256761E-5</v>
      </c>
      <c r="Y38">
        <f t="shared" ref="Y38:Y39" si="23">$R45*N5*Y$35</f>
        <v>2.9336181524161409E-6</v>
      </c>
    </row>
    <row r="39" spans="1:25" x14ac:dyDescent="0.25">
      <c r="A39" s="2">
        <v>42366</v>
      </c>
      <c r="B39" s="3">
        <v>149.25</v>
      </c>
      <c r="C39" s="3">
        <v>78.739999999999995</v>
      </c>
      <c r="D39" s="3">
        <v>7.5342399999999996</v>
      </c>
      <c r="E39" s="3">
        <v>95.01</v>
      </c>
      <c r="F39">
        <f t="shared" si="2"/>
        <v>6.7227143948767375E-3</v>
      </c>
      <c r="G39">
        <f t="shared" si="3"/>
        <v>-7.4650817983201671E-3</v>
      </c>
      <c r="H39">
        <f t="shared" si="4"/>
        <v>-0.42056899040756851</v>
      </c>
      <c r="I39">
        <f t="shared" si="5"/>
        <v>2.1052631656712028E-4</v>
      </c>
      <c r="L39">
        <f t="shared" ref="L39:O39" si="24">L9</f>
        <v>-4.6036356069175221E-5</v>
      </c>
      <c r="M39">
        <f t="shared" si="24"/>
        <v>8.216161700819295E-4</v>
      </c>
      <c r="N39">
        <f t="shared" si="24"/>
        <v>1.1254717715539337E-2</v>
      </c>
      <c r="O39">
        <f t="shared" si="24"/>
        <v>1</v>
      </c>
      <c r="P39">
        <f t="shared" ref="P39:P40" si="25">S15</f>
        <v>1.7464363279815897E-3</v>
      </c>
      <c r="R39">
        <v>0</v>
      </c>
      <c r="W39">
        <f t="shared" si="21"/>
        <v>1.6944701719275345E-6</v>
      </c>
      <c r="X39">
        <f t="shared" si="22"/>
        <v>2.9336181524161409E-6</v>
      </c>
      <c r="Y39">
        <f t="shared" si="23"/>
        <v>3.1627358178522287E-6</v>
      </c>
    </row>
    <row r="40" spans="1:25" x14ac:dyDescent="0.25">
      <c r="A40" s="2">
        <v>42362</v>
      </c>
      <c r="B40" s="3">
        <v>148.25</v>
      </c>
      <c r="C40" s="3">
        <v>79.33</v>
      </c>
      <c r="D40" s="3">
        <v>11.47335</v>
      </c>
      <c r="E40" s="3">
        <v>94.99</v>
      </c>
      <c r="F40">
        <f t="shared" si="2"/>
        <v>6.9040480005176713E-3</v>
      </c>
      <c r="G40">
        <f t="shared" si="3"/>
        <v>-1.0782451505025785E-2</v>
      </c>
      <c r="H40">
        <f t="shared" si="4"/>
        <v>0.39335837770996207</v>
      </c>
      <c r="I40">
        <f t="shared" si="5"/>
        <v>7.608617494032039E-3</v>
      </c>
      <c r="L40">
        <f t="shared" ref="L40:O40" si="26">L10</f>
        <v>2.5644720107823996E-3</v>
      </c>
      <c r="M40">
        <f t="shared" si="26"/>
        <v>1.1254717715539337E-2</v>
      </c>
      <c r="N40">
        <f t="shared" si="26"/>
        <v>1.8557812630906556</v>
      </c>
      <c r="O40">
        <f t="shared" si="26"/>
        <v>1</v>
      </c>
      <c r="P40">
        <f t="shared" si="25"/>
        <v>3.1508529871932464E-2</v>
      </c>
      <c r="R40">
        <v>0</v>
      </c>
    </row>
    <row r="41" spans="1:25" x14ac:dyDescent="0.25">
      <c r="A41" s="2">
        <v>42361</v>
      </c>
      <c r="B41" s="3">
        <v>147.22999999999999</v>
      </c>
      <c r="C41" s="3">
        <v>80.19</v>
      </c>
      <c r="D41" s="3">
        <v>7.7420660000000003</v>
      </c>
      <c r="E41" s="3">
        <v>94.27</v>
      </c>
      <c r="F41">
        <f t="shared" si="2"/>
        <v>4.543710148819529E-2</v>
      </c>
      <c r="G41">
        <f t="shared" si="3"/>
        <v>3.2187269224241068E-2</v>
      </c>
      <c r="H41">
        <f t="shared" si="4"/>
        <v>-0.65282579376626115</v>
      </c>
      <c r="I41">
        <f t="shared" si="5"/>
        <v>6.064816163682301E-3</v>
      </c>
      <c r="L41">
        <f t="shared" ref="L41:P42" si="27">L11</f>
        <v>1</v>
      </c>
      <c r="M41">
        <f t="shared" si="27"/>
        <v>1</v>
      </c>
      <c r="N41">
        <f t="shared" si="27"/>
        <v>1</v>
      </c>
      <c r="O41">
        <f t="shared" si="27"/>
        <v>0</v>
      </c>
      <c r="P41">
        <f t="shared" si="27"/>
        <v>0</v>
      </c>
      <c r="R41">
        <v>1</v>
      </c>
    </row>
    <row r="42" spans="1:25" x14ac:dyDescent="0.25">
      <c r="A42" s="2">
        <v>42360</v>
      </c>
      <c r="B42" s="3">
        <v>140.69</v>
      </c>
      <c r="C42" s="3">
        <v>77.650000000000006</v>
      </c>
      <c r="D42" s="3">
        <v>14.872210000000001</v>
      </c>
      <c r="E42" s="3">
        <v>93.7</v>
      </c>
      <c r="F42">
        <f t="shared" si="2"/>
        <v>-3.7937816529654618E-2</v>
      </c>
      <c r="G42">
        <f t="shared" si="3"/>
        <v>5.0351923565608841E-3</v>
      </c>
      <c r="H42">
        <f t="shared" si="4"/>
        <v>-0.54728257241675482</v>
      </c>
      <c r="I42">
        <f t="shared" si="5"/>
        <v>-3.0902043878334286E-3</v>
      </c>
      <c r="L42">
        <f t="array" ref="L42:N42">TRANSPOSE(P38:P40)</f>
        <v>3.7003964837513362E-3</v>
      </c>
      <c r="M42">
        <v>1.7464363279815897E-3</v>
      </c>
      <c r="N42">
        <v>3.1508529871932464E-2</v>
      </c>
      <c r="O42">
        <f t="shared" si="27"/>
        <v>0</v>
      </c>
      <c r="P42">
        <f t="shared" si="27"/>
        <v>0</v>
      </c>
      <c r="R42">
        <f>0.8/250</f>
        <v>3.2000000000000002E-3</v>
      </c>
      <c r="U42" t="str">
        <f>U26</f>
        <v>Rp</v>
      </c>
      <c r="V42" t="str">
        <f t="shared" ref="V42:W42" si="28">V26</f>
        <v>Var(P)</v>
      </c>
      <c r="W42" t="str">
        <f t="shared" si="28"/>
        <v>Sigma(P)</v>
      </c>
    </row>
    <row r="43" spans="1:25" x14ac:dyDescent="0.25">
      <c r="A43" s="2">
        <v>42359</v>
      </c>
      <c r="B43" s="3">
        <v>146.13001</v>
      </c>
      <c r="C43" s="3">
        <v>77.260000000000005</v>
      </c>
      <c r="D43" s="3">
        <v>25.707350000000002</v>
      </c>
      <c r="E43" s="3">
        <v>93.99</v>
      </c>
      <c r="F43">
        <f t="shared" si="2"/>
        <v>-1.9583820206805016E-2</v>
      </c>
      <c r="G43">
        <f t="shared" si="3"/>
        <v>-2.588326661272319E-4</v>
      </c>
      <c r="H43">
        <f t="shared" si="4"/>
        <v>0.35339915242690317</v>
      </c>
      <c r="I43">
        <f t="shared" si="5"/>
        <v>-2.7804340554294874E-2</v>
      </c>
      <c r="R43" t="s">
        <v>13</v>
      </c>
      <c r="U43">
        <f>SUMPRODUCT(R44:R46,S14:S16)</f>
        <v>3.2000000000000023E-3</v>
      </c>
      <c r="V43">
        <f>SUM(W37:Y39)</f>
        <v>3.1064101196631109E-4</v>
      </c>
      <c r="W43">
        <f>V43^0.5</f>
        <v>1.7625010977764272E-2</v>
      </c>
    </row>
    <row r="44" spans="1:25" x14ac:dyDescent="0.25">
      <c r="A44" s="2">
        <v>42356</v>
      </c>
      <c r="B44" s="3">
        <v>149.02000000000001</v>
      </c>
      <c r="C44" s="3">
        <v>77.28</v>
      </c>
      <c r="D44" s="3">
        <v>18.054189999999998</v>
      </c>
      <c r="E44" s="3">
        <v>96.64</v>
      </c>
      <c r="F44">
        <f t="shared" si="2"/>
        <v>-1.2801881731140871E-2</v>
      </c>
      <c r="G44">
        <f t="shared" si="3"/>
        <v>-8.7606847350973922E-3</v>
      </c>
      <c r="H44">
        <f t="shared" si="4"/>
        <v>-0.74552749848809241</v>
      </c>
      <c r="I44">
        <f t="shared" si="5"/>
        <v>-1.5198485203783729E-2</v>
      </c>
      <c r="L44">
        <f t="array" ref="L44:P48">MINVERSE(L38:P42)</f>
        <v>91.584547660516108</v>
      </c>
      <c r="M44">
        <v>-85.571779884332415</v>
      </c>
      <c r="N44">
        <v>-6.0127677761840728</v>
      </c>
      <c r="O44">
        <v>-0.54696508870897276</v>
      </c>
      <c r="P44">
        <v>394.60955923752078</v>
      </c>
      <c r="Q44">
        <v>1</v>
      </c>
      <c r="R44">
        <f t="array" ref="R44:R48">MMULT(L44:P48,R38:R42)</f>
        <v>0.71578550085109383</v>
      </c>
    </row>
    <row r="45" spans="1:25" x14ac:dyDescent="0.25">
      <c r="A45" s="2">
        <v>42355</v>
      </c>
      <c r="B45" s="3">
        <v>150.94</v>
      </c>
      <c r="C45" s="3">
        <v>77.959999999999994</v>
      </c>
      <c r="D45" s="3">
        <v>38.050159999999998</v>
      </c>
      <c r="E45" s="3">
        <v>98.12</v>
      </c>
      <c r="F45">
        <f t="shared" si="2"/>
        <v>2.1496123523205551E-2</v>
      </c>
      <c r="G45">
        <f t="shared" si="3"/>
        <v>-1.5148911687661261E-2</v>
      </c>
      <c r="H45">
        <f t="shared" si="4"/>
        <v>-3.7471835388407385E-2</v>
      </c>
      <c r="I45">
        <f t="shared" si="5"/>
        <v>1.9138355515325244E-2</v>
      </c>
      <c r="L45">
        <v>-85.571779884332031</v>
      </c>
      <c r="M45">
        <v>79.953766215187557</v>
      </c>
      <c r="N45">
        <v>5.6180136691448563</v>
      </c>
      <c r="O45">
        <v>1.5697352724343354</v>
      </c>
      <c r="P45">
        <v>-402.30218488651707</v>
      </c>
      <c r="Q45">
        <v>2</v>
      </c>
      <c r="R45">
        <v>0.28236828079748078</v>
      </c>
    </row>
    <row r="46" spans="1:25" x14ac:dyDescent="0.25">
      <c r="A46" s="2">
        <v>42354</v>
      </c>
      <c r="B46" s="3">
        <v>147.72999999999999</v>
      </c>
      <c r="C46" s="3">
        <v>79.150000000000006</v>
      </c>
      <c r="D46" s="3">
        <v>39.503019999999999</v>
      </c>
      <c r="E46" s="3">
        <v>96.26</v>
      </c>
      <c r="F46">
        <f t="shared" si="2"/>
        <v>5.5661289511810281E-3</v>
      </c>
      <c r="G46">
        <f t="shared" si="3"/>
        <v>-3.5313443180195873E-3</v>
      </c>
      <c r="H46">
        <f t="shared" si="4"/>
        <v>0.24288229945883763</v>
      </c>
      <c r="I46">
        <f t="shared" si="5"/>
        <v>2.2880925219109153E-3</v>
      </c>
      <c r="L46">
        <v>-6.0127677761840816</v>
      </c>
      <c r="M46">
        <v>5.6180136691448643</v>
      </c>
      <c r="N46">
        <v>0.39475410703921643</v>
      </c>
      <c r="O46">
        <v>-2.2770183725362665E-2</v>
      </c>
      <c r="P46">
        <v>7.6926256489962919</v>
      </c>
      <c r="Q46">
        <v>3</v>
      </c>
      <c r="R46">
        <v>1.8462183514254688E-3</v>
      </c>
    </row>
    <row r="47" spans="1:25" x14ac:dyDescent="0.25">
      <c r="A47" s="2">
        <v>42353</v>
      </c>
      <c r="B47" s="3">
        <v>146.91</v>
      </c>
      <c r="C47" s="3">
        <v>79.430000000000007</v>
      </c>
      <c r="D47" s="3">
        <v>30.984739999999999</v>
      </c>
      <c r="E47" s="3">
        <v>96.04</v>
      </c>
      <c r="F47">
        <f t="shared" si="2"/>
        <v>-1.2715694248450251E-2</v>
      </c>
      <c r="G47">
        <f t="shared" si="3"/>
        <v>4.3748131404695488E-2</v>
      </c>
      <c r="H47">
        <f t="shared" si="4"/>
        <v>2.1190106934742756</v>
      </c>
      <c r="I47">
        <f t="shared" si="5"/>
        <v>-8.7083278917841969E-3</v>
      </c>
      <c r="L47">
        <v>-0.54696508870897342</v>
      </c>
      <c r="M47">
        <v>1.5697352724343361</v>
      </c>
      <c r="N47">
        <v>-2.2770183725362662E-2</v>
      </c>
      <c r="O47">
        <v>-2.6459694872084071E-3</v>
      </c>
      <c r="P47">
        <v>0.90890305576822439</v>
      </c>
      <c r="Q47" t="s">
        <v>23</v>
      </c>
      <c r="R47">
        <v>2.6252029124991094E-4</v>
      </c>
    </row>
    <row r="48" spans="1:25" x14ac:dyDescent="0.25">
      <c r="A48" s="2">
        <v>42352</v>
      </c>
      <c r="B48" s="3">
        <v>148.78998999999999</v>
      </c>
      <c r="C48" s="3">
        <v>76.03</v>
      </c>
      <c r="D48" s="3">
        <v>3.7228300000000001</v>
      </c>
      <c r="E48" s="3">
        <v>96.88</v>
      </c>
      <c r="L48">
        <v>394.60955923752073</v>
      </c>
      <c r="M48">
        <v>-402.30218488651701</v>
      </c>
      <c r="N48">
        <v>7.6926256489962874</v>
      </c>
      <c r="O48">
        <v>0.90890305576822472</v>
      </c>
      <c r="P48">
        <v>-370.34102476961431</v>
      </c>
      <c r="Q48" t="s">
        <v>24</v>
      </c>
      <c r="R48">
        <v>-0.2761882234945412</v>
      </c>
    </row>
    <row r="49" spans="1:18" x14ac:dyDescent="0.25">
      <c r="E49" t="s">
        <v>6</v>
      </c>
      <c r="F49">
        <f>AVERAGE(F2:F47)</f>
        <v>3.7003964837513362E-3</v>
      </c>
      <c r="G49">
        <f t="shared" ref="G49:I49" si="29">AVERAGE(G2:G47)</f>
        <v>1.7464363279815897E-3</v>
      </c>
      <c r="H49">
        <f t="shared" si="29"/>
        <v>3.1508529871932464E-2</v>
      </c>
      <c r="I49">
        <f t="shared" si="29"/>
        <v>3.2457028003808233E-3</v>
      </c>
    </row>
    <row r="50" spans="1:18" x14ac:dyDescent="0.25">
      <c r="R50">
        <f>SUM(R44:R46)</f>
        <v>1</v>
      </c>
    </row>
    <row r="51" spans="1:18" x14ac:dyDescent="0.25">
      <c r="A51" t="s">
        <v>5</v>
      </c>
      <c r="I51" t="s">
        <v>7</v>
      </c>
    </row>
    <row r="52" spans="1:18" x14ac:dyDescent="0.25">
      <c r="E52" t="s">
        <v>1</v>
      </c>
      <c r="F52" s="4">
        <f>COUNT(F2:F47)</f>
        <v>46</v>
      </c>
      <c r="G52" s="4">
        <f>SUM(I2:I47)</f>
        <v>0.14930232881751787</v>
      </c>
      <c r="I52">
        <f>SUM(F2:F47)</f>
        <v>0.17021823825256147</v>
      </c>
    </row>
    <row r="53" spans="1:18" x14ac:dyDescent="0.25">
      <c r="A53" t="s">
        <v>17</v>
      </c>
      <c r="F53" s="4">
        <f>G52</f>
        <v>0.14930232881751787</v>
      </c>
      <c r="G53" s="4">
        <f>SUMPRODUCT(I2:I47,I2:I47)</f>
        <v>2.0321122314280619E-2</v>
      </c>
      <c r="I53">
        <f>SUMPRODUCT(F2:F47,I2:I47)</f>
        <v>1.3347290624023364E-2</v>
      </c>
    </row>
    <row r="54" spans="1:18" x14ac:dyDescent="0.25">
      <c r="A54">
        <f>0.025/250</f>
        <v>1E-4</v>
      </c>
    </row>
    <row r="55" spans="1:18" x14ac:dyDescent="0.25">
      <c r="F55" t="s">
        <v>8</v>
      </c>
    </row>
    <row r="56" spans="1:18" x14ac:dyDescent="0.25">
      <c r="F56">
        <f t="array" ref="F56:G57">MINVERSE(F52:G53)</f>
        <v>2.2270200433587156E-2</v>
      </c>
      <c r="G56">
        <v>-0.16362249764280135</v>
      </c>
      <c r="H56" t="s">
        <v>9</v>
      </c>
      <c r="I56">
        <f t="array" ref="I56:I57">MMULT(F56:G57,I52:I53)</f>
        <v>1.6068772546695888E-3</v>
      </c>
    </row>
    <row r="57" spans="1:18" x14ac:dyDescent="0.25">
      <c r="F57">
        <v>-0.16362249764280135</v>
      </c>
      <c r="G57">
        <v>50.412039458327257</v>
      </c>
      <c r="H57" t="s">
        <v>10</v>
      </c>
      <c r="I57">
        <v>0.64501260831278573</v>
      </c>
    </row>
    <row r="60" spans="1:18" x14ac:dyDescent="0.25">
      <c r="E60" t="s">
        <v>2</v>
      </c>
      <c r="I60" t="s">
        <v>7</v>
      </c>
    </row>
    <row r="61" spans="1:18" x14ac:dyDescent="0.25">
      <c r="I61">
        <f>SUM(G2:G47)</f>
        <v>8.0336071087153127E-2</v>
      </c>
    </row>
    <row r="62" spans="1:18" x14ac:dyDescent="0.25">
      <c r="I62">
        <f>SUMPRODUCT(G2:G47,I2:I47)</f>
        <v>-5.4102888723973784E-3</v>
      </c>
    </row>
    <row r="64" spans="1:18" x14ac:dyDescent="0.25">
      <c r="H64" t="s">
        <v>9</v>
      </c>
      <c r="I64">
        <f t="array" ref="I64:I65">MMULT(F56:G57,I61:I62)</f>
        <v>2.6743453834285206E-3</v>
      </c>
    </row>
    <row r="65" spans="5:12" x14ac:dyDescent="0.25">
      <c r="H65" t="s">
        <v>10</v>
      </c>
      <c r="I65">
        <v>-0.28588848471833511</v>
      </c>
    </row>
    <row r="67" spans="5:12" x14ac:dyDescent="0.25">
      <c r="E67" t="s">
        <v>3</v>
      </c>
      <c r="I67" t="s">
        <v>7</v>
      </c>
    </row>
    <row r="68" spans="5:12" x14ac:dyDescent="0.25">
      <c r="I68">
        <f>SUM(H2:H47)</f>
        <v>1.4493923741088932</v>
      </c>
    </row>
    <row r="69" spans="5:12" x14ac:dyDescent="0.25">
      <c r="I69">
        <f>SUMPRODUCT(H2:H47,I2:I47)</f>
        <v>2.5543910075947966E-2</v>
      </c>
    </row>
    <row r="71" spans="5:12" x14ac:dyDescent="0.25">
      <c r="H71" t="s">
        <v>9</v>
      </c>
      <c r="I71" s="4">
        <f t="array" ref="I71:I72">MMULT(F56:G57,I68:I69)</f>
        <v>2.8098700312128064E-2</v>
      </c>
      <c r="K71" s="5">
        <f t="array" ref="K71:L75">LINEST(H2:H47,I2:I47,1,1)</f>
        <v>1.0505674023525271</v>
      </c>
      <c r="L71" s="4">
        <v>2.809870031212806E-2</v>
      </c>
    </row>
    <row r="72" spans="5:12" x14ac:dyDescent="0.25">
      <c r="H72" t="s">
        <v>10</v>
      </c>
      <c r="I72" s="5">
        <v>1.0505674023525255</v>
      </c>
      <c r="K72">
        <v>6.9912800039747198</v>
      </c>
      <c r="L72">
        <v>0.1469439213576739</v>
      </c>
    </row>
    <row r="73" spans="5:12" x14ac:dyDescent="0.25">
      <c r="K73">
        <v>5.1293100691349235E-4</v>
      </c>
      <c r="L73">
        <v>0.98466740615563431</v>
      </c>
    </row>
    <row r="74" spans="5:12" x14ac:dyDescent="0.25">
      <c r="K74">
        <v>2.2580546566680765E-2</v>
      </c>
      <c r="L74">
        <v>44</v>
      </c>
    </row>
    <row r="75" spans="5:12" x14ac:dyDescent="0.25">
      <c r="K75">
        <v>2.18934182934305E-2</v>
      </c>
      <c r="L75">
        <v>42.66107563279165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2018-04-03T16:30:21Z</dcterms:created>
  <dcterms:modified xsi:type="dcterms:W3CDTF">2018-04-03T17:09:35Z</dcterms:modified>
</cp:coreProperties>
</file>