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7795" windowHeight="12840"/>
  </bookViews>
  <sheets>
    <sheet name="example cba" sheetId="2" r:id="rId1"/>
    <sheet name="cma cea cua" sheetId="3" r:id="rId2"/>
    <sheet name="cba1" sheetId="8" r:id="rId3"/>
    <sheet name="cba2" sheetId="9" r:id="rId4"/>
  </sheets>
  <calcPr calcId="145621"/>
</workbook>
</file>

<file path=xl/calcChain.xml><?xml version="1.0" encoding="utf-8"?>
<calcChain xmlns="http://schemas.openxmlformats.org/spreadsheetml/2006/main">
  <c r="J24" i="2" l="1"/>
  <c r="I24" i="2"/>
  <c r="G14" i="3" l="1"/>
  <c r="I16" i="2"/>
  <c r="I19" i="2" l="1"/>
  <c r="E3" i="2"/>
  <c r="E46" i="9"/>
  <c r="D46" i="9"/>
  <c r="C46" i="9"/>
  <c r="L36" i="9"/>
  <c r="L37" i="9" s="1"/>
  <c r="K36" i="9"/>
  <c r="K37" i="9" s="1"/>
  <c r="I35" i="9"/>
  <c r="I37" i="9" s="1"/>
  <c r="I45" i="9" s="1"/>
  <c r="I48" i="9" s="1"/>
  <c r="B35" i="9"/>
  <c r="B37" i="9" s="1"/>
  <c r="B45" i="9" s="1"/>
  <c r="B48" i="9" s="1"/>
  <c r="B26" i="9"/>
  <c r="F26" i="9" s="1"/>
  <c r="B25" i="9"/>
  <c r="B27" i="9" s="1"/>
  <c r="B18" i="9"/>
  <c r="J36" i="9" s="1"/>
  <c r="J37" i="9" s="1"/>
  <c r="B15" i="9"/>
  <c r="B13" i="9"/>
  <c r="C47" i="9" s="1"/>
  <c r="P42" i="8"/>
  <c r="O42" i="8"/>
  <c r="N42" i="8"/>
  <c r="M42" i="8"/>
  <c r="L42" i="8"/>
  <c r="G42" i="8"/>
  <c r="F42" i="8"/>
  <c r="E42" i="8"/>
  <c r="D42" i="8"/>
  <c r="C42" i="8"/>
  <c r="P32" i="8"/>
  <c r="O32" i="8"/>
  <c r="N32" i="8"/>
  <c r="M32" i="8"/>
  <c r="L32" i="8"/>
  <c r="G32" i="8"/>
  <c r="F32" i="8"/>
  <c r="E32" i="8"/>
  <c r="D32" i="8"/>
  <c r="C32" i="8"/>
  <c r="P31" i="8"/>
  <c r="P33" i="8" s="1"/>
  <c r="O31" i="8"/>
  <c r="N31" i="8"/>
  <c r="M31" i="8"/>
  <c r="M33" i="8" s="1"/>
  <c r="L31" i="8"/>
  <c r="L33" i="8" s="1"/>
  <c r="G31" i="8"/>
  <c r="G33" i="8" s="1"/>
  <c r="G34" i="8" s="1"/>
  <c r="F31" i="8"/>
  <c r="F33" i="8" s="1"/>
  <c r="E31" i="8"/>
  <c r="E33" i="8" s="1"/>
  <c r="D31" i="8"/>
  <c r="D33" i="8" s="1"/>
  <c r="D34" i="8" s="1"/>
  <c r="C31" i="8"/>
  <c r="C33" i="8" s="1"/>
  <c r="C40" i="8" s="1"/>
  <c r="C43" i="8" s="1"/>
  <c r="C44" i="8" s="1"/>
  <c r="B21" i="8"/>
  <c r="P41" i="8" s="1"/>
  <c r="B18" i="8"/>
  <c r="K31" i="8" s="1"/>
  <c r="K33" i="8" s="1"/>
  <c r="B17" i="8"/>
  <c r="B31" i="8" s="1"/>
  <c r="B33" i="8" s="1"/>
  <c r="E36" i="9" l="1"/>
  <c r="C36" i="9"/>
  <c r="D36" i="9"/>
  <c r="N33" i="8"/>
  <c r="N34" i="8" s="1"/>
  <c r="O33" i="8"/>
  <c r="O34" i="8" s="1"/>
  <c r="K45" i="9"/>
  <c r="K48" i="9" s="1"/>
  <c r="K49" i="9" s="1"/>
  <c r="K38" i="9"/>
  <c r="B49" i="9"/>
  <c r="J45" i="9"/>
  <c r="J48" i="9" s="1"/>
  <c r="J49" i="9" s="1"/>
  <c r="J38" i="9"/>
  <c r="L45" i="9"/>
  <c r="L48" i="9" s="1"/>
  <c r="L49" i="9" s="1"/>
  <c r="L38" i="9"/>
  <c r="I49" i="9"/>
  <c r="G62" i="9"/>
  <c r="I62" i="9" s="1"/>
  <c r="G61" i="9"/>
  <c r="I61" i="9" s="1"/>
  <c r="G58" i="9"/>
  <c r="I58" i="9" s="1"/>
  <c r="G57" i="9"/>
  <c r="I57" i="9" s="1"/>
  <c r="M40" i="9"/>
  <c r="C25" i="9"/>
  <c r="C27" i="9" s="1"/>
  <c r="C35" i="9"/>
  <c r="C37" i="9" s="1"/>
  <c r="D47" i="9"/>
  <c r="D25" i="9"/>
  <c r="D27" i="9" s="1"/>
  <c r="F27" i="9" s="1"/>
  <c r="D35" i="9"/>
  <c r="E47" i="9"/>
  <c r="E25" i="9"/>
  <c r="E27" i="9" s="1"/>
  <c r="E35" i="9"/>
  <c r="E37" i="9" s="1"/>
  <c r="B38" i="9"/>
  <c r="I38" i="9"/>
  <c r="E40" i="8"/>
  <c r="E43" i="8" s="1"/>
  <c r="E44" i="8" s="1"/>
  <c r="E34" i="8"/>
  <c r="M40" i="8"/>
  <c r="M34" i="8"/>
  <c r="O40" i="8"/>
  <c r="B40" i="8"/>
  <c r="B43" i="8" s="1"/>
  <c r="B44" i="8" s="1"/>
  <c r="B34" i="8"/>
  <c r="F40" i="8"/>
  <c r="F43" i="8" s="1"/>
  <c r="F44" i="8" s="1"/>
  <c r="F34" i="8"/>
  <c r="K40" i="8"/>
  <c r="K43" i="8" s="1"/>
  <c r="K44" i="8" s="1"/>
  <c r="K34" i="8"/>
  <c r="L34" i="8"/>
  <c r="L40" i="8"/>
  <c r="P34" i="8"/>
  <c r="P40" i="8"/>
  <c r="P43" i="8" s="1"/>
  <c r="P44" i="8" s="1"/>
  <c r="N40" i="8"/>
  <c r="C34" i="8"/>
  <c r="G40" i="8"/>
  <c r="G43" i="8" s="1"/>
  <c r="G44" i="8" s="1"/>
  <c r="M41" i="8"/>
  <c r="D40" i="8"/>
  <c r="D43" i="8" s="1"/>
  <c r="D44" i="8" s="1"/>
  <c r="O41" i="8"/>
  <c r="N41" i="8"/>
  <c r="L41" i="8"/>
  <c r="L43" i="8" l="1"/>
  <c r="L44" i="8" s="1"/>
  <c r="H34" i="8"/>
  <c r="H35" i="8" s="1"/>
  <c r="M38" i="9"/>
  <c r="M39" i="9" s="1"/>
  <c r="F25" i="9"/>
  <c r="B61" i="9" s="1"/>
  <c r="D61" i="9" s="1"/>
  <c r="M43" i="8"/>
  <c r="M44" i="8" s="1"/>
  <c r="Q34" i="8"/>
  <c r="Q35" i="8" s="1"/>
  <c r="B62" i="9"/>
  <c r="D62" i="9" s="1"/>
  <c r="B58" i="9"/>
  <c r="D58" i="9" s="1"/>
  <c r="C38" i="9"/>
  <c r="C45" i="9"/>
  <c r="C48" i="9" s="1"/>
  <c r="E45" i="9"/>
  <c r="E48" i="9" s="1"/>
  <c r="E49" i="9" s="1"/>
  <c r="E38" i="9"/>
  <c r="D37" i="9"/>
  <c r="M49" i="9"/>
  <c r="M50" i="9" s="1"/>
  <c r="M51" i="9"/>
  <c r="O43" i="8"/>
  <c r="O44" i="8" s="1"/>
  <c r="H44" i="8"/>
  <c r="H45" i="8" s="1"/>
  <c r="N43" i="8"/>
  <c r="N44" i="8" s="1"/>
  <c r="Q44" i="8" l="1"/>
  <c r="Q45" i="8" s="1"/>
  <c r="B57" i="9"/>
  <c r="D57" i="9" s="1"/>
  <c r="D45" i="9"/>
  <c r="D48" i="9" s="1"/>
  <c r="D49" i="9" s="1"/>
  <c r="D38" i="9"/>
  <c r="F38" i="9" s="1"/>
  <c r="F39" i="9" s="1"/>
  <c r="F40" i="9"/>
  <c r="C49" i="9"/>
  <c r="F51" i="9"/>
  <c r="E62" i="3"/>
  <c r="E63" i="3"/>
  <c r="E61" i="3"/>
  <c r="G62" i="3"/>
  <c r="G63" i="3"/>
  <c r="G61" i="3"/>
  <c r="J61" i="3" s="1"/>
  <c r="F49" i="9" l="1"/>
  <c r="F50" i="9" s="1"/>
  <c r="J62" i="3"/>
  <c r="J63" i="3"/>
  <c r="G55" i="3"/>
  <c r="G49" i="3"/>
  <c r="G43" i="3"/>
  <c r="C58" i="3"/>
  <c r="F56" i="3"/>
  <c r="F57" i="3" s="1"/>
  <c r="F58" i="3" s="1"/>
  <c r="E56" i="3"/>
  <c r="E57" i="3" s="1"/>
  <c r="E58" i="3" s="1"/>
  <c r="D56" i="3"/>
  <c r="D57" i="3" s="1"/>
  <c r="D58" i="3" s="1"/>
  <c r="C52" i="3"/>
  <c r="F50" i="3"/>
  <c r="F51" i="3" s="1"/>
  <c r="F52" i="3" s="1"/>
  <c r="E50" i="3"/>
  <c r="E51" i="3" s="1"/>
  <c r="E52" i="3" s="1"/>
  <c r="D50" i="3"/>
  <c r="D51" i="3" s="1"/>
  <c r="D52" i="3" s="1"/>
  <c r="C46" i="3"/>
  <c r="E44" i="3"/>
  <c r="E45" i="3" s="1"/>
  <c r="E46" i="3" s="1"/>
  <c r="F44" i="3"/>
  <c r="F45" i="3" s="1"/>
  <c r="F46" i="3" s="1"/>
  <c r="D44" i="3"/>
  <c r="D45" i="3" s="1"/>
  <c r="D46" i="3" s="1"/>
  <c r="E39" i="3"/>
  <c r="G39" i="3" s="1"/>
  <c r="E38" i="3"/>
  <c r="G38" i="3" s="1"/>
  <c r="F30" i="3"/>
  <c r="F29" i="3"/>
  <c r="E30" i="3"/>
  <c r="E29" i="3"/>
  <c r="G27" i="3"/>
  <c r="G26" i="3"/>
  <c r="E34" i="3"/>
  <c r="H34" i="3" s="1"/>
  <c r="E35" i="3"/>
  <c r="H35" i="3" s="1"/>
  <c r="E33" i="3"/>
  <c r="H33" i="3" s="1"/>
  <c r="D32" i="3"/>
  <c r="G15" i="3"/>
  <c r="G16" i="3"/>
  <c r="D15" i="3"/>
  <c r="J15" i="3" s="1"/>
  <c r="D16" i="3"/>
  <c r="I16" i="3" s="1"/>
  <c r="D14" i="3"/>
  <c r="J14" i="3" s="1"/>
  <c r="J21" i="3"/>
  <c r="J22" i="3"/>
  <c r="J20" i="3"/>
  <c r="I21" i="3"/>
  <c r="I22" i="3"/>
  <c r="I20" i="3"/>
  <c r="E4" i="3"/>
  <c r="E5" i="3"/>
  <c r="E6" i="3"/>
  <c r="E3" i="3"/>
  <c r="J16" i="2"/>
  <c r="F12" i="2"/>
  <c r="E12" i="2"/>
  <c r="J26" i="2"/>
  <c r="I26" i="2"/>
  <c r="I25" i="2"/>
  <c r="J25" i="2"/>
  <c r="F10" i="2"/>
  <c r="E10" i="2"/>
  <c r="I20" i="2"/>
  <c r="J20" i="2"/>
  <c r="I21" i="2"/>
  <c r="J21" i="2"/>
  <c r="J19" i="2"/>
  <c r="J15" i="2"/>
  <c r="I15" i="2"/>
  <c r="J14" i="2"/>
  <c r="I14" i="2"/>
  <c r="J13" i="2"/>
  <c r="I13" i="2"/>
  <c r="F11" i="2"/>
  <c r="E11" i="2"/>
  <c r="F9" i="2"/>
  <c r="E9" i="2"/>
  <c r="F8" i="2"/>
  <c r="E8" i="2"/>
  <c r="F7" i="2"/>
  <c r="E7" i="2"/>
  <c r="E4" i="2"/>
  <c r="F4" i="2"/>
  <c r="E6" i="2"/>
  <c r="F6" i="2"/>
  <c r="F3" i="2"/>
  <c r="E5" i="2"/>
  <c r="F5" i="2"/>
  <c r="G30" i="3" l="1"/>
  <c r="G29" i="3"/>
  <c r="G58" i="3"/>
  <c r="H58" i="3" s="1"/>
  <c r="G46" i="3"/>
  <c r="H46" i="3" s="1"/>
  <c r="H55" i="3"/>
  <c r="G52" i="3"/>
  <c r="H52" i="3" s="1"/>
  <c r="H49" i="3"/>
  <c r="H43" i="3"/>
  <c r="J16" i="3"/>
  <c r="I14" i="3"/>
  <c r="I15" i="3"/>
  <c r="J17" i="2"/>
  <c r="E38" i="2" s="1"/>
  <c r="E17" i="2"/>
  <c r="C30" i="2" s="1"/>
  <c r="C32" i="2" s="1"/>
  <c r="F17" i="2"/>
  <c r="C38" i="2" s="1"/>
  <c r="C40" i="2" s="1"/>
  <c r="J27" i="2"/>
  <c r="D42" i="2" s="1"/>
  <c r="I27" i="2"/>
  <c r="F34" i="2" s="1"/>
  <c r="J22" i="2"/>
  <c r="E39" i="2" s="1"/>
  <c r="I22" i="2"/>
  <c r="E31" i="2" s="1"/>
  <c r="I17" i="2"/>
  <c r="C35" i="2" l="1"/>
  <c r="C36" i="2" s="1"/>
  <c r="C33" i="2"/>
  <c r="C43" i="2"/>
  <c r="C44" i="2" s="1"/>
  <c r="C41" i="2"/>
  <c r="F38" i="2"/>
  <c r="E40" i="2"/>
  <c r="E42" i="2"/>
  <c r="G38" i="2"/>
  <c r="D38" i="2"/>
  <c r="E30" i="2"/>
  <c r="E32" i="2" s="1"/>
  <c r="G30" i="2"/>
  <c r="F30" i="2"/>
  <c r="D30" i="2"/>
  <c r="G34" i="2"/>
  <c r="D34" i="2"/>
  <c r="G42" i="2"/>
  <c r="F42" i="2"/>
  <c r="E34" i="2"/>
  <c r="F39" i="2"/>
  <c r="G39" i="2"/>
  <c r="D39" i="2"/>
  <c r="F31" i="2"/>
  <c r="G31" i="2"/>
  <c r="D31" i="2"/>
  <c r="E43" i="2" l="1"/>
  <c r="E44" i="2" s="1"/>
  <c r="E41" i="2"/>
  <c r="E35" i="2"/>
  <c r="E36" i="2" s="1"/>
  <c r="E33" i="2"/>
  <c r="G32" i="2"/>
  <c r="D40" i="2"/>
  <c r="F40" i="2"/>
  <c r="F32" i="2"/>
  <c r="G40" i="2"/>
  <c r="D32" i="2"/>
  <c r="F41" i="2" l="1"/>
  <c r="F43" i="2"/>
  <c r="F44" i="2" s="1"/>
  <c r="D43" i="2"/>
  <c r="D44" i="2" s="1"/>
  <c r="H40" i="2"/>
  <c r="I40" i="2" s="1"/>
  <c r="D41" i="2"/>
  <c r="G43" i="2"/>
  <c r="G44" i="2" s="1"/>
  <c r="G41" i="2"/>
  <c r="G33" i="2"/>
  <c r="G35" i="2"/>
  <c r="G36" i="2" s="1"/>
  <c r="D33" i="2"/>
  <c r="D35" i="2"/>
  <c r="D36" i="2" s="1"/>
  <c r="H32" i="2"/>
  <c r="I32" i="2" s="1"/>
  <c r="F35" i="2"/>
  <c r="F36" i="2" s="1"/>
  <c r="F33" i="2"/>
  <c r="H43" i="2" l="1"/>
  <c r="I43" i="2" s="1"/>
  <c r="H44" i="2"/>
  <c r="H41" i="2"/>
  <c r="H36" i="2"/>
  <c r="H33" i="2"/>
  <c r="H35" i="2"/>
  <c r="I35" i="2" s="1"/>
</calcChain>
</file>

<file path=xl/sharedStrings.xml><?xml version="1.0" encoding="utf-8"?>
<sst xmlns="http://schemas.openxmlformats.org/spreadsheetml/2006/main" count="222" uniqueCount="116">
  <si>
    <t>A</t>
  </si>
  <si>
    <t>B</t>
  </si>
  <si>
    <t>0A</t>
  </si>
  <si>
    <t>0B</t>
  </si>
  <si>
    <t>WEEE</t>
  </si>
  <si>
    <t>WC</t>
  </si>
  <si>
    <t>C</t>
  </si>
  <si>
    <t>D</t>
  </si>
  <si>
    <t>Č</t>
  </si>
  <si>
    <t>k1</t>
  </si>
  <si>
    <t>k2</t>
  </si>
  <si>
    <t>k3</t>
  </si>
  <si>
    <t>k4</t>
  </si>
  <si>
    <t>k5</t>
  </si>
  <si>
    <t>k6</t>
  </si>
  <si>
    <t>CMA</t>
  </si>
  <si>
    <t>PV</t>
  </si>
  <si>
    <t>CEA</t>
  </si>
  <si>
    <t>AB</t>
  </si>
  <si>
    <t>AB1</t>
  </si>
  <si>
    <t>r=</t>
  </si>
  <si>
    <t>A disc</t>
  </si>
  <si>
    <t>A cost</t>
  </si>
  <si>
    <t>B cost</t>
  </si>
  <si>
    <t>A benef</t>
  </si>
  <si>
    <t>B benef</t>
  </si>
  <si>
    <t>A sum</t>
  </si>
  <si>
    <t>NPV</t>
  </si>
  <si>
    <t>B sum</t>
  </si>
  <si>
    <t>B disc</t>
  </si>
  <si>
    <t>Ri=</t>
  </si>
  <si>
    <t>ROI=</t>
  </si>
  <si>
    <t>A fa</t>
  </si>
  <si>
    <t>B fa</t>
  </si>
  <si>
    <t>A ecost</t>
  </si>
  <si>
    <t>B ecost</t>
  </si>
  <si>
    <t>A ebenef</t>
  </si>
  <si>
    <t>B ebenef</t>
  </si>
  <si>
    <t>A esum</t>
  </si>
  <si>
    <t>B esum</t>
  </si>
  <si>
    <t>A edisc</t>
  </si>
  <si>
    <t>B edisc</t>
  </si>
  <si>
    <t>costs</t>
  </si>
  <si>
    <t>effects</t>
  </si>
  <si>
    <t>A nondisc</t>
  </si>
  <si>
    <t>B nondisc</t>
  </si>
  <si>
    <t>tetrapak</t>
  </si>
  <si>
    <t>Surface</t>
  </si>
  <si>
    <t>Gate</t>
  </si>
  <si>
    <t>Fence</t>
  </si>
  <si>
    <t>Light</t>
  </si>
  <si>
    <t>Plastics</t>
  </si>
  <si>
    <t>Paper</t>
  </si>
  <si>
    <t>Shelter</t>
  </si>
  <si>
    <t>Subvention</t>
  </si>
  <si>
    <t>Energies fix</t>
  </si>
  <si>
    <t>Energies Light</t>
  </si>
  <si>
    <t>Maintenance</t>
  </si>
  <si>
    <t>Personal costs</t>
  </si>
  <si>
    <t>Tax corrections</t>
  </si>
  <si>
    <t>Waste benefits</t>
  </si>
  <si>
    <t>Negatives - noise, visual</t>
  </si>
  <si>
    <t>Project</t>
  </si>
  <si>
    <t>Outputs</t>
  </si>
  <si>
    <t>Total Costs</t>
  </si>
  <si>
    <t>Location</t>
  </si>
  <si>
    <t>population</t>
  </si>
  <si>
    <t>frequency</t>
  </si>
  <si>
    <t>waste</t>
  </si>
  <si>
    <t>per task</t>
  </si>
  <si>
    <t>total costs</t>
  </si>
  <si>
    <t>Example 1</t>
  </si>
  <si>
    <t>Project A – setting-up 5 civic amenity sites, each consists of 2 containers for plastics (each 7000 CZK), 2 for paper (each 6000 CZK), and 1 for Tetrapak (each 8000 Kč), biweekly collection, takes 5 hours per collection</t>
  </si>
  <si>
    <t>Project B – Curbside collection from individual households using plastic sacks, each sack costs 9 CZK, per each collection we use 1.2 sack/each type of recyclables, municipality has 140 households, biweekly collection, takes 9 hours per collection</t>
  </si>
  <si>
    <t>Buying price per 1 ton of sorted waste in CZK</t>
  </si>
  <si>
    <t>paper</t>
  </si>
  <si>
    <t>plastics</t>
  </si>
  <si>
    <t>Generation of waste per households per week in kg</t>
  </si>
  <si>
    <t>civic amenity sites</t>
  </si>
  <si>
    <t>curbside collection</t>
  </si>
  <si>
    <t>Project lifetime is 5 years</t>
  </si>
  <si>
    <t>Costs and benefits</t>
  </si>
  <si>
    <t>CZK</t>
  </si>
  <si>
    <t>yAB</t>
  </si>
  <si>
    <t>yB</t>
  </si>
  <si>
    <t>yA</t>
  </si>
  <si>
    <t>Costs per 1 civic amenity site: 2*plastics, 2*paper, 1*tetra</t>
  </si>
  <si>
    <t>Costs for sacks: 9 per sacks, 3 types of waste, 140 households, biweekly collection, takes on average 1.2 sack/collection/type of waste</t>
  </si>
  <si>
    <t>Hourly costs for renting a vehicle (400 CZK) plus driver (220 CZK)</t>
  </si>
  <si>
    <t>Hourly costs for additional workers</t>
  </si>
  <si>
    <t>Decreased aesthetic aspects of 13 CZK/sack collection/household</t>
  </si>
  <si>
    <t>Positive effect of each available civic amenity site per year</t>
  </si>
  <si>
    <t>Positive effect of availability of curbside collection per household per year</t>
  </si>
  <si>
    <t>financial analysis</t>
  </si>
  <si>
    <t>economic analysis</t>
  </si>
  <si>
    <t>Example 2</t>
  </si>
  <si>
    <t>thousands CZK</t>
  </si>
  <si>
    <t>Simple CMA</t>
  </si>
  <si>
    <t>CEA with E being acquired point from public poll, alternatively Ebeing amount of sold fishing permits</t>
  </si>
  <si>
    <t>– project A acquired 88 points out of 100, project B 47 points out of 100</t>
  </si>
  <si>
    <t>points</t>
  </si>
  <si>
    <t>permits</t>
  </si>
  <si>
    <t>CBA including financial and economic analysis, use appropriate criterion for deciding which project is better, comment why you have chosen that criterion</t>
  </si>
  <si>
    <t>Total</t>
  </si>
  <si>
    <t>free of charge. Second part of the pond will be used for fishing purposes (expected amount of sold fishing permits is  500)</t>
  </si>
  <si>
    <t>Project A – De-mudding and cultivation of a pond, construction of an outdoor swimming pool in one part (operating june-september)</t>
  </si>
  <si>
    <t>Projekt B – De-mudding and cultivation of a pond that will be used for fishing purposes (expected amount of sold fishing permits is 2000)</t>
  </si>
  <si>
    <t>Expected lifetime of the projects is 3 years</t>
  </si>
  <si>
    <t>Costs for de-mudding and cultivation – 1.5 mil. CZK</t>
  </si>
  <si>
    <t>Costs for building outdoor swimming pool – 1 mil. CZK</t>
  </si>
  <si>
    <t>Gross wages for 2 persons maintaining the swimming pool during the season – 15 000 CZK/person/month (net wage 12 750 CZK)</t>
  </si>
  <si>
    <t>Costs for project documentation for cultivation – 150 000 CZK</t>
  </si>
  <si>
    <t>Revenues from renting places for stands with ice-cream on the swimming pool – 300 000 CZK/month</t>
  </si>
  <si>
    <t>Negative effects of the swimming pool on the surroundings – 150 000 CZK per season</t>
  </si>
  <si>
    <t>Price for the fishing permit – 200 CZK/person</t>
  </si>
  <si>
    <t>Subvention from the region for cultivation (received during the first year after the realization), 50% of the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</si>
</sst>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č&quot;;[Red]\-#,##0.00\ &quot;Kč&quot;"/>
    <numFmt numFmtId="164" formatCode="0.000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8" fontId="0" fillId="0" borderId="0" xfId="0" applyNumberFormat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3" fontId="1" fillId="0" borderId="0" xfId="0" applyNumberFormat="1" applyFont="1"/>
    <xf numFmtId="3" fontId="1" fillId="3" borderId="0" xfId="0" applyNumberFormat="1" applyFont="1" applyFill="1"/>
    <xf numFmtId="3" fontId="1" fillId="2" borderId="0" xfId="0" applyNumberFormat="1" applyFont="1" applyFill="1"/>
    <xf numFmtId="4" fontId="0" fillId="2" borderId="0" xfId="0" applyNumberFormat="1" applyFill="1"/>
    <xf numFmtId="4" fontId="0" fillId="3" borderId="0" xfId="0" applyNumberFormat="1" applyFill="1"/>
    <xf numFmtId="3" fontId="0" fillId="0" borderId="0" xfId="0" applyNumberFormat="1"/>
    <xf numFmtId="0" fontId="0" fillId="0" borderId="0" xfId="0"/>
    <xf numFmtId="9" fontId="0" fillId="0" borderId="0" xfId="0" applyNumberFormat="1"/>
    <xf numFmtId="0" fontId="1" fillId="0" borderId="0" xfId="0" applyFont="1"/>
    <xf numFmtId="0" fontId="1" fillId="3" borderId="0" xfId="0" applyFont="1" applyFill="1"/>
    <xf numFmtId="0" fontId="0" fillId="0" borderId="3" xfId="0" applyBorder="1"/>
    <xf numFmtId="0" fontId="0" fillId="0" borderId="4" xfId="0" applyBorder="1"/>
    <xf numFmtId="166" fontId="0" fillId="0" borderId="7" xfId="0" applyNumberFormat="1" applyBorder="1"/>
    <xf numFmtId="166" fontId="0" fillId="0" borderId="8" xfId="0" applyNumberFormat="1" applyBorder="1"/>
    <xf numFmtId="0" fontId="0" fillId="0" borderId="0" xfId="0" applyNumberFormat="1"/>
    <xf numFmtId="0" fontId="0" fillId="0" borderId="0" xfId="0" applyFont="1"/>
    <xf numFmtId="0" fontId="0" fillId="0" borderId="0" xfId="0" applyFill="1" applyBorder="1"/>
    <xf numFmtId="4" fontId="1" fillId="3" borderId="0" xfId="0" applyNumberFormat="1" applyFont="1" applyFill="1" applyBorder="1"/>
    <xf numFmtId="4" fontId="1" fillId="2" borderId="0" xfId="0" applyNumberFormat="1" applyFont="1" applyFill="1" applyBorder="1"/>
    <xf numFmtId="0" fontId="0" fillId="0" borderId="0" xfId="0" applyBorder="1"/>
    <xf numFmtId="166" fontId="1" fillId="3" borderId="0" xfId="0" applyNumberFormat="1" applyFont="1" applyFill="1"/>
    <xf numFmtId="166" fontId="0" fillId="0" borderId="2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1" xfId="0" applyNumberFormat="1" applyBorder="1"/>
    <xf numFmtId="166" fontId="0" fillId="0" borderId="0" xfId="0" applyNumberFormat="1" applyBorder="1"/>
    <xf numFmtId="166" fontId="0" fillId="0" borderId="6" xfId="0" applyNumberFormat="1" applyBorder="1"/>
    <xf numFmtId="166" fontId="1" fillId="0" borderId="0" xfId="0" applyNumberFormat="1" applyFont="1" applyFill="1"/>
    <xf numFmtId="10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7" xfId="0" applyNumberFormat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0" fillId="0" borderId="1" xfId="0" applyNumberFormat="1" applyBorder="1"/>
    <xf numFmtId="3" fontId="0" fillId="0" borderId="6" xfId="0" applyNumberFormat="1" applyBorder="1"/>
    <xf numFmtId="0" fontId="0" fillId="0" borderId="2" xfId="0" applyBorder="1"/>
    <xf numFmtId="0" fontId="0" fillId="0" borderId="7" xfId="0" applyBorder="1"/>
    <xf numFmtId="165" fontId="0" fillId="0" borderId="8" xfId="0" applyNumberFormat="1" applyBorder="1"/>
    <xf numFmtId="0" fontId="0" fillId="0" borderId="8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2" fontId="0" fillId="0" borderId="0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6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165" fontId="0" fillId="0" borderId="6" xfId="0" applyNumberFormat="1" applyBorder="1"/>
    <xf numFmtId="164" fontId="0" fillId="0" borderId="4" xfId="0" applyNumberFormat="1" applyBorder="1"/>
    <xf numFmtId="164" fontId="0" fillId="0" borderId="6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/>
  </sheetViews>
  <sheetFormatPr defaultRowHeight="15" x14ac:dyDescent="0.25"/>
  <cols>
    <col min="1" max="2" width="9.140625" customWidth="1"/>
    <col min="3" max="3" width="12.140625" bestFit="1" customWidth="1"/>
    <col min="4" max="7" width="10.7109375" bestFit="1" customWidth="1"/>
    <col min="8" max="8" width="11.42578125" bestFit="1" customWidth="1"/>
    <col min="9" max="9" width="10" bestFit="1" customWidth="1"/>
  </cols>
  <sheetData>
    <row r="1" spans="1:10" x14ac:dyDescent="0.25">
      <c r="C1" t="s">
        <v>2</v>
      </c>
      <c r="D1" t="s">
        <v>3</v>
      </c>
      <c r="E1" t="s">
        <v>2</v>
      </c>
      <c r="F1" t="s">
        <v>3</v>
      </c>
    </row>
    <row r="3" spans="1:10" x14ac:dyDescent="0.25">
      <c r="A3" t="s">
        <v>47</v>
      </c>
      <c r="B3" s="3">
        <v>1700</v>
      </c>
      <c r="C3">
        <v>200</v>
      </c>
      <c r="D3">
        <v>160</v>
      </c>
      <c r="E3" s="3">
        <f>$B3*C3</f>
        <v>340000</v>
      </c>
      <c r="F3" s="3">
        <f>$B3*D3</f>
        <v>272000</v>
      </c>
    </row>
    <row r="4" spans="1:10" x14ac:dyDescent="0.25">
      <c r="A4" t="s">
        <v>48</v>
      </c>
      <c r="B4" s="3">
        <v>10000</v>
      </c>
      <c r="C4">
        <v>1</v>
      </c>
      <c r="D4">
        <v>1</v>
      </c>
      <c r="E4" s="3">
        <f t="shared" ref="E4:E12" si="0">$B4*C4</f>
        <v>10000</v>
      </c>
      <c r="F4" s="3">
        <f t="shared" ref="F4:F12" si="1">$B4*D4</f>
        <v>10000</v>
      </c>
    </row>
    <row r="5" spans="1:10" x14ac:dyDescent="0.25">
      <c r="A5" t="s">
        <v>49</v>
      </c>
      <c r="B5" s="3">
        <v>150</v>
      </c>
      <c r="C5">
        <v>60</v>
      </c>
      <c r="D5">
        <v>52</v>
      </c>
      <c r="E5" s="3">
        <f t="shared" si="0"/>
        <v>9000</v>
      </c>
      <c r="F5" s="3">
        <f t="shared" si="1"/>
        <v>7800</v>
      </c>
    </row>
    <row r="6" spans="1:10" x14ac:dyDescent="0.25">
      <c r="A6" t="s">
        <v>50</v>
      </c>
      <c r="B6" s="3">
        <v>30000</v>
      </c>
      <c r="C6">
        <v>2</v>
      </c>
      <c r="D6">
        <v>1</v>
      </c>
      <c r="E6" s="3">
        <f t="shared" si="0"/>
        <v>60000</v>
      </c>
      <c r="F6" s="3">
        <f t="shared" si="1"/>
        <v>30000</v>
      </c>
    </row>
    <row r="7" spans="1:10" x14ac:dyDescent="0.25">
      <c r="A7" t="s">
        <v>51</v>
      </c>
      <c r="B7" s="3">
        <v>30000</v>
      </c>
      <c r="C7">
        <v>3</v>
      </c>
      <c r="D7">
        <v>2</v>
      </c>
      <c r="E7" s="3">
        <f t="shared" si="0"/>
        <v>90000</v>
      </c>
      <c r="F7" s="3">
        <f t="shared" si="1"/>
        <v>60000</v>
      </c>
    </row>
    <row r="8" spans="1:10" x14ac:dyDescent="0.25">
      <c r="A8" t="s">
        <v>52</v>
      </c>
      <c r="B8" s="3">
        <v>25000</v>
      </c>
      <c r="C8">
        <v>3</v>
      </c>
      <c r="D8">
        <v>2</v>
      </c>
      <c r="E8" s="3">
        <f t="shared" si="0"/>
        <v>75000</v>
      </c>
      <c r="F8" s="3">
        <f t="shared" si="1"/>
        <v>50000</v>
      </c>
    </row>
    <row r="9" spans="1:10" x14ac:dyDescent="0.25">
      <c r="A9" t="s">
        <v>4</v>
      </c>
      <c r="B9" s="3">
        <v>9000</v>
      </c>
      <c r="C9">
        <v>1</v>
      </c>
      <c r="D9">
        <v>1</v>
      </c>
      <c r="E9" s="3">
        <f t="shared" si="0"/>
        <v>9000</v>
      </c>
      <c r="F9" s="3">
        <f t="shared" si="1"/>
        <v>9000</v>
      </c>
    </row>
    <row r="10" spans="1:10" x14ac:dyDescent="0.25">
      <c r="A10" t="s">
        <v>53</v>
      </c>
      <c r="B10" s="3">
        <v>80000</v>
      </c>
      <c r="C10">
        <v>1</v>
      </c>
      <c r="D10">
        <v>1</v>
      </c>
      <c r="E10" s="3">
        <f>$B10*C10</f>
        <v>80000</v>
      </c>
      <c r="F10" s="3">
        <f>$B10*D10</f>
        <v>80000</v>
      </c>
    </row>
    <row r="11" spans="1:10" x14ac:dyDescent="0.25">
      <c r="A11" t="s">
        <v>5</v>
      </c>
      <c r="B11" s="3">
        <v>25000</v>
      </c>
      <c r="C11">
        <v>1</v>
      </c>
      <c r="D11">
        <v>1</v>
      </c>
      <c r="E11" s="3">
        <f t="shared" si="0"/>
        <v>25000</v>
      </c>
      <c r="F11" s="3">
        <f t="shared" si="1"/>
        <v>25000</v>
      </c>
    </row>
    <row r="12" spans="1:10" x14ac:dyDescent="0.25">
      <c r="A12" t="s">
        <v>54</v>
      </c>
      <c r="B12" s="3">
        <v>-250000</v>
      </c>
      <c r="C12">
        <v>1</v>
      </c>
      <c r="D12">
        <v>1</v>
      </c>
      <c r="E12" s="3">
        <f t="shared" si="0"/>
        <v>-250000</v>
      </c>
      <c r="F12" s="3">
        <f t="shared" si="1"/>
        <v>-250000</v>
      </c>
    </row>
    <row r="13" spans="1:10" x14ac:dyDescent="0.25">
      <c r="A13" t="s">
        <v>55</v>
      </c>
      <c r="B13" s="3">
        <v>5000</v>
      </c>
      <c r="G13">
        <v>1</v>
      </c>
      <c r="H13">
        <v>1</v>
      </c>
      <c r="I13" s="3">
        <f t="shared" ref="I13:J15" si="2">$B13*G13</f>
        <v>5000</v>
      </c>
      <c r="J13" s="3">
        <f t="shared" si="2"/>
        <v>5000</v>
      </c>
    </row>
    <row r="14" spans="1:10" x14ac:dyDescent="0.25">
      <c r="A14" t="s">
        <v>56</v>
      </c>
      <c r="B14" s="3">
        <v>3000</v>
      </c>
      <c r="G14">
        <v>2</v>
      </c>
      <c r="H14">
        <v>1</v>
      </c>
      <c r="I14" s="3">
        <f t="shared" si="2"/>
        <v>6000</v>
      </c>
      <c r="J14" s="3">
        <f t="shared" si="2"/>
        <v>3000</v>
      </c>
    </row>
    <row r="15" spans="1:10" x14ac:dyDescent="0.25">
      <c r="A15" t="s">
        <v>57</v>
      </c>
      <c r="B15" s="3">
        <v>180</v>
      </c>
      <c r="G15">
        <v>200</v>
      </c>
      <c r="H15">
        <v>160</v>
      </c>
      <c r="I15" s="3">
        <f t="shared" si="2"/>
        <v>36000</v>
      </c>
      <c r="J15" s="3">
        <f t="shared" si="2"/>
        <v>28800</v>
      </c>
    </row>
    <row r="16" spans="1:10" x14ac:dyDescent="0.25">
      <c r="A16" t="s">
        <v>58</v>
      </c>
      <c r="B16" s="3">
        <v>20000</v>
      </c>
      <c r="G16">
        <v>0.6</v>
      </c>
      <c r="H16">
        <v>0.4</v>
      </c>
      <c r="I16" s="3">
        <f>B16*G16*12*1.34</f>
        <v>192960</v>
      </c>
      <c r="J16" s="3">
        <f>B16*H16*12*1.34</f>
        <v>128640.00000000001</v>
      </c>
    </row>
    <row r="17" spans="1:10" x14ac:dyDescent="0.25">
      <c r="E17" s="5">
        <f>SUM(E3:E12)</f>
        <v>448000</v>
      </c>
      <c r="F17" s="5">
        <f>SUM(F3:F12)</f>
        <v>293800</v>
      </c>
      <c r="I17" s="5">
        <f>SUM(I13:I16)</f>
        <v>239960</v>
      </c>
      <c r="J17" s="5">
        <f>SUM(J13:J16)</f>
        <v>165440</v>
      </c>
    </row>
    <row r="19" spans="1:10" x14ac:dyDescent="0.25">
      <c r="A19" t="s">
        <v>51</v>
      </c>
      <c r="B19" s="3">
        <v>1900</v>
      </c>
      <c r="F19">
        <v>240</v>
      </c>
      <c r="G19">
        <v>170</v>
      </c>
      <c r="H19">
        <v>0.5</v>
      </c>
      <c r="I19" s="3">
        <f>$B19*F19*$H19</f>
        <v>228000</v>
      </c>
      <c r="J19" s="3">
        <f t="shared" ref="I19:J21" si="3">$B19*G19*$H19</f>
        <v>161500</v>
      </c>
    </row>
    <row r="20" spans="1:10" x14ac:dyDescent="0.25">
      <c r="A20" t="s">
        <v>52</v>
      </c>
      <c r="B20" s="3">
        <v>1200</v>
      </c>
      <c r="F20">
        <v>240</v>
      </c>
      <c r="G20">
        <v>170</v>
      </c>
      <c r="H20">
        <v>0.4</v>
      </c>
      <c r="I20" s="3">
        <f t="shared" si="3"/>
        <v>115200</v>
      </c>
      <c r="J20" s="3">
        <f t="shared" si="3"/>
        <v>81600</v>
      </c>
    </row>
    <row r="21" spans="1:10" x14ac:dyDescent="0.25">
      <c r="A21" t="s">
        <v>4</v>
      </c>
      <c r="B21" s="3">
        <v>700</v>
      </c>
      <c r="F21">
        <v>240</v>
      </c>
      <c r="G21">
        <v>170</v>
      </c>
      <c r="H21">
        <v>0.1</v>
      </c>
      <c r="I21" s="3">
        <f t="shared" si="3"/>
        <v>16800</v>
      </c>
      <c r="J21" s="3">
        <f t="shared" si="3"/>
        <v>11900</v>
      </c>
    </row>
    <row r="22" spans="1:10" x14ac:dyDescent="0.25">
      <c r="B22" s="3"/>
      <c r="I22" s="5">
        <f>SUM(I19:I21)</f>
        <v>360000</v>
      </c>
      <c r="J22" s="5">
        <f>SUM(J19:J21)</f>
        <v>255000</v>
      </c>
    </row>
    <row r="23" spans="1:10" x14ac:dyDescent="0.25">
      <c r="B23" s="3"/>
    </row>
    <row r="24" spans="1:10" x14ac:dyDescent="0.25">
      <c r="A24" t="s">
        <v>59</v>
      </c>
      <c r="B24" s="3"/>
      <c r="I24" s="3">
        <f>B16*G16*12*1.34-12*10308</f>
        <v>69264</v>
      </c>
      <c r="J24" s="3">
        <f>B16*H16*12*1.34-12*6553</f>
        <v>50004.000000000015</v>
      </c>
    </row>
    <row r="25" spans="1:10" x14ac:dyDescent="0.25">
      <c r="A25" t="s">
        <v>60</v>
      </c>
      <c r="B25" s="3">
        <v>200</v>
      </c>
      <c r="G25">
        <v>240</v>
      </c>
      <c r="H25">
        <v>170</v>
      </c>
      <c r="I25" s="3">
        <f>$B25*G25</f>
        <v>48000</v>
      </c>
      <c r="J25" s="3">
        <f>$B25*H25</f>
        <v>34000</v>
      </c>
    </row>
    <row r="26" spans="1:10" x14ac:dyDescent="0.25">
      <c r="A26" t="s">
        <v>61</v>
      </c>
      <c r="B26" s="3">
        <v>-10000</v>
      </c>
      <c r="G26">
        <v>3</v>
      </c>
      <c r="H26">
        <v>2</v>
      </c>
      <c r="I26" s="3">
        <f>$B26*G26</f>
        <v>-30000</v>
      </c>
      <c r="J26" s="3">
        <f>$B26*H26</f>
        <v>-20000</v>
      </c>
    </row>
    <row r="27" spans="1:10" x14ac:dyDescent="0.25">
      <c r="I27" s="5">
        <f>SUM(I24:I26)</f>
        <v>87264</v>
      </c>
      <c r="J27" s="5">
        <f>SUM(J24:J26)</f>
        <v>64004.000000000015</v>
      </c>
    </row>
    <row r="29" spans="1:10" x14ac:dyDescent="0.25">
      <c r="C29">
        <v>0</v>
      </c>
      <c r="D29">
        <v>1</v>
      </c>
      <c r="E29">
        <v>2</v>
      </c>
      <c r="F29">
        <v>3</v>
      </c>
      <c r="G29">
        <v>4</v>
      </c>
    </row>
    <row r="30" spans="1:10" x14ac:dyDescent="0.25">
      <c r="B30" t="s">
        <v>0</v>
      </c>
      <c r="C30" s="3">
        <f>-E17</f>
        <v>-448000</v>
      </c>
      <c r="D30" s="3">
        <f>-$I$17</f>
        <v>-239960</v>
      </c>
      <c r="E30" s="3">
        <f>-$I$17</f>
        <v>-239960</v>
      </c>
      <c r="F30" s="3">
        <f>-$I$17</f>
        <v>-239960</v>
      </c>
      <c r="G30" s="3">
        <f>-$I$17</f>
        <v>-239960</v>
      </c>
    </row>
    <row r="31" spans="1:10" x14ac:dyDescent="0.25">
      <c r="C31" s="3"/>
      <c r="D31" s="3">
        <f>$I$22</f>
        <v>360000</v>
      </c>
      <c r="E31" s="3">
        <f>$I$22</f>
        <v>360000</v>
      </c>
      <c r="F31" s="3">
        <f>$I$22</f>
        <v>360000</v>
      </c>
      <c r="G31" s="3">
        <f>$I$22</f>
        <v>360000</v>
      </c>
    </row>
    <row r="32" spans="1:10" x14ac:dyDescent="0.25">
      <c r="A32">
        <v>0.04</v>
      </c>
      <c r="C32" s="3">
        <f>SUM(C30:C31)</f>
        <v>-448000</v>
      </c>
      <c r="D32" s="3">
        <f t="shared" ref="D32:G32" si="4">SUM(D30:D31)</f>
        <v>120040</v>
      </c>
      <c r="E32" s="3">
        <f t="shared" si="4"/>
        <v>120040</v>
      </c>
      <c r="F32" s="3">
        <f t="shared" si="4"/>
        <v>120040</v>
      </c>
      <c r="G32" s="3">
        <f t="shared" si="4"/>
        <v>120040</v>
      </c>
      <c r="H32" s="6">
        <f>NPV($A$32,D32:G32)+C32</f>
        <v>-12267.377280207293</v>
      </c>
      <c r="I32" s="9">
        <f>H32/-C32</f>
        <v>-2.7382538571891279E-2</v>
      </c>
    </row>
    <row r="33" spans="1:9" x14ac:dyDescent="0.25">
      <c r="A33">
        <v>0.05</v>
      </c>
      <c r="C33" s="3">
        <f>C32/(1+$A$32)^C$29</f>
        <v>-448000</v>
      </c>
      <c r="D33" s="3">
        <f t="shared" ref="D33:G33" si="5">D32/(1+$A$32)^D$29</f>
        <v>115423.07692307692</v>
      </c>
      <c r="E33" s="3">
        <f t="shared" si="5"/>
        <v>110983.72781065087</v>
      </c>
      <c r="F33" s="3">
        <f t="shared" si="5"/>
        <v>106715.12289485661</v>
      </c>
      <c r="G33" s="3">
        <f t="shared" si="5"/>
        <v>102610.69509120827</v>
      </c>
      <c r="H33" s="5">
        <f>SUM(C33:G33)</f>
        <v>-12267.377280207293</v>
      </c>
    </row>
    <row r="34" spans="1:9" x14ac:dyDescent="0.25">
      <c r="C34" s="3"/>
      <c r="D34" s="3">
        <f>$I$27</f>
        <v>87264</v>
      </c>
      <c r="E34" s="3">
        <f>$I$27</f>
        <v>87264</v>
      </c>
      <c r="F34" s="3">
        <f>$I$27</f>
        <v>87264</v>
      </c>
      <c r="G34" s="3">
        <f>$I$27</f>
        <v>87264</v>
      </c>
      <c r="H34" s="5"/>
      <c r="I34" s="4"/>
    </row>
    <row r="35" spans="1:9" x14ac:dyDescent="0.25">
      <c r="C35" s="3">
        <f>C32+C34</f>
        <v>-448000</v>
      </c>
      <c r="D35" s="3">
        <f t="shared" ref="D35:G35" si="6">D32+D34</f>
        <v>207304</v>
      </c>
      <c r="E35" s="3">
        <f t="shared" si="6"/>
        <v>207304</v>
      </c>
      <c r="F35" s="3">
        <f t="shared" si="6"/>
        <v>207304</v>
      </c>
      <c r="G35" s="3">
        <f t="shared" si="6"/>
        <v>207304</v>
      </c>
      <c r="H35" s="7">
        <f>NPV($A$33,D35:G35)+C35</f>
        <v>287089.72331487387</v>
      </c>
      <c r="I35" s="9">
        <f>H35/-C35</f>
        <v>0.64082527525641486</v>
      </c>
    </row>
    <row r="36" spans="1:9" x14ac:dyDescent="0.25">
      <c r="C36" s="3">
        <f>C35/(1+$A$33)^C$29</f>
        <v>-448000</v>
      </c>
      <c r="D36" s="3">
        <f t="shared" ref="D36:G36" si="7">D35/(1+$A$33)^D$29</f>
        <v>197432.38095238095</v>
      </c>
      <c r="E36" s="3">
        <f t="shared" si="7"/>
        <v>188030.83900226757</v>
      </c>
      <c r="F36" s="3">
        <f t="shared" si="7"/>
        <v>179076.98952596911</v>
      </c>
      <c r="G36" s="3">
        <f t="shared" si="7"/>
        <v>170549.5138342563</v>
      </c>
      <c r="H36" s="5">
        <f>SUM(C36:G36)</f>
        <v>287089.72331487393</v>
      </c>
    </row>
    <row r="37" spans="1:9" x14ac:dyDescent="0.25">
      <c r="C37" s="3"/>
      <c r="D37" s="3"/>
      <c r="E37" s="3"/>
      <c r="F37" s="3"/>
      <c r="G37" s="3"/>
      <c r="H37" s="5"/>
    </row>
    <row r="38" spans="1:9" x14ac:dyDescent="0.25">
      <c r="B38" t="s">
        <v>1</v>
      </c>
      <c r="C38" s="3">
        <f>-F17</f>
        <v>-293800</v>
      </c>
      <c r="D38" s="3">
        <f>-$J$17</f>
        <v>-165440</v>
      </c>
      <c r="E38" s="3">
        <f>-$J$17</f>
        <v>-165440</v>
      </c>
      <c r="F38" s="3">
        <f>-$J$17</f>
        <v>-165440</v>
      </c>
      <c r="G38" s="3">
        <f>-$J$17</f>
        <v>-165440</v>
      </c>
      <c r="H38" s="5"/>
    </row>
    <row r="39" spans="1:9" x14ac:dyDescent="0.25">
      <c r="C39" s="3"/>
      <c r="D39" s="3">
        <f>$J$22</f>
        <v>255000</v>
      </c>
      <c r="E39" s="3">
        <f>$J$22</f>
        <v>255000</v>
      </c>
      <c r="F39" s="3">
        <f>$J$22</f>
        <v>255000</v>
      </c>
      <c r="G39" s="3">
        <f>$J$22</f>
        <v>255000</v>
      </c>
      <c r="H39" s="5"/>
    </row>
    <row r="40" spans="1:9" x14ac:dyDescent="0.25">
      <c r="C40" s="3">
        <f>SUM(C38:C39)</f>
        <v>-293800</v>
      </c>
      <c r="D40" s="3">
        <f t="shared" ref="D40" si="8">SUM(D38:D39)</f>
        <v>89560</v>
      </c>
      <c r="E40" s="3">
        <f t="shared" ref="E40" si="9">SUM(E38:E39)</f>
        <v>89560</v>
      </c>
      <c r="F40" s="3">
        <f t="shared" ref="F40" si="10">SUM(F38:F39)</f>
        <v>89560</v>
      </c>
      <c r="G40" s="3">
        <f t="shared" ref="G40" si="11">SUM(G38:G39)</f>
        <v>89560</v>
      </c>
      <c r="H40" s="7">
        <f>NPV($A$32,D40:G40)+C40</f>
        <v>31293.416284443811</v>
      </c>
      <c r="I40" s="8">
        <f>H40/-C40</f>
        <v>0.10651264902805926</v>
      </c>
    </row>
    <row r="41" spans="1:9" x14ac:dyDescent="0.25">
      <c r="C41" s="3">
        <f>C40/(1+$A$32)^C$29</f>
        <v>-293800</v>
      </c>
      <c r="D41" s="3">
        <f t="shared" ref="D41" si="12">D40/(1+$A$32)^D$29</f>
        <v>86115.38461538461</v>
      </c>
      <c r="E41" s="3">
        <f t="shared" ref="E41" si="13">E40/(1+$A$32)^E$29</f>
        <v>82803.254437869808</v>
      </c>
      <c r="F41" s="3">
        <f t="shared" ref="F41" si="14">F40/(1+$A$32)^F$29</f>
        <v>79618.513882567131</v>
      </c>
      <c r="G41" s="3">
        <f t="shared" ref="G41" si="15">G40/(1+$A$32)^G$29</f>
        <v>76556.263348622233</v>
      </c>
      <c r="H41" s="5">
        <f>SUM(C41:G41)</f>
        <v>31293.416284443796</v>
      </c>
    </row>
    <row r="42" spans="1:9" x14ac:dyDescent="0.25">
      <c r="C42" s="3"/>
      <c r="D42" s="3">
        <f>$J$27</f>
        <v>64004.000000000015</v>
      </c>
      <c r="E42" s="3">
        <f>$J$27</f>
        <v>64004.000000000015</v>
      </c>
      <c r="F42" s="3">
        <f>$J$27</f>
        <v>64004.000000000015</v>
      </c>
      <c r="G42" s="3">
        <f>$J$27</f>
        <v>64004.000000000015</v>
      </c>
      <c r="H42" s="5"/>
      <c r="I42" s="4"/>
    </row>
    <row r="43" spans="1:9" x14ac:dyDescent="0.25">
      <c r="C43" s="3">
        <f>C40+C42</f>
        <v>-293800</v>
      </c>
      <c r="D43" s="3">
        <f t="shared" ref="D43" si="16">D40+D42</f>
        <v>153564</v>
      </c>
      <c r="E43" s="3">
        <f t="shared" ref="E43" si="17">E40+E42</f>
        <v>153564</v>
      </c>
      <c r="F43" s="3">
        <f t="shared" ref="F43" si="18">F40+F42</f>
        <v>153564</v>
      </c>
      <c r="G43" s="3">
        <f t="shared" ref="G43" si="19">G40+G42</f>
        <v>153564</v>
      </c>
      <c r="H43" s="6">
        <f>NPV($A$33,D43:G43)+C43</f>
        <v>250730.34322118876</v>
      </c>
      <c r="I43" s="8">
        <f>H43/-C43</f>
        <v>0.85340484418376028</v>
      </c>
    </row>
    <row r="44" spans="1:9" x14ac:dyDescent="0.25">
      <c r="C44" s="3">
        <f>C43/(1+$A$33)^C$29</f>
        <v>-293800</v>
      </c>
      <c r="D44" s="3">
        <f t="shared" ref="D44" si="20">D43/(1+$A$33)^D$29</f>
        <v>146251.42857142858</v>
      </c>
      <c r="E44" s="3">
        <f t="shared" ref="E44" si="21">E43/(1+$A$33)^E$29</f>
        <v>139287.07482993198</v>
      </c>
      <c r="F44" s="3">
        <f t="shared" ref="F44" si="22">F43/(1+$A$33)^F$29</f>
        <v>132654.35698088759</v>
      </c>
      <c r="G44" s="3">
        <f t="shared" ref="G44" si="23">G43/(1+$A$33)^G$29</f>
        <v>126337.48283894056</v>
      </c>
      <c r="H44" s="5">
        <f>SUM(C44:G44)</f>
        <v>250730.3432211887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workbookViewId="0"/>
  </sheetViews>
  <sheetFormatPr defaultRowHeight="15" x14ac:dyDescent="0.25"/>
  <cols>
    <col min="1" max="1" width="4.7109375" customWidth="1"/>
    <col min="14" max="14" width="11.140625" bestFit="1" customWidth="1"/>
  </cols>
  <sheetData>
    <row r="2" spans="2:10" x14ac:dyDescent="0.25">
      <c r="B2" s="44" t="s">
        <v>62</v>
      </c>
      <c r="C2" s="15" t="s">
        <v>63</v>
      </c>
      <c r="D2" s="15" t="s">
        <v>64</v>
      </c>
      <c r="E2" s="16"/>
    </row>
    <row r="3" spans="2:10" x14ac:dyDescent="0.25">
      <c r="B3" s="45" t="s">
        <v>0</v>
      </c>
      <c r="C3" s="24">
        <v>11</v>
      </c>
      <c r="D3" s="24">
        <v>230</v>
      </c>
      <c r="E3" s="46">
        <f>D3/C3</f>
        <v>20.90909090909091</v>
      </c>
    </row>
    <row r="4" spans="2:10" x14ac:dyDescent="0.25">
      <c r="B4" s="45" t="s">
        <v>1</v>
      </c>
      <c r="C4" s="24">
        <v>16</v>
      </c>
      <c r="D4" s="24">
        <v>240</v>
      </c>
      <c r="E4" s="47">
        <f t="shared" ref="E4:E6" si="0">D4/C4</f>
        <v>15</v>
      </c>
    </row>
    <row r="5" spans="2:10" x14ac:dyDescent="0.25">
      <c r="B5" s="45" t="s">
        <v>6</v>
      </c>
      <c r="C5" s="24">
        <v>8</v>
      </c>
      <c r="D5" s="24">
        <v>150</v>
      </c>
      <c r="E5" s="46">
        <f t="shared" si="0"/>
        <v>18.75</v>
      </c>
    </row>
    <row r="6" spans="2:10" x14ac:dyDescent="0.25">
      <c r="B6" s="48" t="s">
        <v>7</v>
      </c>
      <c r="C6" s="49">
        <v>10</v>
      </c>
      <c r="D6" s="49">
        <v>200</v>
      </c>
      <c r="E6" s="50">
        <f t="shared" si="0"/>
        <v>20</v>
      </c>
    </row>
    <row r="9" spans="2:10" x14ac:dyDescent="0.25">
      <c r="B9" s="44" t="s">
        <v>65</v>
      </c>
      <c r="C9" s="15" t="s">
        <v>9</v>
      </c>
      <c r="D9" s="15" t="s">
        <v>10</v>
      </c>
      <c r="E9" s="15" t="s">
        <v>11</v>
      </c>
      <c r="F9" s="15" t="s">
        <v>12</v>
      </c>
      <c r="G9" s="15" t="s">
        <v>13</v>
      </c>
      <c r="H9" s="15" t="s">
        <v>14</v>
      </c>
      <c r="I9" s="15"/>
      <c r="J9" s="16"/>
    </row>
    <row r="10" spans="2:10" x14ac:dyDescent="0.25">
      <c r="B10" s="45" t="s">
        <v>0</v>
      </c>
      <c r="C10" s="24">
        <v>79</v>
      </c>
      <c r="D10" s="24">
        <v>86</v>
      </c>
      <c r="E10" s="24">
        <v>2.2000000000000002</v>
      </c>
      <c r="F10" s="24">
        <v>31</v>
      </c>
      <c r="G10" s="24">
        <v>4</v>
      </c>
      <c r="H10" s="24">
        <v>160</v>
      </c>
      <c r="I10" s="24"/>
      <c r="J10" s="47"/>
    </row>
    <row r="11" spans="2:10" x14ac:dyDescent="0.25">
      <c r="B11" s="45" t="s">
        <v>1</v>
      </c>
      <c r="C11" s="24">
        <v>73</v>
      </c>
      <c r="D11" s="24">
        <v>90</v>
      </c>
      <c r="E11" s="24">
        <v>2</v>
      </c>
      <c r="F11" s="24">
        <v>46</v>
      </c>
      <c r="G11" s="24">
        <v>5</v>
      </c>
      <c r="H11" s="24">
        <v>161</v>
      </c>
      <c r="I11" s="24"/>
      <c r="J11" s="47"/>
    </row>
    <row r="12" spans="2:10" x14ac:dyDescent="0.25">
      <c r="B12" s="45" t="s">
        <v>8</v>
      </c>
      <c r="C12" s="24">
        <v>71</v>
      </c>
      <c r="D12" s="24">
        <v>75</v>
      </c>
      <c r="E12" s="24">
        <v>1.7</v>
      </c>
      <c r="F12" s="24">
        <v>36</v>
      </c>
      <c r="G12" s="24">
        <v>5</v>
      </c>
      <c r="H12" s="24">
        <v>131</v>
      </c>
      <c r="I12" s="24"/>
      <c r="J12" s="47"/>
    </row>
    <row r="13" spans="2:10" x14ac:dyDescent="0.25">
      <c r="B13" s="45"/>
      <c r="C13" s="24"/>
      <c r="D13" s="24"/>
      <c r="E13" s="24"/>
      <c r="F13" s="24"/>
      <c r="G13" s="24"/>
      <c r="H13" s="24"/>
      <c r="I13" s="24"/>
      <c r="J13" s="47"/>
    </row>
    <row r="14" spans="2:10" x14ac:dyDescent="0.25">
      <c r="B14" s="45" t="s">
        <v>15</v>
      </c>
      <c r="C14" s="24" t="s">
        <v>0</v>
      </c>
      <c r="D14" s="24">
        <f>E10*1000+20*(F10+G10)</f>
        <v>2900</v>
      </c>
      <c r="E14" s="24"/>
      <c r="F14" s="24" t="s">
        <v>16</v>
      </c>
      <c r="G14" s="24">
        <f>-E10*1000+20*(-F10-G10+H10)</f>
        <v>300</v>
      </c>
      <c r="H14" s="24" t="s">
        <v>17</v>
      </c>
      <c r="I14" s="51">
        <f>D14/C10</f>
        <v>36.708860759493668</v>
      </c>
      <c r="J14" s="52">
        <f>D14/D10</f>
        <v>33.720930232558139</v>
      </c>
    </row>
    <row r="15" spans="2:10" x14ac:dyDescent="0.25">
      <c r="B15" s="45"/>
      <c r="C15" s="24" t="s">
        <v>1</v>
      </c>
      <c r="D15" s="24">
        <f t="shared" ref="D15:D16" si="1">E11*1000+20*(F11+G11)</f>
        <v>3020</v>
      </c>
      <c r="E15" s="24"/>
      <c r="F15" s="24"/>
      <c r="G15" s="24">
        <f t="shared" ref="G15:G16" si="2">-E11*1000+20*(-F11-G11+H11)</f>
        <v>200</v>
      </c>
      <c r="H15" s="24"/>
      <c r="I15" s="51">
        <f t="shared" ref="I15:I16" si="3">D15/C11</f>
        <v>41.369863013698627</v>
      </c>
      <c r="J15" s="52">
        <f t="shared" ref="J15:J16" si="4">D15/D11</f>
        <v>33.555555555555557</v>
      </c>
    </row>
    <row r="16" spans="2:10" x14ac:dyDescent="0.25">
      <c r="B16" s="48"/>
      <c r="C16" s="49" t="s">
        <v>8</v>
      </c>
      <c r="D16" s="49">
        <f t="shared" si="1"/>
        <v>2520</v>
      </c>
      <c r="E16" s="49"/>
      <c r="F16" s="49"/>
      <c r="G16" s="49">
        <f t="shared" si="2"/>
        <v>100</v>
      </c>
      <c r="H16" s="49"/>
      <c r="I16" s="53">
        <f t="shared" si="3"/>
        <v>35.492957746478872</v>
      </c>
      <c r="J16" s="54">
        <f t="shared" si="4"/>
        <v>33.6</v>
      </c>
    </row>
    <row r="19" spans="2:14" x14ac:dyDescent="0.25">
      <c r="B19" s="44"/>
      <c r="C19" s="15">
        <v>0</v>
      </c>
      <c r="D19" s="15">
        <v>1</v>
      </c>
      <c r="E19" s="15">
        <v>2</v>
      </c>
      <c r="F19" s="15">
        <v>3</v>
      </c>
      <c r="G19" s="15">
        <v>4</v>
      </c>
      <c r="H19" s="15">
        <v>5</v>
      </c>
      <c r="I19" s="15"/>
      <c r="J19" s="16"/>
    </row>
    <row r="20" spans="2:14" x14ac:dyDescent="0.25">
      <c r="B20" s="45" t="s">
        <v>0</v>
      </c>
      <c r="C20" s="24">
        <v>200</v>
      </c>
      <c r="D20" s="24">
        <v>30</v>
      </c>
      <c r="E20" s="24">
        <v>40</v>
      </c>
      <c r="F20" s="24">
        <v>50</v>
      </c>
      <c r="G20" s="24">
        <v>40</v>
      </c>
      <c r="H20" s="24">
        <v>30</v>
      </c>
      <c r="I20" s="55">
        <f>NPV(0.01,D20:H20)+C20</f>
        <v>384.42750407720388</v>
      </c>
      <c r="J20" s="46">
        <f>NPV(0.07,D20:H20)+C20</f>
        <v>355.69522001945222</v>
      </c>
    </row>
    <row r="21" spans="2:14" x14ac:dyDescent="0.25">
      <c r="B21" s="45" t="s">
        <v>1</v>
      </c>
      <c r="C21" s="24">
        <v>10</v>
      </c>
      <c r="D21" s="24">
        <v>60</v>
      </c>
      <c r="E21" s="24">
        <v>70</v>
      </c>
      <c r="F21" s="24">
        <v>80</v>
      </c>
      <c r="G21" s="24">
        <v>110</v>
      </c>
      <c r="H21" s="24">
        <v>90</v>
      </c>
      <c r="I21" s="55">
        <f t="shared" ref="I21:I22" si="5">NPV(0.01,D21:H21)+C21</f>
        <v>407.01362566447267</v>
      </c>
      <c r="J21" s="46">
        <f t="shared" ref="J21:J22" si="6">NPV(0.07,D21:H21)+C21</f>
        <v>340.60653696429102</v>
      </c>
    </row>
    <row r="22" spans="2:14" x14ac:dyDescent="0.25">
      <c r="B22" s="48" t="s">
        <v>6</v>
      </c>
      <c r="C22" s="49">
        <v>100</v>
      </c>
      <c r="D22" s="49">
        <v>60</v>
      </c>
      <c r="E22" s="49">
        <v>60</v>
      </c>
      <c r="F22" s="49">
        <v>60</v>
      </c>
      <c r="G22" s="49">
        <v>60</v>
      </c>
      <c r="H22" s="49">
        <v>60</v>
      </c>
      <c r="I22" s="56">
        <f t="shared" si="5"/>
        <v>391.20587435950722</v>
      </c>
      <c r="J22" s="57">
        <f t="shared" si="6"/>
        <v>346.0118461568556</v>
      </c>
    </row>
    <row r="25" spans="2:14" x14ac:dyDescent="0.25">
      <c r="B25" s="44"/>
      <c r="C25" s="15" t="s">
        <v>66</v>
      </c>
      <c r="D25" s="15" t="s">
        <v>67</v>
      </c>
      <c r="E25" s="15" t="s">
        <v>68</v>
      </c>
      <c r="F25" s="15" t="s">
        <v>42</v>
      </c>
      <c r="G25" s="16"/>
    </row>
    <row r="26" spans="2:14" x14ac:dyDescent="0.25">
      <c r="B26" s="45" t="s">
        <v>0</v>
      </c>
      <c r="C26" s="24">
        <v>3000</v>
      </c>
      <c r="D26" s="24">
        <v>52</v>
      </c>
      <c r="E26" s="24">
        <v>7</v>
      </c>
      <c r="F26" s="24">
        <v>550</v>
      </c>
      <c r="G26" s="47">
        <f>C26*F26/(D26*E26*C26/1000)</f>
        <v>1510.9890109890109</v>
      </c>
    </row>
    <row r="27" spans="2:14" x14ac:dyDescent="0.25">
      <c r="B27" s="45" t="s">
        <v>1</v>
      </c>
      <c r="C27" s="24">
        <v>3000</v>
      </c>
      <c r="D27" s="24">
        <v>26</v>
      </c>
      <c r="E27" s="24">
        <v>12</v>
      </c>
      <c r="F27" s="24">
        <v>450</v>
      </c>
      <c r="G27" s="47">
        <f>C27*F27/(D27*E27*C27/1000)</f>
        <v>1442.3076923076924</v>
      </c>
    </row>
    <row r="28" spans="2:14" x14ac:dyDescent="0.25">
      <c r="B28" s="45"/>
      <c r="C28" s="24"/>
      <c r="D28" s="24"/>
      <c r="E28" s="24"/>
      <c r="F28" s="24"/>
      <c r="G28" s="47"/>
    </row>
    <row r="29" spans="2:14" x14ac:dyDescent="0.25">
      <c r="B29" s="45"/>
      <c r="C29" s="24"/>
      <c r="D29" s="24"/>
      <c r="E29" s="24">
        <f>C26*F26</f>
        <v>1650000</v>
      </c>
      <c r="F29" s="24">
        <f>C26*D26*E26/1000</f>
        <v>1092</v>
      </c>
      <c r="G29" s="47">
        <f>E29/F29</f>
        <v>1510.9890109890109</v>
      </c>
    </row>
    <row r="30" spans="2:14" x14ac:dyDescent="0.25">
      <c r="B30" s="48"/>
      <c r="C30" s="49"/>
      <c r="D30" s="49"/>
      <c r="E30" s="49">
        <f>C27*F27</f>
        <v>1350000</v>
      </c>
      <c r="F30" s="49">
        <f>C27*D27*E27/1000</f>
        <v>936</v>
      </c>
      <c r="G30" s="50">
        <f>E30/F30</f>
        <v>1442.3076923076924</v>
      </c>
    </row>
    <row r="32" spans="2:14" x14ac:dyDescent="0.25">
      <c r="B32" s="44"/>
      <c r="C32" s="15">
        <v>0</v>
      </c>
      <c r="D32" s="15" t="str">
        <f>"1-10"</f>
        <v>1-10</v>
      </c>
      <c r="E32" s="15"/>
      <c r="F32" s="15"/>
      <c r="G32" s="15"/>
      <c r="H32" s="16"/>
      <c r="N32" s="1"/>
    </row>
    <row r="33" spans="1:14" x14ac:dyDescent="0.25">
      <c r="B33" s="45" t="s">
        <v>0</v>
      </c>
      <c r="C33" s="24">
        <v>1800</v>
      </c>
      <c r="D33" s="24">
        <v>600</v>
      </c>
      <c r="E33" s="24">
        <f>SUM(C33:D33)</f>
        <v>2400</v>
      </c>
      <c r="F33" s="24">
        <v>1.8</v>
      </c>
      <c r="G33" s="24">
        <v>1</v>
      </c>
      <c r="H33" s="47">
        <f>E33/($F$33-G33)</f>
        <v>3000</v>
      </c>
      <c r="N33" s="2"/>
    </row>
    <row r="34" spans="1:14" x14ac:dyDescent="0.25">
      <c r="B34" s="45" t="s">
        <v>1</v>
      </c>
      <c r="C34" s="24">
        <v>800</v>
      </c>
      <c r="D34" s="24">
        <v>300</v>
      </c>
      <c r="E34" s="24">
        <f t="shared" ref="E34:E35" si="7">SUM(C34:D34)</f>
        <v>1100</v>
      </c>
      <c r="F34" s="24"/>
      <c r="G34" s="24">
        <v>1.4</v>
      </c>
      <c r="H34" s="47">
        <f>E34/($F$33-G34)</f>
        <v>2749.9999999999991</v>
      </c>
      <c r="N34" s="2"/>
    </row>
    <row r="35" spans="1:14" x14ac:dyDescent="0.25">
      <c r="B35" s="48" t="s">
        <v>6</v>
      </c>
      <c r="C35" s="49">
        <v>3900</v>
      </c>
      <c r="D35" s="49">
        <v>100</v>
      </c>
      <c r="E35" s="49">
        <f t="shared" si="7"/>
        <v>4000</v>
      </c>
      <c r="F35" s="49"/>
      <c r="G35" s="49">
        <v>0.2</v>
      </c>
      <c r="H35" s="50">
        <f>E35/($F$33-G35)</f>
        <v>2500</v>
      </c>
      <c r="N35" s="2"/>
    </row>
    <row r="38" spans="1:14" x14ac:dyDescent="0.25">
      <c r="B38" s="44" t="s">
        <v>0</v>
      </c>
      <c r="C38" s="15">
        <v>7.2</v>
      </c>
      <c r="D38" s="15">
        <v>0.64</v>
      </c>
      <c r="E38" s="15">
        <f>C38*D38</f>
        <v>4.6080000000000005</v>
      </c>
      <c r="F38" s="15">
        <v>80</v>
      </c>
      <c r="G38" s="58">
        <f>F38/E38</f>
        <v>17.361111111111111</v>
      </c>
    </row>
    <row r="39" spans="1:14" x14ac:dyDescent="0.25">
      <c r="B39" s="48" t="s">
        <v>1</v>
      </c>
      <c r="C39" s="49">
        <v>4.9000000000000004</v>
      </c>
      <c r="D39" s="49">
        <v>0.79</v>
      </c>
      <c r="E39" s="49">
        <f>C39*D39</f>
        <v>3.8710000000000004</v>
      </c>
      <c r="F39" s="49">
        <v>65</v>
      </c>
      <c r="G39" s="59">
        <f>F39/E39</f>
        <v>16.791526737277188</v>
      </c>
    </row>
    <row r="42" spans="1:14" x14ac:dyDescent="0.25">
      <c r="A42" s="44">
        <v>0.03</v>
      </c>
      <c r="B42" s="15">
        <v>0.4</v>
      </c>
      <c r="C42" s="15">
        <v>0</v>
      </c>
      <c r="D42" s="15">
        <v>1</v>
      </c>
      <c r="E42" s="15">
        <v>2</v>
      </c>
      <c r="F42" s="15">
        <v>3</v>
      </c>
      <c r="G42" s="15"/>
      <c r="H42" s="15"/>
      <c r="I42" s="16"/>
    </row>
    <row r="43" spans="1:14" x14ac:dyDescent="0.25">
      <c r="A43" s="45"/>
      <c r="B43" s="24" t="s">
        <v>0</v>
      </c>
      <c r="C43" s="24">
        <v>50</v>
      </c>
      <c r="D43" s="24">
        <v>340</v>
      </c>
      <c r="E43" s="24">
        <v>340</v>
      </c>
      <c r="F43" s="24">
        <v>340</v>
      </c>
      <c r="G43" s="51">
        <f>NPV($A$42,D43:F43)+C43</f>
        <v>1011.7278606641914</v>
      </c>
      <c r="H43" s="51">
        <f>G43*1000/SUM(D44:F44)</f>
        <v>102.19473340042337</v>
      </c>
      <c r="I43" s="47" t="s">
        <v>69</v>
      </c>
    </row>
    <row r="44" spans="1:14" x14ac:dyDescent="0.25">
      <c r="A44" s="45"/>
      <c r="B44" s="24">
        <v>15</v>
      </c>
      <c r="C44" s="24"/>
      <c r="D44" s="24">
        <f>$B44*220</f>
        <v>3300</v>
      </c>
      <c r="E44" s="24">
        <f t="shared" ref="E44:F44" si="8">$B44*220</f>
        <v>3300</v>
      </c>
      <c r="F44" s="24">
        <f t="shared" si="8"/>
        <v>3300</v>
      </c>
      <c r="G44" s="24"/>
      <c r="H44" s="24"/>
      <c r="I44" s="47"/>
    </row>
    <row r="45" spans="1:14" x14ac:dyDescent="0.25">
      <c r="A45" s="45"/>
      <c r="B45" s="24">
        <v>9.4E-2</v>
      </c>
      <c r="C45" s="24"/>
      <c r="D45" s="24">
        <f>D44*$B45*$B$42</f>
        <v>124.08</v>
      </c>
      <c r="E45" s="24">
        <f t="shared" ref="E45:F45" si="9">E44*$B45*$B$42</f>
        <v>124.08</v>
      </c>
      <c r="F45" s="24">
        <f t="shared" si="9"/>
        <v>124.08</v>
      </c>
      <c r="G45" s="24"/>
      <c r="H45" s="24"/>
      <c r="I45" s="47"/>
    </row>
    <row r="46" spans="1:14" x14ac:dyDescent="0.25">
      <c r="A46" s="45"/>
      <c r="B46" s="24" t="s">
        <v>70</v>
      </c>
      <c r="C46" s="24">
        <f>C43+C45</f>
        <v>50</v>
      </c>
      <c r="D46" s="24">
        <f>D43+D45</f>
        <v>464.08</v>
      </c>
      <c r="E46" s="24">
        <f>E43+E45</f>
        <v>464.08</v>
      </c>
      <c r="F46" s="24">
        <f>F43+F45</f>
        <v>464.08</v>
      </c>
      <c r="G46" s="51">
        <f>NPV($A$42,D46:F46)+C46</f>
        <v>1362.7019575795232</v>
      </c>
      <c r="H46" s="51">
        <f>G46*1000/SUM(D44:F44)</f>
        <v>137.64666238177</v>
      </c>
      <c r="I46" s="47" t="s">
        <v>69</v>
      </c>
    </row>
    <row r="47" spans="1:14" x14ac:dyDescent="0.25">
      <c r="A47" s="45"/>
      <c r="B47" s="24"/>
      <c r="C47" s="24"/>
      <c r="D47" s="24"/>
      <c r="E47" s="24"/>
      <c r="F47" s="24"/>
      <c r="G47" s="24"/>
      <c r="H47" s="24"/>
      <c r="I47" s="47"/>
    </row>
    <row r="48" spans="1:14" x14ac:dyDescent="0.25">
      <c r="A48" s="45"/>
      <c r="B48" s="24"/>
      <c r="C48" s="24"/>
      <c r="D48" s="24"/>
      <c r="E48" s="24"/>
      <c r="F48" s="24"/>
      <c r="G48" s="24"/>
      <c r="H48" s="24"/>
      <c r="I48" s="47"/>
    </row>
    <row r="49" spans="1:10" x14ac:dyDescent="0.25">
      <c r="A49" s="45"/>
      <c r="B49" s="24" t="s">
        <v>1</v>
      </c>
      <c r="C49" s="24">
        <v>50</v>
      </c>
      <c r="D49" s="24">
        <v>400</v>
      </c>
      <c r="E49" s="24">
        <v>400</v>
      </c>
      <c r="F49" s="24">
        <v>400</v>
      </c>
      <c r="G49" s="51">
        <f>NPV($A$42,D49:F49)+C49</f>
        <v>1181.4445419578722</v>
      </c>
      <c r="H49" s="51">
        <f>G49*1000/SUM(D50:F50)</f>
        <v>105.29808751852694</v>
      </c>
      <c r="I49" s="47" t="s">
        <v>69</v>
      </c>
    </row>
    <row r="50" spans="1:10" x14ac:dyDescent="0.25">
      <c r="A50" s="45"/>
      <c r="B50" s="24">
        <v>17</v>
      </c>
      <c r="C50" s="24"/>
      <c r="D50" s="24">
        <f>$B50*220</f>
        <v>3740</v>
      </c>
      <c r="E50" s="24">
        <f t="shared" ref="E50:F50" si="10">$B50*220</f>
        <v>3740</v>
      </c>
      <c r="F50" s="24">
        <f t="shared" si="10"/>
        <v>3740</v>
      </c>
      <c r="G50" s="24"/>
      <c r="H50" s="24"/>
      <c r="I50" s="47"/>
    </row>
    <row r="51" spans="1:10" x14ac:dyDescent="0.25">
      <c r="A51" s="45"/>
      <c r="B51" s="24">
        <v>7.6999999999999999E-2</v>
      </c>
      <c r="C51" s="24"/>
      <c r="D51" s="24">
        <f>D50*$B51*$B$42</f>
        <v>115.19200000000001</v>
      </c>
      <c r="E51" s="24">
        <f t="shared" ref="E51" si="11">E50*$B51*$B$42</f>
        <v>115.19200000000001</v>
      </c>
      <c r="F51" s="24">
        <f t="shared" ref="F51" si="12">F50*$B51*$B$42</f>
        <v>115.19200000000001</v>
      </c>
      <c r="G51" s="24"/>
      <c r="H51" s="24"/>
      <c r="I51" s="47"/>
    </row>
    <row r="52" spans="1:10" x14ac:dyDescent="0.25">
      <c r="A52" s="45"/>
      <c r="B52" s="24" t="s">
        <v>70</v>
      </c>
      <c r="C52" s="24">
        <f>C49+C51</f>
        <v>50</v>
      </c>
      <c r="D52" s="24">
        <f>D49+D51</f>
        <v>515.19200000000001</v>
      </c>
      <c r="E52" s="24">
        <f>E49+E51</f>
        <v>515.19200000000001</v>
      </c>
      <c r="F52" s="24">
        <f>F49+F51</f>
        <v>515.19200000000001</v>
      </c>
      <c r="G52" s="51">
        <f>NPV($A$42,D52:F52)+C52</f>
        <v>1507.2779411509005</v>
      </c>
      <c r="H52" s="51">
        <f>G52*1000/SUM(D50:F50)</f>
        <v>134.33849742877899</v>
      </c>
      <c r="I52" s="47" t="s">
        <v>69</v>
      </c>
    </row>
    <row r="53" spans="1:10" x14ac:dyDescent="0.25">
      <c r="A53" s="45"/>
      <c r="B53" s="24"/>
      <c r="C53" s="24"/>
      <c r="D53" s="24"/>
      <c r="E53" s="24"/>
      <c r="F53" s="24"/>
      <c r="G53" s="24"/>
      <c r="H53" s="24"/>
      <c r="I53" s="47"/>
    </row>
    <row r="54" spans="1:10" x14ac:dyDescent="0.25">
      <c r="A54" s="45"/>
      <c r="B54" s="24"/>
      <c r="C54" s="24"/>
      <c r="D54" s="24"/>
      <c r="E54" s="24"/>
      <c r="F54" s="24"/>
      <c r="G54" s="24"/>
      <c r="H54" s="24"/>
      <c r="I54" s="47"/>
    </row>
    <row r="55" spans="1:10" x14ac:dyDescent="0.25">
      <c r="A55" s="45"/>
      <c r="B55" s="24" t="s">
        <v>6</v>
      </c>
      <c r="C55" s="24">
        <v>50</v>
      </c>
      <c r="D55" s="24">
        <v>470</v>
      </c>
      <c r="E55" s="24">
        <v>470</v>
      </c>
      <c r="F55" s="24">
        <v>470</v>
      </c>
      <c r="G55" s="51">
        <f>NPV($A$42,D55:F55)+C55</f>
        <v>1379.4473368005001</v>
      </c>
      <c r="H55" s="51">
        <f>G55*1000/SUM(D56:F56)</f>
        <v>104.50358612125001</v>
      </c>
      <c r="I55" s="47" t="s">
        <v>69</v>
      </c>
    </row>
    <row r="56" spans="1:10" x14ac:dyDescent="0.25">
      <c r="A56" s="45"/>
      <c r="B56" s="24">
        <v>20</v>
      </c>
      <c r="C56" s="24"/>
      <c r="D56" s="24">
        <f>$B56*220</f>
        <v>4400</v>
      </c>
      <c r="E56" s="24">
        <f t="shared" ref="E56:F56" si="13">$B56*220</f>
        <v>4400</v>
      </c>
      <c r="F56" s="24">
        <f t="shared" si="13"/>
        <v>4400</v>
      </c>
      <c r="G56" s="24"/>
      <c r="H56" s="24"/>
      <c r="I56" s="47"/>
    </row>
    <row r="57" spans="1:10" x14ac:dyDescent="0.25">
      <c r="A57" s="45"/>
      <c r="B57" s="24">
        <v>7.0999999999999994E-2</v>
      </c>
      <c r="C57" s="24"/>
      <c r="D57" s="24">
        <f>D56*$B57*$B$42</f>
        <v>124.96</v>
      </c>
      <c r="E57" s="24">
        <f t="shared" ref="E57" si="14">E56*$B57*$B$42</f>
        <v>124.96</v>
      </c>
      <c r="F57" s="24">
        <f t="shared" ref="F57" si="15">F56*$B57*$B$42</f>
        <v>124.96</v>
      </c>
      <c r="G57" s="24"/>
      <c r="H57" s="24"/>
      <c r="I57" s="47"/>
    </row>
    <row r="58" spans="1:10" x14ac:dyDescent="0.25">
      <c r="A58" s="48"/>
      <c r="B58" s="49" t="s">
        <v>70</v>
      </c>
      <c r="C58" s="49">
        <f>C55+C57</f>
        <v>50</v>
      </c>
      <c r="D58" s="49">
        <f t="shared" ref="D58" si="16">D55+D57</f>
        <v>594.96</v>
      </c>
      <c r="E58" s="49">
        <f t="shared" ref="E58" si="17">E55+E57</f>
        <v>594.96</v>
      </c>
      <c r="F58" s="49">
        <f t="shared" ref="F58" si="18">F55+F57</f>
        <v>594.96</v>
      </c>
      <c r="G58" s="53">
        <f>NPV($A$42,D58:F58)+C58</f>
        <v>1732.9106117081394</v>
      </c>
      <c r="H58" s="53">
        <f>G58*1000/SUM(D56:F56)</f>
        <v>131.28110694758632</v>
      </c>
      <c r="I58" s="50" t="s">
        <v>69</v>
      </c>
    </row>
    <row r="61" spans="1:10" x14ac:dyDescent="0.25">
      <c r="B61" s="44" t="s">
        <v>0</v>
      </c>
      <c r="C61" s="15">
        <v>27</v>
      </c>
      <c r="D61" s="15">
        <v>0.82</v>
      </c>
      <c r="E61" s="15">
        <f>C61*D61</f>
        <v>22.139999999999997</v>
      </c>
      <c r="F61" s="15">
        <v>80000</v>
      </c>
      <c r="G61" s="15">
        <f>5*8*500</f>
        <v>20000</v>
      </c>
      <c r="H61" s="15">
        <v>4000</v>
      </c>
      <c r="I61" s="15">
        <v>10000</v>
      </c>
      <c r="J61" s="16">
        <f>SUM(F61:I61)/E61</f>
        <v>5149.0514905149057</v>
      </c>
    </row>
    <row r="62" spans="1:10" x14ac:dyDescent="0.25">
      <c r="B62" s="45" t="s">
        <v>1</v>
      </c>
      <c r="C62" s="24">
        <v>36</v>
      </c>
      <c r="D62" s="24">
        <v>0.61</v>
      </c>
      <c r="E62" s="24">
        <f t="shared" ref="E62:E63" si="19">C62*D62</f>
        <v>21.96</v>
      </c>
      <c r="F62" s="24">
        <v>80000</v>
      </c>
      <c r="G62" s="24">
        <f>4*15*500</f>
        <v>30000</v>
      </c>
      <c r="H62" s="24"/>
      <c r="I62" s="24"/>
      <c r="J62" s="47">
        <f t="shared" ref="J62:J63" si="20">SUM(F62:I62)/E62</f>
        <v>5009.1074681238615</v>
      </c>
    </row>
    <row r="63" spans="1:10" x14ac:dyDescent="0.25">
      <c r="B63" s="48" t="s">
        <v>6</v>
      </c>
      <c r="C63" s="49">
        <v>51</v>
      </c>
      <c r="D63" s="49">
        <v>0.42</v>
      </c>
      <c r="E63" s="49">
        <f t="shared" si="19"/>
        <v>21.419999999999998</v>
      </c>
      <c r="F63" s="49">
        <v>80000</v>
      </c>
      <c r="G63" s="49">
        <f>1.5*C63*400</f>
        <v>30600</v>
      </c>
      <c r="H63" s="49"/>
      <c r="I63" s="49"/>
      <c r="J63" s="50">
        <f t="shared" si="20"/>
        <v>5163.3986928104578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Normal="100" workbookViewId="0"/>
  </sheetViews>
  <sheetFormatPr defaultRowHeight="15" x14ac:dyDescent="0.25"/>
  <cols>
    <col min="1" max="16384" width="9.140625" style="11"/>
  </cols>
  <sheetData>
    <row r="1" spans="1:10" x14ac:dyDescent="0.25">
      <c r="A1" s="11" t="s">
        <v>71</v>
      </c>
    </row>
    <row r="3" spans="1:10" x14ac:dyDescent="0.25">
      <c r="A3" s="19" t="s">
        <v>72</v>
      </c>
    </row>
    <row r="5" spans="1:10" x14ac:dyDescent="0.25">
      <c r="A5" s="20" t="s">
        <v>73</v>
      </c>
    </row>
    <row r="7" spans="1:10" x14ac:dyDescent="0.25">
      <c r="B7" s="11" t="s">
        <v>74</v>
      </c>
      <c r="H7" s="11" t="s">
        <v>75</v>
      </c>
      <c r="I7" s="11" t="s">
        <v>76</v>
      </c>
      <c r="J7" s="11" t="s">
        <v>46</v>
      </c>
    </row>
    <row r="8" spans="1:10" x14ac:dyDescent="0.25">
      <c r="H8" s="11">
        <v>1800</v>
      </c>
      <c r="I8" s="11">
        <v>1400</v>
      </c>
      <c r="J8" s="11">
        <v>2000</v>
      </c>
    </row>
    <row r="10" spans="1:10" x14ac:dyDescent="0.25">
      <c r="B10" s="11" t="s">
        <v>77</v>
      </c>
      <c r="G10" s="11" t="s">
        <v>78</v>
      </c>
      <c r="H10" s="11">
        <v>5</v>
      </c>
      <c r="I10" s="11">
        <v>4</v>
      </c>
      <c r="J10" s="11">
        <v>3</v>
      </c>
    </row>
    <row r="11" spans="1:10" x14ac:dyDescent="0.25">
      <c r="G11" s="11" t="s">
        <v>79</v>
      </c>
      <c r="H11" s="11">
        <v>6</v>
      </c>
      <c r="I11" s="11">
        <v>5</v>
      </c>
      <c r="J11" s="11">
        <v>4</v>
      </c>
    </row>
    <row r="13" spans="1:10" x14ac:dyDescent="0.25">
      <c r="A13" s="11" t="s">
        <v>80</v>
      </c>
    </row>
    <row r="15" spans="1:10" x14ac:dyDescent="0.25">
      <c r="A15" s="11" t="s">
        <v>81</v>
      </c>
    </row>
    <row r="16" spans="1:10" x14ac:dyDescent="0.25">
      <c r="B16" s="11" t="s">
        <v>82</v>
      </c>
    </row>
    <row r="17" spans="1:16" x14ac:dyDescent="0.25">
      <c r="A17" s="11" t="s">
        <v>0</v>
      </c>
      <c r="B17" s="10">
        <f>2*7000+2*6000+8000</f>
        <v>34000</v>
      </c>
      <c r="C17" s="11" t="s">
        <v>86</v>
      </c>
    </row>
    <row r="18" spans="1:16" x14ac:dyDescent="0.25">
      <c r="A18" s="11" t="s">
        <v>1</v>
      </c>
      <c r="B18" s="10">
        <f>9*3*140*26*1.2</f>
        <v>117936</v>
      </c>
      <c r="C18" s="11" t="s">
        <v>87</v>
      </c>
    </row>
    <row r="19" spans="1:16" x14ac:dyDescent="0.25">
      <c r="A19" s="11" t="s">
        <v>83</v>
      </c>
      <c r="B19" s="10">
        <v>620</v>
      </c>
      <c r="C19" s="11" t="s">
        <v>88</v>
      </c>
    </row>
    <row r="20" spans="1:16" x14ac:dyDescent="0.25">
      <c r="A20" s="11" t="s">
        <v>83</v>
      </c>
      <c r="B20" s="10">
        <v>120</v>
      </c>
      <c r="C20" s="24" t="s">
        <v>89</v>
      </c>
      <c r="D20" s="24"/>
      <c r="E20" s="24"/>
      <c r="F20" s="24"/>
      <c r="G20" s="24"/>
      <c r="H20" s="24"/>
    </row>
    <row r="21" spans="1:16" x14ac:dyDescent="0.25">
      <c r="A21" s="11" t="s">
        <v>84</v>
      </c>
      <c r="B21" s="10">
        <f>13*26*140</f>
        <v>47320</v>
      </c>
      <c r="C21" s="24" t="s">
        <v>90</v>
      </c>
      <c r="D21" s="24"/>
      <c r="E21" s="24"/>
      <c r="F21" s="24"/>
      <c r="G21" s="24"/>
      <c r="H21" s="24"/>
    </row>
    <row r="22" spans="1:16" x14ac:dyDescent="0.25">
      <c r="A22" s="11" t="s">
        <v>85</v>
      </c>
      <c r="B22" s="10">
        <v>7000</v>
      </c>
      <c r="C22" s="21" t="s">
        <v>91</v>
      </c>
      <c r="D22" s="24"/>
      <c r="E22" s="24"/>
      <c r="F22" s="24"/>
      <c r="G22" s="24"/>
      <c r="H22" s="24"/>
    </row>
    <row r="23" spans="1:16" x14ac:dyDescent="0.25">
      <c r="A23" s="11" t="s">
        <v>84</v>
      </c>
      <c r="B23" s="10">
        <v>600</v>
      </c>
      <c r="C23" s="21" t="s">
        <v>92</v>
      </c>
      <c r="D23" s="24"/>
      <c r="E23" s="24"/>
      <c r="F23" s="24"/>
      <c r="G23" s="24"/>
      <c r="H23" s="24"/>
    </row>
    <row r="25" spans="1:16" x14ac:dyDescent="0.25">
      <c r="A25" s="11" t="s">
        <v>20</v>
      </c>
      <c r="B25" s="34">
        <v>0.04</v>
      </c>
      <c r="C25" s="34">
        <v>0.05</v>
      </c>
    </row>
    <row r="28" spans="1:16" x14ac:dyDescent="0.25">
      <c r="A28" s="11" t="s">
        <v>93</v>
      </c>
    </row>
    <row r="30" spans="1:16" x14ac:dyDescent="0.25">
      <c r="B30" s="11">
        <v>0</v>
      </c>
      <c r="C30" s="11">
        <v>1</v>
      </c>
      <c r="D30" s="11">
        <v>2</v>
      </c>
      <c r="E30" s="11">
        <v>3</v>
      </c>
      <c r="F30" s="11">
        <v>4</v>
      </c>
      <c r="G30" s="11">
        <v>5</v>
      </c>
      <c r="K30" s="11">
        <v>0</v>
      </c>
      <c r="L30" s="11">
        <v>1</v>
      </c>
      <c r="M30" s="11">
        <v>2</v>
      </c>
      <c r="N30" s="11">
        <v>3</v>
      </c>
      <c r="O30" s="11">
        <v>4</v>
      </c>
      <c r="P30" s="11">
        <v>5</v>
      </c>
    </row>
    <row r="31" spans="1:16" x14ac:dyDescent="0.25">
      <c r="A31" s="11" t="s">
        <v>22</v>
      </c>
      <c r="B31" s="35">
        <f>-$B$17*5</f>
        <v>-170000</v>
      </c>
      <c r="C31" s="36">
        <f>-($B$19+2*$B$20)*5*26</f>
        <v>-111800</v>
      </c>
      <c r="D31" s="36">
        <f t="shared" ref="D31:G31" si="0">-($B$19+2*$B$20)*5*26</f>
        <v>-111800</v>
      </c>
      <c r="E31" s="36">
        <f t="shared" si="0"/>
        <v>-111800</v>
      </c>
      <c r="F31" s="36">
        <f t="shared" si="0"/>
        <v>-111800</v>
      </c>
      <c r="G31" s="37">
        <f t="shared" si="0"/>
        <v>-111800</v>
      </c>
      <c r="J31" s="11" t="s">
        <v>23</v>
      </c>
      <c r="K31" s="35">
        <f>-$B$18</f>
        <v>-117936</v>
      </c>
      <c r="L31" s="36">
        <f>-($B$19+$B$20)*9*26</f>
        <v>-173160</v>
      </c>
      <c r="M31" s="36">
        <f t="shared" ref="M31:P31" si="1">-($B$19+$B$20)*9*26</f>
        <v>-173160</v>
      </c>
      <c r="N31" s="36">
        <f t="shared" si="1"/>
        <v>-173160</v>
      </c>
      <c r="O31" s="36">
        <f t="shared" si="1"/>
        <v>-173160</v>
      </c>
      <c r="P31" s="37">
        <f t="shared" si="1"/>
        <v>-173160</v>
      </c>
    </row>
    <row r="32" spans="1:16" x14ac:dyDescent="0.25">
      <c r="A32" s="11" t="s">
        <v>24</v>
      </c>
      <c r="B32" s="38">
        <v>0</v>
      </c>
      <c r="C32" s="39">
        <f>52*140*($I$10*$I$8+$H$10*$H$8+$J$10*$J$8)/1000</f>
        <v>149968</v>
      </c>
      <c r="D32" s="39">
        <f t="shared" ref="D32:G32" si="2">52*140*($I$10*$I$8+$H$10*$H$8+$J$10*$J$8)/1000</f>
        <v>149968</v>
      </c>
      <c r="E32" s="39">
        <f t="shared" si="2"/>
        <v>149968</v>
      </c>
      <c r="F32" s="39">
        <f t="shared" si="2"/>
        <v>149968</v>
      </c>
      <c r="G32" s="40">
        <f t="shared" si="2"/>
        <v>149968</v>
      </c>
      <c r="J32" s="11" t="s">
        <v>25</v>
      </c>
      <c r="K32" s="38">
        <v>0</v>
      </c>
      <c r="L32" s="39">
        <f>52*140*($I$11*$I$8+$H$11*$H$8+$J$11*$J$8)/1000</f>
        <v>187824</v>
      </c>
      <c r="M32" s="39">
        <f t="shared" ref="M32:P32" si="3">52*140*($I$11*$I$8+$H$11*$H$8+$J$11*$J$8)/1000</f>
        <v>187824</v>
      </c>
      <c r="N32" s="39">
        <f t="shared" si="3"/>
        <v>187824</v>
      </c>
      <c r="O32" s="39">
        <f t="shared" si="3"/>
        <v>187824</v>
      </c>
      <c r="P32" s="40">
        <f t="shared" si="3"/>
        <v>187824</v>
      </c>
    </row>
    <row r="33" spans="1:17" x14ac:dyDescent="0.25">
      <c r="A33" s="11" t="s">
        <v>26</v>
      </c>
      <c r="B33" s="38">
        <f>SUM(B31:B32)</f>
        <v>-170000</v>
      </c>
      <c r="C33" s="39">
        <f t="shared" ref="C33:G33" si="4">SUM(C31:C32)</f>
        <v>38168</v>
      </c>
      <c r="D33" s="39">
        <f t="shared" si="4"/>
        <v>38168</v>
      </c>
      <c r="E33" s="39">
        <f t="shared" si="4"/>
        <v>38168</v>
      </c>
      <c r="F33" s="39">
        <f t="shared" si="4"/>
        <v>38168</v>
      </c>
      <c r="G33" s="40">
        <f t="shared" si="4"/>
        <v>38168</v>
      </c>
      <c r="H33" s="13" t="s">
        <v>27</v>
      </c>
      <c r="J33" s="11" t="s">
        <v>28</v>
      </c>
      <c r="K33" s="38">
        <f>SUM(K30:K32)</f>
        <v>-117936</v>
      </c>
      <c r="L33" s="39">
        <f t="shared" ref="L33:P33" si="5">SUM(L31:L32)</f>
        <v>14664</v>
      </c>
      <c r="M33" s="39">
        <f t="shared" si="5"/>
        <v>14664</v>
      </c>
      <c r="N33" s="39">
        <f t="shared" si="5"/>
        <v>14664</v>
      </c>
      <c r="O33" s="39">
        <f t="shared" si="5"/>
        <v>14664</v>
      </c>
      <c r="P33" s="40">
        <f t="shared" si="5"/>
        <v>14664</v>
      </c>
      <c r="Q33" s="13" t="s">
        <v>27</v>
      </c>
    </row>
    <row r="34" spans="1:17" x14ac:dyDescent="0.25">
      <c r="A34" s="11" t="s">
        <v>21</v>
      </c>
      <c r="B34" s="41">
        <f>B33/(1+$B$25)^B$30</f>
        <v>-170000</v>
      </c>
      <c r="C34" s="42">
        <f>C33/(1+$B$25)^C$30</f>
        <v>36700</v>
      </c>
      <c r="D34" s="42">
        <f t="shared" ref="D34:G34" si="6">D33/(1+$B$25)^D$30</f>
        <v>35288.461538461532</v>
      </c>
      <c r="E34" s="42">
        <f t="shared" si="6"/>
        <v>33931.213017751477</v>
      </c>
      <c r="F34" s="42">
        <f t="shared" si="6"/>
        <v>32626.166363222572</v>
      </c>
      <c r="G34" s="43">
        <f t="shared" si="6"/>
        <v>31371.313810790929</v>
      </c>
      <c r="H34" s="25">
        <f>SUM(B34:G34)</f>
        <v>-82.845269773490145</v>
      </c>
      <c r="J34" s="11" t="s">
        <v>29</v>
      </c>
      <c r="K34" s="41">
        <f>K33/(1+$B$25)^K$30</f>
        <v>-117936</v>
      </c>
      <c r="L34" s="42">
        <f>L33/(1+$B$25)^L$30</f>
        <v>14100</v>
      </c>
      <c r="M34" s="42">
        <f t="shared" ref="M34:P34" si="7">M33/(1+$B$25)^M$30</f>
        <v>13557.692307692307</v>
      </c>
      <c r="N34" s="42">
        <f t="shared" si="7"/>
        <v>13036.242603550294</v>
      </c>
      <c r="O34" s="42">
        <f t="shared" si="7"/>
        <v>12534.848657259898</v>
      </c>
      <c r="P34" s="43">
        <f t="shared" si="7"/>
        <v>12052.739093519131</v>
      </c>
      <c r="Q34" s="25">
        <f>SUM(K34:P34)</f>
        <v>-52654.477337978373</v>
      </c>
    </row>
    <row r="35" spans="1:17" x14ac:dyDescent="0.25">
      <c r="F35" s="13"/>
      <c r="G35" s="13" t="s">
        <v>30</v>
      </c>
      <c r="H35" s="14">
        <f>-(H34/B34)</f>
        <v>-4.873251163146479E-4</v>
      </c>
      <c r="N35" s="13"/>
      <c r="O35" s="13"/>
      <c r="P35" s="13" t="s">
        <v>30</v>
      </c>
      <c r="Q35" s="14">
        <f>-(Q34/K34)</f>
        <v>-0.4464665355614772</v>
      </c>
    </row>
    <row r="37" spans="1:17" x14ac:dyDescent="0.25">
      <c r="A37" s="11" t="s">
        <v>94</v>
      </c>
    </row>
    <row r="39" spans="1:17" x14ac:dyDescent="0.25">
      <c r="B39" s="11">
        <v>0</v>
      </c>
      <c r="C39" s="11">
        <v>1</v>
      </c>
      <c r="D39" s="11">
        <v>2</v>
      </c>
      <c r="E39" s="11">
        <v>3</v>
      </c>
      <c r="F39" s="11">
        <v>4</v>
      </c>
      <c r="G39" s="11">
        <v>5</v>
      </c>
      <c r="K39" s="11">
        <v>0</v>
      </c>
      <c r="L39" s="11">
        <v>1</v>
      </c>
      <c r="M39" s="11">
        <v>2</v>
      </c>
      <c r="N39" s="11">
        <v>3</v>
      </c>
      <c r="O39" s="11">
        <v>4</v>
      </c>
      <c r="P39" s="11">
        <v>5</v>
      </c>
    </row>
    <row r="40" spans="1:17" x14ac:dyDescent="0.25">
      <c r="A40" s="11" t="s">
        <v>32</v>
      </c>
      <c r="B40" s="35">
        <f t="shared" ref="B40:G40" si="8">B33</f>
        <v>-170000</v>
      </c>
      <c r="C40" s="36">
        <f t="shared" si="8"/>
        <v>38168</v>
      </c>
      <c r="D40" s="36">
        <f t="shared" si="8"/>
        <v>38168</v>
      </c>
      <c r="E40" s="36">
        <f t="shared" si="8"/>
        <v>38168</v>
      </c>
      <c r="F40" s="36">
        <f t="shared" si="8"/>
        <v>38168</v>
      </c>
      <c r="G40" s="37">
        <f t="shared" si="8"/>
        <v>38168</v>
      </c>
      <c r="J40" s="11" t="s">
        <v>33</v>
      </c>
      <c r="K40" s="35">
        <f t="shared" ref="K40:P40" si="9">K33</f>
        <v>-117936</v>
      </c>
      <c r="L40" s="36">
        <f t="shared" si="9"/>
        <v>14664</v>
      </c>
      <c r="M40" s="36">
        <f t="shared" si="9"/>
        <v>14664</v>
      </c>
      <c r="N40" s="36">
        <f t="shared" si="9"/>
        <v>14664</v>
      </c>
      <c r="O40" s="36">
        <f t="shared" si="9"/>
        <v>14664</v>
      </c>
      <c r="P40" s="37">
        <f t="shared" si="9"/>
        <v>14664</v>
      </c>
    </row>
    <row r="41" spans="1:17" x14ac:dyDescent="0.25">
      <c r="A41" s="11" t="s">
        <v>34</v>
      </c>
      <c r="B41" s="38">
        <v>0</v>
      </c>
      <c r="C41" s="39">
        <v>0</v>
      </c>
      <c r="D41" s="39">
        <v>0</v>
      </c>
      <c r="E41" s="39">
        <v>0</v>
      </c>
      <c r="F41" s="39">
        <v>0</v>
      </c>
      <c r="G41" s="40">
        <v>0</v>
      </c>
      <c r="J41" s="11" t="s">
        <v>35</v>
      </c>
      <c r="K41" s="38">
        <v>0</v>
      </c>
      <c r="L41" s="39">
        <f>-$B$21</f>
        <v>-47320</v>
      </c>
      <c r="M41" s="39">
        <f t="shared" ref="M41:P41" si="10">-$B$21</f>
        <v>-47320</v>
      </c>
      <c r="N41" s="39">
        <f t="shared" si="10"/>
        <v>-47320</v>
      </c>
      <c r="O41" s="39">
        <f t="shared" si="10"/>
        <v>-47320</v>
      </c>
      <c r="P41" s="40">
        <f t="shared" si="10"/>
        <v>-47320</v>
      </c>
    </row>
    <row r="42" spans="1:17" x14ac:dyDescent="0.25">
      <c r="A42" s="11" t="s">
        <v>36</v>
      </c>
      <c r="B42" s="38">
        <v>0</v>
      </c>
      <c r="C42" s="39">
        <f>5*$B$22</f>
        <v>35000</v>
      </c>
      <c r="D42" s="39">
        <f t="shared" ref="D42:G42" si="11">5*$B$22</f>
        <v>35000</v>
      </c>
      <c r="E42" s="39">
        <f t="shared" si="11"/>
        <v>35000</v>
      </c>
      <c r="F42" s="39">
        <f t="shared" si="11"/>
        <v>35000</v>
      </c>
      <c r="G42" s="40">
        <f t="shared" si="11"/>
        <v>35000</v>
      </c>
      <c r="H42" s="13"/>
      <c r="J42" s="11" t="s">
        <v>37</v>
      </c>
      <c r="K42" s="38">
        <v>0</v>
      </c>
      <c r="L42" s="39">
        <f>140*$B$23</f>
        <v>84000</v>
      </c>
      <c r="M42" s="39">
        <f t="shared" ref="M42:P42" si="12">140*$B$23</f>
        <v>84000</v>
      </c>
      <c r="N42" s="39">
        <f t="shared" si="12"/>
        <v>84000</v>
      </c>
      <c r="O42" s="39">
        <f t="shared" si="12"/>
        <v>84000</v>
      </c>
      <c r="P42" s="40">
        <f t="shared" si="12"/>
        <v>84000</v>
      </c>
      <c r="Q42" s="13"/>
    </row>
    <row r="43" spans="1:17" x14ac:dyDescent="0.25">
      <c r="A43" s="11" t="s">
        <v>38</v>
      </c>
      <c r="B43" s="38">
        <f>SUM(B39:B42)</f>
        <v>-170000</v>
      </c>
      <c r="C43" s="39">
        <f t="shared" ref="C43:G43" si="13">SUM(C40:C42)</f>
        <v>73168</v>
      </c>
      <c r="D43" s="39">
        <f t="shared" si="13"/>
        <v>73168</v>
      </c>
      <c r="E43" s="39">
        <f t="shared" si="13"/>
        <v>73168</v>
      </c>
      <c r="F43" s="39">
        <f t="shared" si="13"/>
        <v>73168</v>
      </c>
      <c r="G43" s="40">
        <f t="shared" si="13"/>
        <v>73168</v>
      </c>
      <c r="H43" s="13" t="s">
        <v>27</v>
      </c>
      <c r="J43" s="11" t="s">
        <v>39</v>
      </c>
      <c r="K43" s="38">
        <f>SUM(K40:K42)</f>
        <v>-117936</v>
      </c>
      <c r="L43" s="39">
        <f t="shared" ref="L43:P43" si="14">SUM(L40:L42)</f>
        <v>51344</v>
      </c>
      <c r="M43" s="39">
        <f t="shared" si="14"/>
        <v>51344</v>
      </c>
      <c r="N43" s="39">
        <f t="shared" si="14"/>
        <v>51344</v>
      </c>
      <c r="O43" s="39">
        <f t="shared" si="14"/>
        <v>51344</v>
      </c>
      <c r="P43" s="40">
        <f t="shared" si="14"/>
        <v>51344</v>
      </c>
      <c r="Q43" s="13" t="s">
        <v>27</v>
      </c>
    </row>
    <row r="44" spans="1:17" x14ac:dyDescent="0.25">
      <c r="A44" s="11" t="s">
        <v>40</v>
      </c>
      <c r="B44" s="41">
        <f t="shared" ref="B44:G44" si="15">B43/(1+$C$25)^B$39</f>
        <v>-170000</v>
      </c>
      <c r="C44" s="42">
        <f t="shared" si="15"/>
        <v>69683.809523809527</v>
      </c>
      <c r="D44" s="42">
        <f t="shared" si="15"/>
        <v>66365.532879818595</v>
      </c>
      <c r="E44" s="42">
        <f t="shared" si="15"/>
        <v>63205.269409351036</v>
      </c>
      <c r="F44" s="42">
        <f t="shared" si="15"/>
        <v>60195.494675572423</v>
      </c>
      <c r="G44" s="43">
        <f t="shared" si="15"/>
        <v>57329.042548164201</v>
      </c>
      <c r="H44" s="25">
        <f>SUM(B44:G44)</f>
        <v>146779.1490367158</v>
      </c>
      <c r="J44" s="11" t="s">
        <v>41</v>
      </c>
      <c r="K44" s="41">
        <f t="shared" ref="K44:P44" si="16">K43/(1+$C$25)^K$39</f>
        <v>-117936</v>
      </c>
      <c r="L44" s="42">
        <f t="shared" si="16"/>
        <v>48899.047619047618</v>
      </c>
      <c r="M44" s="42">
        <f t="shared" si="16"/>
        <v>46570.521541950111</v>
      </c>
      <c r="N44" s="42">
        <f t="shared" si="16"/>
        <v>44352.8776590001</v>
      </c>
      <c r="O44" s="42">
        <f t="shared" si="16"/>
        <v>42240.835865714391</v>
      </c>
      <c r="P44" s="43">
        <f t="shared" si="16"/>
        <v>40229.367491156554</v>
      </c>
      <c r="Q44" s="25">
        <f>SUM(K44:P44)</f>
        <v>104356.65017686877</v>
      </c>
    </row>
    <row r="45" spans="1:17" x14ac:dyDescent="0.25">
      <c r="E45" s="13"/>
      <c r="F45" s="13"/>
      <c r="G45" s="13" t="s">
        <v>30</v>
      </c>
      <c r="H45" s="14">
        <f>-(H44/B44)</f>
        <v>0.8634067590395047</v>
      </c>
      <c r="N45" s="13"/>
      <c r="O45" s="13"/>
      <c r="P45" s="13" t="s">
        <v>30</v>
      </c>
      <c r="Q45" s="14">
        <f>-(Q44/K44)</f>
        <v>0.88485831448301433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defaultRowHeight="15" x14ac:dyDescent="0.25"/>
  <cols>
    <col min="1" max="16384" width="9.140625" style="11"/>
  </cols>
  <sheetData>
    <row r="1" spans="1:8" x14ac:dyDescent="0.25">
      <c r="A1" s="11" t="s">
        <v>95</v>
      </c>
    </row>
    <row r="3" spans="1:8" x14ac:dyDescent="0.25">
      <c r="A3" s="19" t="s">
        <v>105</v>
      </c>
    </row>
    <row r="4" spans="1:8" x14ac:dyDescent="0.25">
      <c r="B4" s="11" t="s">
        <v>104</v>
      </c>
    </row>
    <row r="5" spans="1:8" x14ac:dyDescent="0.25">
      <c r="A5" s="20" t="s">
        <v>106</v>
      </c>
    </row>
    <row r="7" spans="1:8" x14ac:dyDescent="0.25">
      <c r="A7" s="11" t="s">
        <v>107</v>
      </c>
    </row>
    <row r="9" spans="1:8" x14ac:dyDescent="0.25">
      <c r="A9" s="11" t="s">
        <v>81</v>
      </c>
    </row>
    <row r="10" spans="1:8" x14ac:dyDescent="0.25">
      <c r="B10" s="11" t="s">
        <v>96</v>
      </c>
    </row>
    <row r="11" spans="1:8" x14ac:dyDescent="0.25">
      <c r="A11" s="11" t="s">
        <v>18</v>
      </c>
      <c r="B11" s="11">
        <v>1500</v>
      </c>
      <c r="C11" s="11" t="s">
        <v>108</v>
      </c>
    </row>
    <row r="12" spans="1:8" x14ac:dyDescent="0.25">
      <c r="A12" s="11" t="s">
        <v>0</v>
      </c>
      <c r="B12" s="11">
        <v>1000</v>
      </c>
      <c r="C12" s="11" t="s">
        <v>109</v>
      </c>
    </row>
    <row r="13" spans="1:8" x14ac:dyDescent="0.25">
      <c r="A13" s="11" t="s">
        <v>85</v>
      </c>
      <c r="B13" s="11">
        <f>2*15*1.34*4</f>
        <v>160.80000000000001</v>
      </c>
      <c r="C13" s="11" t="s">
        <v>110</v>
      </c>
    </row>
    <row r="14" spans="1:8" x14ac:dyDescent="0.25">
      <c r="A14" s="11" t="s">
        <v>18</v>
      </c>
      <c r="B14" s="11">
        <v>150</v>
      </c>
      <c r="C14" s="24" t="s">
        <v>111</v>
      </c>
      <c r="D14" s="24"/>
      <c r="E14" s="24"/>
      <c r="F14" s="24"/>
      <c r="G14" s="24"/>
      <c r="H14" s="24"/>
    </row>
    <row r="15" spans="1:8" x14ac:dyDescent="0.25">
      <c r="A15" s="11" t="s">
        <v>85</v>
      </c>
      <c r="B15" s="11">
        <f>300*4</f>
        <v>1200</v>
      </c>
      <c r="C15" s="24" t="s">
        <v>112</v>
      </c>
      <c r="D15" s="24"/>
      <c r="E15" s="24"/>
      <c r="F15" s="24"/>
      <c r="G15" s="24"/>
      <c r="H15" s="24"/>
    </row>
    <row r="16" spans="1:8" x14ac:dyDescent="0.25">
      <c r="A16" s="11" t="s">
        <v>85</v>
      </c>
      <c r="B16" s="11">
        <v>150</v>
      </c>
      <c r="C16" s="21" t="s">
        <v>113</v>
      </c>
      <c r="D16" s="24"/>
      <c r="E16" s="24"/>
      <c r="F16" s="24"/>
      <c r="G16" s="24"/>
      <c r="H16" s="24"/>
    </row>
    <row r="17" spans="1:6" x14ac:dyDescent="0.25">
      <c r="A17" s="11" t="s">
        <v>83</v>
      </c>
      <c r="B17" s="11">
        <v>0.2</v>
      </c>
      <c r="C17" s="11" t="s">
        <v>114</v>
      </c>
    </row>
    <row r="18" spans="1:6" x14ac:dyDescent="0.25">
      <c r="A18" s="11" t="s">
        <v>19</v>
      </c>
      <c r="B18" s="11">
        <f>0.5*1500</f>
        <v>750</v>
      </c>
      <c r="C18" s="11" t="s">
        <v>115</v>
      </c>
    </row>
    <row r="20" spans="1:6" x14ac:dyDescent="0.25">
      <c r="A20" s="11" t="s">
        <v>20</v>
      </c>
      <c r="B20" s="12">
        <v>0.08</v>
      </c>
    </row>
    <row r="22" spans="1:6" x14ac:dyDescent="0.25">
      <c r="A22" s="13" t="s">
        <v>97</v>
      </c>
    </row>
    <row r="24" spans="1:6" x14ac:dyDescent="0.25">
      <c r="B24" s="11">
        <v>0</v>
      </c>
      <c r="C24" s="11">
        <v>1</v>
      </c>
      <c r="D24" s="11">
        <v>2</v>
      </c>
      <c r="E24" s="11">
        <v>3</v>
      </c>
      <c r="F24" s="11" t="s">
        <v>103</v>
      </c>
    </row>
    <row r="25" spans="1:6" x14ac:dyDescent="0.25">
      <c r="A25" s="11" t="s">
        <v>0</v>
      </c>
      <c r="B25" s="26">
        <f>$B$11+$B$12+$B$14</f>
        <v>2650</v>
      </c>
      <c r="C25" s="27">
        <f>$B$13</f>
        <v>160.80000000000001</v>
      </c>
      <c r="D25" s="27">
        <f>$B$13</f>
        <v>160.80000000000001</v>
      </c>
      <c r="E25" s="28">
        <f>$B$13</f>
        <v>160.80000000000001</v>
      </c>
      <c r="F25" s="25">
        <f>SUM(B25:E25)</f>
        <v>3132.4000000000005</v>
      </c>
    </row>
    <row r="26" spans="1:6" x14ac:dyDescent="0.25">
      <c r="A26" s="11" t="s">
        <v>1</v>
      </c>
      <c r="B26" s="29">
        <f>$B$11+$B$14</f>
        <v>1650</v>
      </c>
      <c r="C26" s="30">
        <v>0</v>
      </c>
      <c r="D26" s="30">
        <v>0</v>
      </c>
      <c r="E26" s="32">
        <v>0</v>
      </c>
      <c r="F26" s="25">
        <f>SUM(B26:E26)</f>
        <v>1650</v>
      </c>
    </row>
    <row r="27" spans="1:6" x14ac:dyDescent="0.25">
      <c r="A27" s="11" t="s">
        <v>21</v>
      </c>
      <c r="B27" s="31">
        <f>B25/(1+$B$20)^B$24</f>
        <v>2650</v>
      </c>
      <c r="C27" s="31">
        <f>C25/(1+$B$20)^C$24</f>
        <v>148.88888888888889</v>
      </c>
      <c r="D27" s="31">
        <f t="shared" ref="D27:E27" si="0">D25/(1+$B$20)^D$24</f>
        <v>137.86008230452674</v>
      </c>
      <c r="E27" s="31">
        <f t="shared" si="0"/>
        <v>127.64822435604327</v>
      </c>
      <c r="F27" s="33">
        <f>SUM(B27:E27)</f>
        <v>3064.3971955494585</v>
      </c>
    </row>
    <row r="30" spans="1:6" x14ac:dyDescent="0.25">
      <c r="A30" s="13" t="s">
        <v>102</v>
      </c>
    </row>
    <row r="32" spans="1:6" x14ac:dyDescent="0.25">
      <c r="A32" s="11" t="s">
        <v>93</v>
      </c>
    </row>
    <row r="34" spans="1:13" x14ac:dyDescent="0.25">
      <c r="B34" s="11">
        <v>0</v>
      </c>
      <c r="C34" s="11">
        <v>1</v>
      </c>
      <c r="D34" s="11">
        <v>2</v>
      </c>
      <c r="E34" s="11">
        <v>3</v>
      </c>
      <c r="I34" s="11">
        <v>0</v>
      </c>
      <c r="J34" s="11">
        <v>1</v>
      </c>
      <c r="K34" s="11">
        <v>2</v>
      </c>
      <c r="L34" s="11">
        <v>3</v>
      </c>
    </row>
    <row r="35" spans="1:13" x14ac:dyDescent="0.25">
      <c r="A35" s="11" t="s">
        <v>22</v>
      </c>
      <c r="B35" s="26">
        <f>-$B$11-$B$12-$B$14</f>
        <v>-2650</v>
      </c>
      <c r="C35" s="15">
        <f>-$B$13</f>
        <v>-160.80000000000001</v>
      </c>
      <c r="D35" s="15">
        <f>-$B$13</f>
        <v>-160.80000000000001</v>
      </c>
      <c r="E35" s="16">
        <f>-$B$13</f>
        <v>-160.80000000000001</v>
      </c>
      <c r="H35" s="11" t="s">
        <v>23</v>
      </c>
      <c r="I35" s="26">
        <f>-$B$11+-$B$14</f>
        <v>-1650</v>
      </c>
      <c r="J35" s="15">
        <v>0</v>
      </c>
      <c r="K35" s="15">
        <v>0</v>
      </c>
      <c r="L35" s="16">
        <v>0</v>
      </c>
    </row>
    <row r="36" spans="1:13" x14ac:dyDescent="0.25">
      <c r="A36" s="11" t="s">
        <v>24</v>
      </c>
      <c r="B36" s="17">
        <v>0</v>
      </c>
      <c r="C36" s="31">
        <f>$B$15+$B$17*500+$B$18</f>
        <v>2050</v>
      </c>
      <c r="D36" s="31">
        <f>$B$15+$B$17*500</f>
        <v>1300</v>
      </c>
      <c r="E36" s="18">
        <f>$B$15+$B$17*500</f>
        <v>1300</v>
      </c>
      <c r="H36" s="11" t="s">
        <v>25</v>
      </c>
      <c r="I36" s="17">
        <v>0</v>
      </c>
      <c r="J36" s="31">
        <f>$B$17*2000+$B$18</f>
        <v>1150</v>
      </c>
      <c r="K36" s="31">
        <f>$B$17*2000</f>
        <v>400</v>
      </c>
      <c r="L36" s="18">
        <f>$B$17*2000</f>
        <v>400</v>
      </c>
    </row>
    <row r="37" spans="1:13" x14ac:dyDescent="0.25">
      <c r="A37" s="11" t="s">
        <v>26</v>
      </c>
      <c r="B37" s="17">
        <f>SUM(B35:B36)</f>
        <v>-2650</v>
      </c>
      <c r="C37" s="31">
        <f t="shared" ref="C37:E37" si="1">SUM(C35:C36)</f>
        <v>1889.2</v>
      </c>
      <c r="D37" s="31">
        <f t="shared" si="1"/>
        <v>1139.2</v>
      </c>
      <c r="E37" s="18">
        <f t="shared" si="1"/>
        <v>1139.2</v>
      </c>
      <c r="F37" s="13" t="s">
        <v>27</v>
      </c>
      <c r="H37" s="11" t="s">
        <v>28</v>
      </c>
      <c r="I37" s="17">
        <f>SUM(I34:I36)</f>
        <v>-1650</v>
      </c>
      <c r="J37" s="31">
        <f t="shared" ref="J37:L37" si="2">SUM(J35:J36)</f>
        <v>1150</v>
      </c>
      <c r="K37" s="31">
        <f t="shared" si="2"/>
        <v>400</v>
      </c>
      <c r="L37" s="18">
        <f t="shared" si="2"/>
        <v>400</v>
      </c>
      <c r="M37" s="13" t="s">
        <v>27</v>
      </c>
    </row>
    <row r="38" spans="1:13" x14ac:dyDescent="0.25">
      <c r="A38" s="11" t="s">
        <v>21</v>
      </c>
      <c r="B38" s="29">
        <f>B37/(1+$B$20)^B$34</f>
        <v>-2650</v>
      </c>
      <c r="C38" s="30">
        <f>C37/(1+$B$20)^C$34</f>
        <v>1749.2592592592591</v>
      </c>
      <c r="D38" s="30">
        <f>D37/(1+$B$20)^D$34</f>
        <v>976.68038408779148</v>
      </c>
      <c r="E38" s="32">
        <f>E37/(1+$B$20)^E$34</f>
        <v>904.33368897017726</v>
      </c>
      <c r="F38" s="25">
        <f>SUM(B38:E38)</f>
        <v>980.27333231722787</v>
      </c>
      <c r="H38" s="11" t="s">
        <v>29</v>
      </c>
      <c r="I38" s="29">
        <f>I37/(1+$B$20)^I$34</f>
        <v>-1650</v>
      </c>
      <c r="J38" s="30">
        <f>J37/(1+$B$20)^J$34</f>
        <v>1064.8148148148148</v>
      </c>
      <c r="K38" s="30">
        <f>K37/(1+$B$20)^K$34</f>
        <v>342.93552812071329</v>
      </c>
      <c r="L38" s="32">
        <f>L37/(1+$B$20)^L$34</f>
        <v>317.53289640806781</v>
      </c>
      <c r="M38" s="25">
        <f>SUM(I38:L38)</f>
        <v>75.283239343595881</v>
      </c>
    </row>
    <row r="39" spans="1:13" x14ac:dyDescent="0.25">
      <c r="E39" s="13" t="s">
        <v>30</v>
      </c>
      <c r="F39" s="14">
        <f>-(F38/B38)</f>
        <v>0.36991446502536901</v>
      </c>
      <c r="L39" s="13" t="s">
        <v>30</v>
      </c>
      <c r="M39" s="14">
        <f>-(M38/I38)</f>
        <v>4.5626205662785385E-2</v>
      </c>
    </row>
    <row r="40" spans="1:13" x14ac:dyDescent="0.25">
      <c r="E40" s="13" t="s">
        <v>31</v>
      </c>
      <c r="F40" s="14">
        <f>SUM(C37:E37)/-B37</f>
        <v>1.5726792452830189</v>
      </c>
      <c r="L40" s="13" t="s">
        <v>31</v>
      </c>
      <c r="M40" s="14">
        <f>SUM(J37:L37)/-I37</f>
        <v>1.1818181818181819</v>
      </c>
    </row>
    <row r="42" spans="1:13" x14ac:dyDescent="0.25">
      <c r="A42" s="11" t="s">
        <v>94</v>
      </c>
    </row>
    <row r="44" spans="1:13" x14ac:dyDescent="0.25">
      <c r="B44" s="11">
        <v>0</v>
      </c>
      <c r="C44" s="11">
        <v>1</v>
      </c>
      <c r="D44" s="11">
        <v>2</v>
      </c>
      <c r="E44" s="11">
        <v>3</v>
      </c>
      <c r="I44" s="11">
        <v>0</v>
      </c>
      <c r="J44" s="11">
        <v>1</v>
      </c>
      <c r="K44" s="11">
        <v>2</v>
      </c>
      <c r="L44" s="11">
        <v>3</v>
      </c>
    </row>
    <row r="45" spans="1:13" x14ac:dyDescent="0.25">
      <c r="A45" s="11" t="s">
        <v>32</v>
      </c>
      <c r="B45" s="26">
        <f>B37</f>
        <v>-2650</v>
      </c>
      <c r="C45" s="27">
        <f t="shared" ref="C45:E45" si="3">C37</f>
        <v>1889.2</v>
      </c>
      <c r="D45" s="27">
        <f t="shared" si="3"/>
        <v>1139.2</v>
      </c>
      <c r="E45" s="28">
        <f t="shared" si="3"/>
        <v>1139.2</v>
      </c>
      <c r="H45" s="11" t="s">
        <v>33</v>
      </c>
      <c r="I45" s="26">
        <f>I37</f>
        <v>-1650</v>
      </c>
      <c r="J45" s="27">
        <f t="shared" ref="J45:L45" si="4">J37</f>
        <v>1150</v>
      </c>
      <c r="K45" s="27">
        <f t="shared" si="4"/>
        <v>400</v>
      </c>
      <c r="L45" s="28">
        <f t="shared" si="4"/>
        <v>400</v>
      </c>
    </row>
    <row r="46" spans="1:13" x14ac:dyDescent="0.25">
      <c r="A46" s="11" t="s">
        <v>34</v>
      </c>
      <c r="B46" s="17">
        <v>0</v>
      </c>
      <c r="C46" s="31">
        <f>-$B$16</f>
        <v>-150</v>
      </c>
      <c r="D46" s="31">
        <f>-$B$16</f>
        <v>-150</v>
      </c>
      <c r="E46" s="18">
        <f>-$B$16</f>
        <v>-150</v>
      </c>
      <c r="H46" s="11" t="s">
        <v>35</v>
      </c>
      <c r="I46" s="17">
        <v>0</v>
      </c>
      <c r="J46" s="31">
        <v>0</v>
      </c>
      <c r="K46" s="31">
        <v>0</v>
      </c>
      <c r="L46" s="18">
        <v>0</v>
      </c>
    </row>
    <row r="47" spans="1:13" x14ac:dyDescent="0.25">
      <c r="A47" s="11" t="s">
        <v>36</v>
      </c>
      <c r="B47" s="17">
        <v>0</v>
      </c>
      <c r="C47" s="31">
        <f>$B$13-12.75*2*4</f>
        <v>58.800000000000011</v>
      </c>
      <c r="D47" s="31">
        <f>$B$13-12.75*2*4</f>
        <v>58.800000000000011</v>
      </c>
      <c r="E47" s="18">
        <f>$B$13-12.75*2*4</f>
        <v>58.800000000000011</v>
      </c>
      <c r="F47" s="13"/>
      <c r="H47" s="11" t="s">
        <v>37</v>
      </c>
      <c r="I47" s="17">
        <v>0</v>
      </c>
      <c r="J47" s="31">
        <v>0</v>
      </c>
      <c r="K47" s="31">
        <v>0</v>
      </c>
      <c r="L47" s="18">
        <v>0</v>
      </c>
      <c r="M47" s="13"/>
    </row>
    <row r="48" spans="1:13" x14ac:dyDescent="0.25">
      <c r="A48" s="11" t="s">
        <v>38</v>
      </c>
      <c r="B48" s="17">
        <f>SUM(B44:B47)</f>
        <v>-2650</v>
      </c>
      <c r="C48" s="31">
        <f t="shared" ref="C48:D48" si="5">SUM(C45:C47)</f>
        <v>1798</v>
      </c>
      <c r="D48" s="31">
        <f t="shared" si="5"/>
        <v>1048</v>
      </c>
      <c r="E48" s="18">
        <f>SUM(E45:E47)</f>
        <v>1048</v>
      </c>
      <c r="F48" s="13" t="s">
        <v>27</v>
      </c>
      <c r="H48" s="11" t="s">
        <v>39</v>
      </c>
      <c r="I48" s="17">
        <f>SUM(I45:I47)</f>
        <v>-1650</v>
      </c>
      <c r="J48" s="31">
        <f t="shared" ref="J48:L48" si="6">SUM(J45:J47)</f>
        <v>1150</v>
      </c>
      <c r="K48" s="31">
        <f t="shared" si="6"/>
        <v>400</v>
      </c>
      <c r="L48" s="18">
        <f t="shared" si="6"/>
        <v>400</v>
      </c>
      <c r="M48" s="13" t="s">
        <v>27</v>
      </c>
    </row>
    <row r="49" spans="1:13" x14ac:dyDescent="0.25">
      <c r="A49" s="11" t="s">
        <v>40</v>
      </c>
      <c r="B49" s="29">
        <f>B48/(1+$B$20)^B$44</f>
        <v>-2650</v>
      </c>
      <c r="C49" s="30">
        <f>C48/(1+$B$20)^C$44</f>
        <v>1664.8148148148148</v>
      </c>
      <c r="D49" s="30">
        <f>D48/(1+$B$20)^D$44</f>
        <v>898.49108367626877</v>
      </c>
      <c r="E49" s="32">
        <f>E48/(1+$B$20)^E$44</f>
        <v>831.93618858913771</v>
      </c>
      <c r="F49" s="25">
        <f>SUM(B49:E49)</f>
        <v>745.24208708022127</v>
      </c>
      <c r="H49" s="11" t="s">
        <v>41</v>
      </c>
      <c r="I49" s="29">
        <f>I48/(1+$B$20)^I$44</f>
        <v>-1650</v>
      </c>
      <c r="J49" s="30">
        <f>J48/(1+$B$20)^J$44</f>
        <v>1064.8148148148148</v>
      </c>
      <c r="K49" s="30">
        <f>K48/(1+$B$20)^K$44</f>
        <v>342.93552812071329</v>
      </c>
      <c r="L49" s="32">
        <f>L48/(1+$B$20)^L$44</f>
        <v>317.53289640806781</v>
      </c>
      <c r="M49" s="25">
        <f>SUM(I49:L49)</f>
        <v>75.283239343595881</v>
      </c>
    </row>
    <row r="50" spans="1:13" x14ac:dyDescent="0.25">
      <c r="E50" s="13" t="s">
        <v>30</v>
      </c>
      <c r="F50" s="14">
        <f>-(F49/B49)</f>
        <v>0.28122342908687598</v>
      </c>
      <c r="L50" s="13" t="s">
        <v>30</v>
      </c>
      <c r="M50" s="14">
        <f>-(M49/I49)</f>
        <v>4.5626205662785385E-2</v>
      </c>
    </row>
    <row r="51" spans="1:13" x14ac:dyDescent="0.25">
      <c r="E51" s="13" t="s">
        <v>31</v>
      </c>
      <c r="F51" s="14">
        <f>SUM(C48:E48)/-B48</f>
        <v>1.469433962264151</v>
      </c>
      <c r="L51" s="13" t="s">
        <v>31</v>
      </c>
      <c r="M51" s="14">
        <f>SUM(J48:L48)/-I48</f>
        <v>1.1818181818181819</v>
      </c>
    </row>
    <row r="53" spans="1:13" x14ac:dyDescent="0.25">
      <c r="A53" s="13" t="s">
        <v>98</v>
      </c>
    </row>
    <row r="54" spans="1:13" x14ac:dyDescent="0.25">
      <c r="B54" s="13" t="s">
        <v>99</v>
      </c>
    </row>
    <row r="56" spans="1:13" x14ac:dyDescent="0.25">
      <c r="A56" s="11" t="s">
        <v>100</v>
      </c>
      <c r="B56" s="11" t="s">
        <v>42</v>
      </c>
      <c r="C56" s="11" t="s">
        <v>43</v>
      </c>
      <c r="D56" s="11" t="s">
        <v>17</v>
      </c>
      <c r="F56" s="11" t="s">
        <v>100</v>
      </c>
      <c r="G56" s="11" t="s">
        <v>42</v>
      </c>
      <c r="H56" s="11" t="s">
        <v>43</v>
      </c>
      <c r="I56" s="11" t="s">
        <v>17</v>
      </c>
    </row>
    <row r="57" spans="1:13" x14ac:dyDescent="0.25">
      <c r="A57" s="11" t="s">
        <v>44</v>
      </c>
      <c r="B57" s="26">
        <f>F25</f>
        <v>3132.4000000000005</v>
      </c>
      <c r="C57" s="28">
        <v>88</v>
      </c>
      <c r="D57" s="22">
        <f>B57/C57</f>
        <v>35.595454545454551</v>
      </c>
      <c r="E57" s="31"/>
      <c r="F57" s="31" t="s">
        <v>45</v>
      </c>
      <c r="G57" s="26">
        <f>F26</f>
        <v>1650</v>
      </c>
      <c r="H57" s="28">
        <v>47</v>
      </c>
      <c r="I57" s="23">
        <f>G57/H57</f>
        <v>35.106382978723403</v>
      </c>
    </row>
    <row r="58" spans="1:13" x14ac:dyDescent="0.25">
      <c r="A58" s="11" t="s">
        <v>21</v>
      </c>
      <c r="B58" s="29">
        <f>F27</f>
        <v>3064.3971955494585</v>
      </c>
      <c r="C58" s="32">
        <v>88</v>
      </c>
      <c r="D58" s="23">
        <f>B58/C58</f>
        <v>34.822695403971117</v>
      </c>
      <c r="E58" s="31"/>
      <c r="F58" s="31" t="s">
        <v>29</v>
      </c>
      <c r="G58" s="29">
        <f>F26</f>
        <v>1650</v>
      </c>
      <c r="H58" s="32">
        <v>47</v>
      </c>
      <c r="I58" s="22">
        <f>G58/H58</f>
        <v>35.106382978723403</v>
      </c>
    </row>
    <row r="60" spans="1:13" x14ac:dyDescent="0.25">
      <c r="A60" s="11" t="s">
        <v>101</v>
      </c>
      <c r="B60" s="11" t="s">
        <v>42</v>
      </c>
      <c r="C60" s="11" t="s">
        <v>43</v>
      </c>
      <c r="D60" s="11" t="s">
        <v>17</v>
      </c>
      <c r="F60" s="11" t="s">
        <v>101</v>
      </c>
      <c r="G60" s="11" t="s">
        <v>42</v>
      </c>
      <c r="H60" s="11" t="s">
        <v>43</v>
      </c>
      <c r="I60" s="11" t="s">
        <v>17</v>
      </c>
    </row>
    <row r="61" spans="1:13" x14ac:dyDescent="0.25">
      <c r="A61" s="11" t="s">
        <v>44</v>
      </c>
      <c r="B61" s="26">
        <f>F25</f>
        <v>3132.4000000000005</v>
      </c>
      <c r="C61" s="28">
        <v>500</v>
      </c>
      <c r="D61" s="22">
        <f>B61/C61</f>
        <v>6.264800000000001</v>
      </c>
      <c r="E61" s="31"/>
      <c r="F61" s="31" t="s">
        <v>45</v>
      </c>
      <c r="G61" s="26">
        <f>F26</f>
        <v>1650</v>
      </c>
      <c r="H61" s="28">
        <v>2000</v>
      </c>
      <c r="I61" s="23">
        <f>G61/H61</f>
        <v>0.82499999999999996</v>
      </c>
    </row>
    <row r="62" spans="1:13" x14ac:dyDescent="0.25">
      <c r="A62" s="11" t="s">
        <v>21</v>
      </c>
      <c r="B62" s="29">
        <f>F27</f>
        <v>3064.3971955494585</v>
      </c>
      <c r="C62" s="32">
        <v>500</v>
      </c>
      <c r="D62" s="22">
        <f>B62/C62</f>
        <v>6.1287943910989169</v>
      </c>
      <c r="E62" s="31"/>
      <c r="F62" s="31" t="s">
        <v>29</v>
      </c>
      <c r="G62" s="29">
        <f>F26</f>
        <v>1650</v>
      </c>
      <c r="H62" s="32">
        <v>2000</v>
      </c>
      <c r="I62" s="23">
        <f>G62/H62</f>
        <v>0.82499999999999996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example cba</vt:lpstr>
      <vt:lpstr>cma cea cua</vt:lpstr>
      <vt:lpstr>cba1</vt:lpstr>
      <vt:lpstr>cba2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2015-03-13T11:13:05Z</dcterms:created>
  <dcterms:modified xsi:type="dcterms:W3CDTF">2018-04-12T09:26:37Z</dcterms:modified>
</cp:coreProperties>
</file>