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730" windowHeight="11730" activeTab="3"/>
  </bookViews>
  <sheets>
    <sheet name="Sheet1 - Pricing" sheetId="1" r:id="rId1"/>
    <sheet name="Sheet2 - yield" sheetId="3" r:id="rId2"/>
    <sheet name="Sheet3-Elasticity" sheetId="4" r:id="rId3"/>
    <sheet name="Sheet4-Dur + Convex" sheetId="5" r:id="rId4"/>
  </sheets>
  <calcPr calcId="145621"/>
</workbook>
</file>

<file path=xl/calcChain.xml><?xml version="1.0" encoding="utf-8"?>
<calcChain xmlns="http://schemas.openxmlformats.org/spreadsheetml/2006/main">
  <c r="T13" i="5" l="1"/>
  <c r="T10" i="5"/>
  <c r="S12" i="5"/>
  <c r="S11" i="5"/>
  <c r="S22" i="5"/>
  <c r="S21" i="5"/>
  <c r="R22" i="5"/>
  <c r="R21" i="5"/>
  <c r="J16" i="5"/>
  <c r="L22" i="5" s="1"/>
  <c r="O21" i="5"/>
  <c r="O22" i="5"/>
  <c r="L21" i="5" l="1"/>
  <c r="Q19" i="4"/>
  <c r="S19" i="4" s="1"/>
  <c r="R19" i="4"/>
  <c r="S16" i="4"/>
  <c r="R4" i="4" l="1"/>
  <c r="R5" i="4"/>
  <c r="R6" i="4"/>
  <c r="R7" i="4"/>
  <c r="R8" i="4"/>
  <c r="R9" i="4"/>
  <c r="R10" i="4"/>
  <c r="R11" i="4"/>
  <c r="R12" i="4"/>
  <c r="R13" i="4"/>
  <c r="R14" i="4"/>
  <c r="R15" i="4"/>
  <c r="R16" i="4"/>
  <c r="R3" i="4"/>
  <c r="B38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B37" i="1"/>
  <c r="E30" i="1"/>
  <c r="B32" i="1"/>
  <c r="B31" i="1"/>
  <c r="A45" i="1"/>
  <c r="C45" i="1"/>
  <c r="N15" i="5" l="1"/>
  <c r="C55" i="1" l="1"/>
  <c r="A55" i="1"/>
  <c r="C52" i="1"/>
  <c r="A52" i="1"/>
  <c r="N3" i="5"/>
  <c r="N4" i="5"/>
  <c r="N5" i="5"/>
  <c r="N6" i="5"/>
  <c r="N7" i="5"/>
  <c r="N8" i="5"/>
  <c r="N9" i="5"/>
  <c r="N10" i="5"/>
  <c r="N11" i="5"/>
  <c r="N12" i="5"/>
  <c r="N2" i="5"/>
  <c r="J13" i="5"/>
  <c r="L6" i="5"/>
  <c r="K3" i="5"/>
  <c r="K4" i="5"/>
  <c r="O4" i="5" s="1"/>
  <c r="K5" i="5"/>
  <c r="L5" i="5" s="1"/>
  <c r="K6" i="5"/>
  <c r="K7" i="5"/>
  <c r="K8" i="5"/>
  <c r="O8" i="5" s="1"/>
  <c r="K9" i="5"/>
  <c r="L9" i="5" s="1"/>
  <c r="K10" i="5"/>
  <c r="L10" i="5" s="1"/>
  <c r="K11" i="5"/>
  <c r="K12" i="5"/>
  <c r="L12" i="5" s="1"/>
  <c r="K2" i="5"/>
  <c r="E2" i="5"/>
  <c r="Q34" i="4"/>
  <c r="Q30" i="4"/>
  <c r="Q3" i="4"/>
  <c r="S3" i="4" s="1"/>
  <c r="Q4" i="4"/>
  <c r="S4" i="4" s="1"/>
  <c r="Q5" i="4"/>
  <c r="S5" i="4" s="1"/>
  <c r="Q6" i="4"/>
  <c r="S6" i="4" s="1"/>
  <c r="Q7" i="4"/>
  <c r="S7" i="4" s="1"/>
  <c r="Q8" i="4"/>
  <c r="S8" i="4" s="1"/>
  <c r="Q9" i="4"/>
  <c r="S9" i="4" s="1"/>
  <c r="Q10" i="4"/>
  <c r="S10" i="4" s="1"/>
  <c r="Q11" i="4"/>
  <c r="S11" i="4" s="1"/>
  <c r="Q12" i="4"/>
  <c r="S12" i="4" s="1"/>
  <c r="Q13" i="4"/>
  <c r="S13" i="4" s="1"/>
  <c r="Q14" i="4"/>
  <c r="S14" i="4" s="1"/>
  <c r="Q15" i="4"/>
  <c r="S15" i="4" s="1"/>
  <c r="Q16" i="4"/>
  <c r="L12" i="4"/>
  <c r="K12" i="4"/>
  <c r="J12" i="4"/>
  <c r="I12" i="4"/>
  <c r="H12" i="4"/>
  <c r="G12" i="4"/>
  <c r="F12" i="4"/>
  <c r="E12" i="4"/>
  <c r="D12" i="4"/>
  <c r="C12" i="4"/>
  <c r="B12" i="4"/>
  <c r="E3" i="4"/>
  <c r="B48" i="3"/>
  <c r="B37" i="3"/>
  <c r="E23" i="3"/>
  <c r="O12" i="5" l="1"/>
  <c r="O11" i="5"/>
  <c r="O7" i="5"/>
  <c r="O3" i="5"/>
  <c r="O6" i="5"/>
  <c r="L8" i="5"/>
  <c r="L4" i="5"/>
  <c r="O10" i="5"/>
  <c r="K13" i="5"/>
  <c r="L11" i="5"/>
  <c r="L7" i="5"/>
  <c r="L3" i="5"/>
  <c r="O9" i="5"/>
  <c r="O5" i="5"/>
  <c r="O2" i="5"/>
  <c r="L2" i="5"/>
  <c r="L13" i="5" s="1"/>
  <c r="B13" i="4"/>
  <c r="J15" i="5" l="1"/>
  <c r="O13" i="5"/>
  <c r="N16" i="5" l="1"/>
  <c r="N17" i="5" s="1"/>
  <c r="J18" i="5"/>
  <c r="C46" i="1"/>
  <c r="A47" i="1"/>
  <c r="A48" i="1" s="1"/>
  <c r="A49" i="1" s="1"/>
  <c r="A46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B25" i="1"/>
  <c r="D49" i="1" s="1"/>
  <c r="L11" i="1"/>
  <c r="C11" i="1"/>
  <c r="D11" i="1"/>
  <c r="E11" i="1"/>
  <c r="F11" i="1"/>
  <c r="G11" i="1"/>
  <c r="H11" i="1"/>
  <c r="I11" i="1"/>
  <c r="J11" i="1"/>
  <c r="K11" i="1"/>
  <c r="B11" i="1"/>
  <c r="B49" i="1" s="1"/>
  <c r="E2" i="1"/>
  <c r="B26" i="1" l="1"/>
  <c r="B12" i="1"/>
  <c r="C47" i="1"/>
  <c r="C48" i="1" s="1"/>
  <c r="C49" i="1" s="1"/>
</calcChain>
</file>

<file path=xl/sharedStrings.xml><?xml version="1.0" encoding="utf-8"?>
<sst xmlns="http://schemas.openxmlformats.org/spreadsheetml/2006/main" count="144" uniqueCount="79">
  <si>
    <t>FV</t>
  </si>
  <si>
    <t>c</t>
  </si>
  <si>
    <t>n</t>
  </si>
  <si>
    <t>annualy</t>
  </si>
  <si>
    <t>CF</t>
  </si>
  <si>
    <t>coupon</t>
  </si>
  <si>
    <t>PV CF</t>
  </si>
  <si>
    <t>P</t>
  </si>
  <si>
    <t>semi annualy</t>
  </si>
  <si>
    <t>A</t>
  </si>
  <si>
    <t>B</t>
  </si>
  <si>
    <t>Data</t>
  </si>
  <si>
    <t>Description</t>
  </si>
  <si>
    <t>February 15, 2008</t>
  </si>
  <si>
    <t>Settlement date</t>
  </si>
  <si>
    <t>November 15, 2016</t>
  </si>
  <si>
    <t>Maturity date</t>
  </si>
  <si>
    <t>5.75%</t>
  </si>
  <si>
    <t>Percent coupon</t>
  </si>
  <si>
    <t>95.04287</t>
  </si>
  <si>
    <t>Price</t>
  </si>
  <si>
    <t>$100</t>
  </si>
  <si>
    <t>Redemption value</t>
  </si>
  <si>
    <t>Frequency is semiannual (see above)</t>
  </si>
  <si>
    <t>30/360 basis (see above)</t>
  </si>
  <si>
    <t>Day count basis</t>
  </si>
  <si>
    <t>0 or omitted</t>
  </si>
  <si>
    <t>Actual/actual</t>
  </si>
  <si>
    <t>Actual/360</t>
  </si>
  <si>
    <t>Actual/365</t>
  </si>
  <si>
    <t>European 30/360</t>
  </si>
  <si>
    <t>US 30/360</t>
  </si>
  <si>
    <t>Required. The security's settlement date. The security settlement date is the date after the issue date when the security is traded to the buyer.</t>
  </si>
  <si>
    <t>Required. The security's maturity date. The maturity date is the date when the security expires</t>
  </si>
  <si>
    <t>Required. The security's annual coupon rate.</t>
  </si>
  <si>
    <t> Required. The security's price per $100 face value.</t>
  </si>
  <si>
    <t> Required. The security's redemption value per $100 face value.</t>
  </si>
  <si>
    <t>Required. The number of coupon payments per year. For annual payments, frequency = 1; for semiannual, frequency = 2; for quarterly, frequency = 4.</t>
  </si>
  <si>
    <t> Optional. The type of day count basis to use.</t>
  </si>
  <si>
    <t>Frequency is annual (see above)</t>
  </si>
  <si>
    <t>t * PV CF</t>
  </si>
  <si>
    <t>in years</t>
  </si>
  <si>
    <t>in percent</t>
  </si>
  <si>
    <t>period = t</t>
  </si>
  <si>
    <t>convexity</t>
  </si>
  <si>
    <t>y</t>
  </si>
  <si>
    <t>200 basis points</t>
  </si>
  <si>
    <t>0,1+/-0,02</t>
  </si>
  <si>
    <t xml:space="preserve">100 basis points +/- </t>
  </si>
  <si>
    <t>0,1+/-0,01</t>
  </si>
  <si>
    <t>effect of convexity</t>
  </si>
  <si>
    <t>coupon rate</t>
  </si>
  <si>
    <t>yield y</t>
  </si>
  <si>
    <t>number of period n</t>
  </si>
  <si>
    <t>Price P</t>
  </si>
  <si>
    <t>SUM of the Geomertic sequence for example1</t>
  </si>
  <si>
    <t>SUM of the Geometric sequence for example 2</t>
  </si>
  <si>
    <t>plus</t>
  </si>
  <si>
    <t>Basis</t>
  </si>
  <si>
    <t>YIELD</t>
  </si>
  <si>
    <t>yield</t>
  </si>
  <si>
    <t>semiannualy</t>
  </si>
  <si>
    <t>PV CF y = 0,1</t>
  </si>
  <si>
    <t>DUR</t>
  </si>
  <si>
    <t>mod DUR</t>
  </si>
  <si>
    <t>t^2 +t</t>
  </si>
  <si>
    <t>(t^2 + t)* PV CF</t>
  </si>
  <si>
    <t>Price change</t>
  </si>
  <si>
    <t>Bond price elasticity</t>
  </si>
  <si>
    <t>percentage change in y</t>
  </si>
  <si>
    <t>PV of Face Value 100 in n = 10</t>
  </si>
  <si>
    <t>Sum</t>
  </si>
  <si>
    <t>both effects for delta 1%</t>
  </si>
  <si>
    <t>both effects for delta 2%</t>
  </si>
  <si>
    <t>Alternative Calculation</t>
  </si>
  <si>
    <t>PV of Face Value 100 in n = 20</t>
  </si>
  <si>
    <t>???</t>
  </si>
  <si>
    <t>NA</t>
  </si>
  <si>
    <t>effect of duration+/-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</si>
</sst>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9" tint="0.5999938962981048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5" borderId="0" xfId="0" applyFill="1"/>
    <xf numFmtId="0" fontId="2" fillId="3" borderId="2" xfId="0" applyFont="1" applyFill="1" applyBorder="1"/>
    <xf numFmtId="0" fontId="2" fillId="3" borderId="3" xfId="0" applyFont="1" applyFill="1" applyBorder="1"/>
    <xf numFmtId="0" fontId="0" fillId="6" borderId="0" xfId="0" applyFill="1"/>
    <xf numFmtId="0" fontId="0" fillId="0" borderId="0" xfId="0" applyFont="1" applyBorder="1"/>
    <xf numFmtId="0" fontId="0" fillId="4" borderId="2" xfId="0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7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8" xfId="0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0" xfId="0" applyFont="1" applyFill="1" applyBorder="1"/>
    <xf numFmtId="0" fontId="3" fillId="4" borderId="8" xfId="0" applyFont="1" applyFill="1" applyBorder="1"/>
    <xf numFmtId="0" fontId="3" fillId="4" borderId="9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0" fillId="4" borderId="6" xfId="0" applyFill="1" applyBorder="1"/>
    <xf numFmtId="0" fontId="0" fillId="4" borderId="11" xfId="0" applyFill="1" applyBorder="1"/>
    <xf numFmtId="0" fontId="2" fillId="3" borderId="0" xfId="0" applyFont="1" applyFill="1"/>
    <xf numFmtId="0" fontId="2" fillId="0" borderId="0" xfId="0" applyFont="1" applyFill="1"/>
    <xf numFmtId="0" fontId="2" fillId="4" borderId="0" xfId="0" applyFont="1" applyFill="1" applyBorder="1"/>
    <xf numFmtId="0" fontId="2" fillId="4" borderId="10" xfId="0" applyFont="1" applyFill="1" applyBorder="1"/>
    <xf numFmtId="0" fontId="2" fillId="4" borderId="5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0" xfId="0" applyFont="1" applyFill="1" applyBorder="1"/>
    <xf numFmtId="0" fontId="2" fillId="3" borderId="10" xfId="0" applyFont="1" applyFill="1" applyBorder="1"/>
    <xf numFmtId="0" fontId="2" fillId="3" borderId="6" xfId="0" applyFont="1" applyFill="1" applyBorder="1"/>
    <xf numFmtId="0" fontId="2" fillId="3" borderId="8" xfId="0" applyFont="1" applyFill="1" applyBorder="1"/>
    <xf numFmtId="0" fontId="2" fillId="3" borderId="11" xfId="0" applyFont="1" applyFill="1" applyBorder="1"/>
    <xf numFmtId="0" fontId="2" fillId="4" borderId="4" xfId="0" applyFont="1" applyFill="1" applyBorder="1"/>
    <xf numFmtId="0" fontId="2" fillId="4" borderId="6" xfId="0" applyFont="1" applyFill="1" applyBorder="1"/>
    <xf numFmtId="14" fontId="2" fillId="4" borderId="7" xfId="0" applyNumberFormat="1" applyFont="1" applyFill="1" applyBorder="1"/>
    <xf numFmtId="0" fontId="2" fillId="4" borderId="8" xfId="0" applyFont="1" applyFill="1" applyBorder="1"/>
    <xf numFmtId="9" fontId="2" fillId="4" borderId="7" xfId="0" applyNumberFormat="1" applyFont="1" applyFill="1" applyBorder="1"/>
    <xf numFmtId="0" fontId="2" fillId="4" borderId="7" xfId="0" applyFont="1" applyFill="1" applyBorder="1"/>
    <xf numFmtId="0" fontId="2" fillId="4" borderId="9" xfId="0" applyFont="1" applyFill="1" applyBorder="1"/>
    <xf numFmtId="0" fontId="2" fillId="4" borderId="11" xfId="0" applyFont="1" applyFill="1" applyBorder="1"/>
    <xf numFmtId="0" fontId="0" fillId="0" borderId="0" xfId="0" applyFill="1"/>
    <xf numFmtId="0" fontId="2" fillId="0" borderId="15" xfId="0" applyFont="1" applyBorder="1"/>
    <xf numFmtId="0" fontId="2" fillId="0" borderId="0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6" borderId="12" xfId="0" applyFont="1" applyFill="1" applyBorder="1"/>
    <xf numFmtId="0" fontId="2" fillId="6" borderId="13" xfId="0" applyFont="1" applyFill="1" applyBorder="1"/>
    <xf numFmtId="0" fontId="2" fillId="6" borderId="14" xfId="0" applyFont="1" applyFill="1" applyBorder="1"/>
    <xf numFmtId="0" fontId="2" fillId="7" borderId="9" xfId="0" applyFont="1" applyFill="1" applyBorder="1"/>
    <xf numFmtId="0" fontId="2" fillId="7" borderId="11" xfId="0" applyFont="1" applyFill="1" applyBorder="1"/>
    <xf numFmtId="0" fontId="2" fillId="8" borderId="12" xfId="0" applyFont="1" applyFill="1" applyBorder="1"/>
    <xf numFmtId="0" fontId="2" fillId="8" borderId="13" xfId="0" applyFont="1" applyFill="1" applyBorder="1"/>
    <xf numFmtId="0" fontId="2" fillId="8" borderId="14" xfId="0" applyFont="1" applyFill="1" applyBorder="1"/>
    <xf numFmtId="0" fontId="2" fillId="8" borderId="20" xfId="0" applyFont="1" applyFill="1" applyBorder="1"/>
    <xf numFmtId="0" fontId="2" fillId="8" borderId="18" xfId="0" applyFont="1" applyFill="1" applyBorder="1"/>
    <xf numFmtId="0" fontId="2" fillId="8" borderId="21" xfId="0" applyFont="1" applyFill="1" applyBorder="1"/>
    <xf numFmtId="0" fontId="2" fillId="7" borderId="22" xfId="0" applyFont="1" applyFill="1" applyBorder="1"/>
    <xf numFmtId="0" fontId="2" fillId="6" borderId="4" xfId="0" applyFont="1" applyFill="1" applyBorder="1"/>
    <xf numFmtId="0" fontId="2" fillId="6" borderId="6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1" xfId="0" applyFont="1" applyBorder="1"/>
    <xf numFmtId="0" fontId="2" fillId="7" borderId="19" xfId="0" applyFont="1" applyFill="1" applyBorder="1"/>
    <xf numFmtId="0" fontId="2" fillId="6" borderId="5" xfId="0" applyFont="1" applyFill="1" applyBorder="1"/>
    <xf numFmtId="0" fontId="2" fillId="0" borderId="0" xfId="0" applyFont="1"/>
    <xf numFmtId="0" fontId="2" fillId="0" borderId="10" xfId="0" applyFont="1" applyBorder="1"/>
    <xf numFmtId="10" fontId="0" fillId="4" borderId="0" xfId="0" applyNumberFormat="1" applyFill="1" applyBorder="1"/>
    <xf numFmtId="10" fontId="0" fillId="4" borderId="5" xfId="0" applyNumberFormat="1" applyFill="1" applyBorder="1"/>
    <xf numFmtId="0" fontId="0" fillId="0" borderId="5" xfId="0" applyFill="1" applyBorder="1"/>
    <xf numFmtId="0" fontId="0" fillId="0" borderId="6" xfId="0" applyFill="1" applyBorder="1"/>
    <xf numFmtId="10" fontId="0" fillId="4" borderId="10" xfId="0" applyNumberFormat="1" applyFill="1" applyBorder="1"/>
    <xf numFmtId="10" fontId="0" fillId="0" borderId="0" xfId="0" applyNumberFormat="1" applyFill="1" applyBorder="1"/>
    <xf numFmtId="10" fontId="0" fillId="0" borderId="10" xfId="0" applyNumberFormat="1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10" fontId="0" fillId="4" borderId="19" xfId="0" applyNumberFormat="1" applyFill="1" applyBorder="1"/>
    <xf numFmtId="0" fontId="0" fillId="9" borderId="0" xfId="0" applyFill="1"/>
    <xf numFmtId="0" fontId="2" fillId="10" borderId="0" xfId="0" applyFont="1" applyFill="1" applyBorder="1"/>
    <xf numFmtId="0" fontId="0" fillId="10" borderId="0" xfId="0" applyFill="1"/>
    <xf numFmtId="0" fontId="2" fillId="0" borderId="0" xfId="0" applyFont="1" applyFill="1" applyBorder="1"/>
    <xf numFmtId="0" fontId="4" fillId="9" borderId="0" xfId="0" applyFont="1" applyFill="1" applyBorder="1"/>
    <xf numFmtId="0" fontId="4" fillId="9" borderId="0" xfId="0" applyFont="1" applyFill="1"/>
    <xf numFmtId="0" fontId="0" fillId="0" borderId="0" xfId="0" applyBorder="1"/>
    <xf numFmtId="0" fontId="0" fillId="0" borderId="12" xfId="0" applyBorder="1"/>
    <xf numFmtId="0" fontId="0" fillId="0" borderId="14" xfId="0" applyBorder="1"/>
    <xf numFmtId="0" fontId="0" fillId="4" borderId="19" xfId="0" applyFill="1" applyBorder="1"/>
    <xf numFmtId="0" fontId="0" fillId="4" borderId="12" xfId="0" applyFont="1" applyFill="1" applyBorder="1"/>
    <xf numFmtId="0" fontId="0" fillId="4" borderId="14" xfId="0" applyFont="1" applyFill="1" applyBorder="1"/>
    <xf numFmtId="10" fontId="2" fillId="4" borderId="3" xfId="0" applyNumberFormat="1" applyFont="1" applyFill="1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5" fillId="11" borderId="0" xfId="0" applyFont="1" applyFill="1"/>
    <xf numFmtId="0" fontId="2" fillId="6" borderId="25" xfId="0" applyFont="1" applyFill="1" applyBorder="1"/>
    <xf numFmtId="0" fontId="2" fillId="0" borderId="26" xfId="0" applyFont="1" applyBorder="1"/>
    <xf numFmtId="0" fontId="2" fillId="0" borderId="27" xfId="0" applyFont="1" applyBorder="1"/>
    <xf numFmtId="0" fontId="0" fillId="4" borderId="28" xfId="0" applyFill="1" applyBorder="1"/>
    <xf numFmtId="0" fontId="0" fillId="4" borderId="29" xfId="0" applyFill="1" applyBorder="1"/>
    <xf numFmtId="10" fontId="0" fillId="4" borderId="29" xfId="0" applyNumberFormat="1" applyFill="1" applyBorder="1"/>
    <xf numFmtId="10" fontId="0" fillId="0" borderId="29" xfId="0" applyNumberFormat="1" applyFill="1" applyBorder="1"/>
    <xf numFmtId="0" fontId="0" fillId="4" borderId="30" xfId="0" applyFill="1" applyBorder="1"/>
    <xf numFmtId="0" fontId="0" fillId="4" borderId="3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3840769903763"/>
          <c:y val="7.3780158923433536E-2"/>
          <c:w val="0.71373359580052498"/>
          <c:h val="0.83434513984720982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val>
            <c:numRef>
              <c:f>'Sheet3-Elasticity'!$P$2:$P$16</c:f>
              <c:numCache>
                <c:formatCode>General</c:formatCode>
                <c:ptCount val="15"/>
                <c:pt idx="0">
                  <c:v>166.29910000000001</c:v>
                </c:pt>
                <c:pt idx="1">
                  <c:v>153.8955</c:v>
                </c:pt>
                <c:pt idx="2">
                  <c:v>142.65100000000001</c:v>
                </c:pt>
                <c:pt idx="3">
                  <c:v>132.4436</c:v>
                </c:pt>
                <c:pt idx="4">
                  <c:v>123.16520478755443</c:v>
                </c:pt>
                <c:pt idx="5">
                  <c:v>114.72017410282933</c:v>
                </c:pt>
                <c:pt idx="6">
                  <c:v>107.02358154093258</c:v>
                </c:pt>
                <c:pt idx="7">
                  <c:v>99.999999999999972</c:v>
                </c:pt>
                <c:pt idx="8">
                  <c:v>93.582342298840956</c:v>
                </c:pt>
                <c:pt idx="9">
                  <c:v>87.710865788590596</c:v>
                </c:pt>
                <c:pt idx="10">
                  <c:v>82.332303966576319</c:v>
                </c:pt>
                <c:pt idx="11">
                  <c:v>77.399107886356518</c:v>
                </c:pt>
                <c:pt idx="12">
                  <c:v>72.868782620235635</c:v>
                </c:pt>
                <c:pt idx="13">
                  <c:v>68.703306122238473</c:v>
                </c:pt>
                <c:pt idx="14">
                  <c:v>64.868619619020436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48352"/>
        <c:axId val="168054784"/>
      </c:lineChart>
      <c:catAx>
        <c:axId val="167748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68054784"/>
        <c:crosses val="autoZero"/>
        <c:auto val="1"/>
        <c:lblAlgn val="ctr"/>
        <c:lblOffset val="100"/>
        <c:noMultiLvlLbl val="0"/>
      </c:catAx>
      <c:valAx>
        <c:axId val="168054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748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485774</xdr:colOff>
      <xdr:row>48</xdr:row>
      <xdr:rowOff>38100</xdr:rowOff>
    </xdr:from>
    <xdr:ext cx="1933575" cy="6121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ovéPole 1"/>
            <xdr:cNvSpPr txBox="1"/>
          </xdr:nvSpPr>
          <xdr:spPr>
            <a:xfrm>
              <a:off x="4676774" y="6391275"/>
              <a:ext cx="1933575" cy="6121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𝐺𝑒𝑚𝑒𝑡𝑟𝑖𝑐</m:t>
                    </m:r>
                    <m:r>
                      <a:rPr lang="en-US" sz="1100" b="0" i="1">
                        <a:latin typeface="Cambria Math"/>
                      </a:rPr>
                      <m:t> </m:t>
                    </m:r>
                    <m:r>
                      <a:rPr lang="en-US" sz="1100" b="0" i="1">
                        <a:latin typeface="Cambria Math"/>
                      </a:rPr>
                      <m:t>𝑠𝑒𝑞𝑢𝑒𝑛𝑐𝑒</m:t>
                    </m:r>
                    <m:r>
                      <a:rPr lang="en-US" sz="1100" b="0" i="1">
                        <a:latin typeface="Cambria Math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𝑎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1</m:t>
                        </m:r>
                      </m:sub>
                    </m:sSub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𝑞</m:t>
                            </m:r>
                          </m:e>
                          <m:sup>
                            <m:r>
                              <a:rPr lang="en-US" sz="1100" b="0" i="1">
                                <a:latin typeface="Cambria Math"/>
                              </a:rPr>
                              <m:t>𝑛</m:t>
                            </m:r>
                          </m:sup>
                        </m:sSup>
                        <m:r>
                          <a:rPr lang="en-US" sz="1100" b="0" i="1">
                            <a:latin typeface="Cambria Math"/>
                          </a:rPr>
                          <m:t>−1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𝑞</m:t>
                        </m:r>
                        <m:r>
                          <a:rPr lang="en-US" sz="1100" b="0" i="1">
                            <a:latin typeface="Cambria Math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2" name="TextovéPole 1"/>
            <xdr:cNvSpPr txBox="1"/>
          </xdr:nvSpPr>
          <xdr:spPr>
            <a:xfrm>
              <a:off x="4676774" y="6391275"/>
              <a:ext cx="1933575" cy="6121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𝐺𝑒𝑚𝑒𝑡𝑟𝑖𝑐 𝑠𝑒𝑞𝑢𝑒𝑛𝑐𝑒=𝑎_1  (𝑞^𝑛−1)/(𝑞−1)</a:t>
              </a:r>
              <a:endParaRPr lang="cs-CZ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13</xdr:row>
      <xdr:rowOff>123825</xdr:rowOff>
    </xdr:from>
    <xdr:to>
      <xdr:col>10</xdr:col>
      <xdr:colOff>104775</xdr:colOff>
      <xdr:row>29</xdr:row>
      <xdr:rowOff>9525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5"/>
  <sheetViews>
    <sheetView topLeftCell="A25" workbookViewId="0">
      <selection activeCell="B12" sqref="B12"/>
    </sheetView>
  </sheetViews>
  <sheetFormatPr defaultRowHeight="15" x14ac:dyDescent="0.25"/>
  <cols>
    <col min="1" max="1" width="24.42578125" customWidth="1"/>
    <col min="2" max="2" width="11" customWidth="1"/>
  </cols>
  <sheetData>
    <row r="1" spans="1:15" x14ac:dyDescent="0.25">
      <c r="A1" s="117" t="s">
        <v>0</v>
      </c>
      <c r="B1" s="117">
        <v>100</v>
      </c>
      <c r="C1" s="117"/>
      <c r="D1" s="117"/>
      <c r="E1" s="117"/>
      <c r="F1" s="117"/>
    </row>
    <row r="2" spans="1:15" x14ac:dyDescent="0.25">
      <c r="A2" s="117" t="s">
        <v>51</v>
      </c>
      <c r="B2" s="117">
        <v>0.08</v>
      </c>
      <c r="C2" s="117"/>
      <c r="D2" s="117" t="s">
        <v>5</v>
      </c>
      <c r="E2" s="117">
        <f>B2*B1</f>
        <v>8</v>
      </c>
      <c r="F2" s="117"/>
    </row>
    <row r="3" spans="1:15" x14ac:dyDescent="0.25">
      <c r="A3" s="117" t="s">
        <v>52</v>
      </c>
      <c r="B3" s="117">
        <v>0.1</v>
      </c>
      <c r="C3" s="117"/>
      <c r="D3" s="117"/>
      <c r="E3" s="117"/>
      <c r="F3" s="117"/>
    </row>
    <row r="4" spans="1:15" x14ac:dyDescent="0.25">
      <c r="A4" s="117" t="s">
        <v>53</v>
      </c>
      <c r="B4" s="117">
        <v>10</v>
      </c>
      <c r="C4" s="117"/>
      <c r="D4" s="117"/>
      <c r="E4" s="117"/>
      <c r="F4" s="117"/>
    </row>
    <row r="5" spans="1:15" x14ac:dyDescent="0.25">
      <c r="A5" s="117"/>
      <c r="B5" s="117"/>
      <c r="C5" s="117"/>
      <c r="D5" s="117"/>
      <c r="E5" s="117"/>
      <c r="F5" s="117"/>
    </row>
    <row r="6" spans="1:15" x14ac:dyDescent="0.25">
      <c r="B6" s="33"/>
      <c r="C6" s="33"/>
      <c r="D6" s="33"/>
      <c r="E6" s="33"/>
      <c r="F6" s="33"/>
    </row>
    <row r="7" spans="1:15" x14ac:dyDescent="0.25">
      <c r="A7" s="32" t="s">
        <v>3</v>
      </c>
      <c r="B7" s="3"/>
    </row>
    <row r="8" spans="1:15" ht="15.75" thickBot="1" x14ac:dyDescent="0.3"/>
    <row r="9" spans="1:15" x14ac:dyDescent="0.25">
      <c r="A9" s="59" t="s">
        <v>2</v>
      </c>
      <c r="B9" s="118">
        <v>1</v>
      </c>
      <c r="C9" s="60">
        <v>2</v>
      </c>
      <c r="D9" s="60">
        <v>3</v>
      </c>
      <c r="E9" s="60">
        <v>4</v>
      </c>
      <c r="F9" s="60">
        <v>5</v>
      </c>
      <c r="G9" s="60">
        <v>6</v>
      </c>
      <c r="H9" s="60">
        <v>7</v>
      </c>
      <c r="I9" s="60">
        <v>8</v>
      </c>
      <c r="J9" s="60">
        <v>9</v>
      </c>
      <c r="K9" s="60">
        <v>10</v>
      </c>
      <c r="L9" s="61">
        <v>10</v>
      </c>
    </row>
    <row r="10" spans="1:15" x14ac:dyDescent="0.25">
      <c r="A10" s="53" t="s">
        <v>4</v>
      </c>
      <c r="B10" s="119">
        <v>8</v>
      </c>
      <c r="C10" s="54">
        <v>8</v>
      </c>
      <c r="D10" s="54">
        <v>8</v>
      </c>
      <c r="E10" s="54">
        <v>8</v>
      </c>
      <c r="F10" s="54">
        <v>8</v>
      </c>
      <c r="G10" s="54">
        <v>8</v>
      </c>
      <c r="H10" s="54">
        <v>8</v>
      </c>
      <c r="I10" s="54">
        <v>8</v>
      </c>
      <c r="J10" s="54">
        <v>8</v>
      </c>
      <c r="K10" s="54">
        <v>8</v>
      </c>
      <c r="L10" s="55">
        <v>100</v>
      </c>
    </row>
    <row r="11" spans="1:15" ht="15.75" thickBot="1" x14ac:dyDescent="0.3">
      <c r="A11" s="56" t="s">
        <v>6</v>
      </c>
      <c r="B11" s="120">
        <f>B10/(1+$B$3)^B9</f>
        <v>7.2727272727272725</v>
      </c>
      <c r="C11" s="57">
        <f t="shared" ref="C11:L11" si="0">C10/(1+$B$3)^C9</f>
        <v>6.6115702479338836</v>
      </c>
      <c r="D11" s="57">
        <f t="shared" si="0"/>
        <v>6.0105184072126203</v>
      </c>
      <c r="E11" s="57">
        <f t="shared" si="0"/>
        <v>5.4641076429205642</v>
      </c>
      <c r="F11" s="57">
        <f t="shared" si="0"/>
        <v>4.9673705844732394</v>
      </c>
      <c r="G11" s="57">
        <f t="shared" si="0"/>
        <v>4.5157914404302177</v>
      </c>
      <c r="H11" s="57">
        <f t="shared" si="0"/>
        <v>4.1052649458456516</v>
      </c>
      <c r="I11" s="57">
        <f t="shared" si="0"/>
        <v>3.7320590416778652</v>
      </c>
      <c r="J11" s="57">
        <f t="shared" si="0"/>
        <v>3.3927809469798773</v>
      </c>
      <c r="K11" s="57">
        <f t="shared" si="0"/>
        <v>3.0843463154362518</v>
      </c>
      <c r="L11" s="58">
        <f t="shared" si="0"/>
        <v>38.554328942953148</v>
      </c>
      <c r="N11" s="1"/>
      <c r="O11" s="1"/>
    </row>
    <row r="12" spans="1:15" ht="15.75" thickBot="1" x14ac:dyDescent="0.3">
      <c r="A12" s="62" t="s">
        <v>54</v>
      </c>
      <c r="B12" s="63">
        <f>SUM(B11:L11)</f>
        <v>87.710865788590596</v>
      </c>
    </row>
    <row r="13" spans="1:15" s="98" customFormat="1" x14ac:dyDescent="0.25">
      <c r="A13" s="97"/>
      <c r="B13" s="97"/>
    </row>
    <row r="14" spans="1:15" s="98" customFormat="1" x14ac:dyDescent="0.25">
      <c r="A14" s="97"/>
      <c r="B14" s="97"/>
    </row>
    <row r="15" spans="1:15" s="96" customFormat="1" x14ac:dyDescent="0.25"/>
    <row r="16" spans="1:15" x14ac:dyDescent="0.25">
      <c r="A16" s="32" t="s">
        <v>8</v>
      </c>
      <c r="B16" s="32"/>
    </row>
    <row r="17" spans="1:22" ht="15.75" thickBot="1" x14ac:dyDescent="0.3">
      <c r="A17" s="33"/>
      <c r="B17" s="33"/>
    </row>
    <row r="18" spans="1:22" x14ac:dyDescent="0.25">
      <c r="A18" s="37" t="s">
        <v>0</v>
      </c>
      <c r="B18" s="38">
        <v>100</v>
      </c>
      <c r="C18" s="38"/>
      <c r="D18" s="36" t="s">
        <v>5</v>
      </c>
      <c r="E18" s="36">
        <v>4</v>
      </c>
      <c r="F18" s="41"/>
    </row>
    <row r="19" spans="1:22" x14ac:dyDescent="0.25">
      <c r="A19" s="32" t="s">
        <v>51</v>
      </c>
      <c r="B19" s="34">
        <v>0.04</v>
      </c>
      <c r="C19" s="39"/>
      <c r="D19" s="39"/>
      <c r="E19" s="39"/>
      <c r="F19" s="42"/>
    </row>
    <row r="20" spans="1:22" x14ac:dyDescent="0.25">
      <c r="A20" s="32" t="s">
        <v>52</v>
      </c>
      <c r="B20" s="34">
        <v>0.05</v>
      </c>
      <c r="C20" s="39"/>
      <c r="D20" s="39"/>
      <c r="E20" s="39"/>
      <c r="F20" s="42"/>
    </row>
    <row r="21" spans="1:22" ht="15.75" thickBot="1" x14ac:dyDescent="0.3">
      <c r="A21" s="32" t="s">
        <v>53</v>
      </c>
      <c r="B21" s="35">
        <v>20</v>
      </c>
      <c r="C21" s="40"/>
      <c r="D21" s="40"/>
      <c r="E21" s="40"/>
      <c r="F21" s="43"/>
    </row>
    <row r="22" spans="1:22" ht="15.75" thickBot="1" x14ac:dyDescent="0.3"/>
    <row r="23" spans="1:22" x14ac:dyDescent="0.25">
      <c r="A23" s="59" t="s">
        <v>2</v>
      </c>
      <c r="B23" s="71">
        <v>1</v>
      </c>
      <c r="C23" s="72">
        <v>2</v>
      </c>
      <c r="D23" s="60">
        <v>3</v>
      </c>
      <c r="E23" s="60">
        <v>4</v>
      </c>
      <c r="F23" s="60">
        <v>5</v>
      </c>
      <c r="G23" s="60">
        <v>6</v>
      </c>
      <c r="H23" s="60">
        <v>7</v>
      </c>
      <c r="I23" s="60">
        <v>8</v>
      </c>
      <c r="J23" s="60">
        <v>9</v>
      </c>
      <c r="K23" s="60">
        <v>10</v>
      </c>
      <c r="L23" s="60">
        <v>11</v>
      </c>
      <c r="M23" s="60">
        <v>12</v>
      </c>
      <c r="N23" s="60">
        <v>13</v>
      </c>
      <c r="O23" s="60">
        <v>14</v>
      </c>
      <c r="P23" s="60">
        <v>15</v>
      </c>
      <c r="Q23" s="60">
        <v>16</v>
      </c>
      <c r="R23" s="60">
        <v>17</v>
      </c>
      <c r="S23" s="60">
        <v>18</v>
      </c>
      <c r="T23" s="60">
        <v>19</v>
      </c>
      <c r="U23" s="60">
        <v>20</v>
      </c>
      <c r="V23" s="61">
        <v>20</v>
      </c>
    </row>
    <row r="24" spans="1:22" x14ac:dyDescent="0.25">
      <c r="A24" s="53" t="s">
        <v>4</v>
      </c>
      <c r="B24" s="73">
        <v>4</v>
      </c>
      <c r="C24" s="74">
        <v>4</v>
      </c>
      <c r="D24" s="54">
        <v>4</v>
      </c>
      <c r="E24" s="54">
        <v>4</v>
      </c>
      <c r="F24" s="54">
        <v>4</v>
      </c>
      <c r="G24" s="54">
        <v>4</v>
      </c>
      <c r="H24" s="54">
        <v>4</v>
      </c>
      <c r="I24" s="54">
        <v>4</v>
      </c>
      <c r="J24" s="54">
        <v>4</v>
      </c>
      <c r="K24" s="54">
        <v>4</v>
      </c>
      <c r="L24" s="54">
        <v>4</v>
      </c>
      <c r="M24" s="54">
        <v>4</v>
      </c>
      <c r="N24" s="54">
        <v>4</v>
      </c>
      <c r="O24" s="54">
        <v>4</v>
      </c>
      <c r="P24" s="54">
        <v>4</v>
      </c>
      <c r="Q24" s="54">
        <v>4</v>
      </c>
      <c r="R24" s="54">
        <v>4</v>
      </c>
      <c r="S24" s="54">
        <v>4</v>
      </c>
      <c r="T24" s="54">
        <v>4</v>
      </c>
      <c r="U24" s="54">
        <v>4</v>
      </c>
      <c r="V24" s="55">
        <v>100</v>
      </c>
    </row>
    <row r="25" spans="1:22" ht="15.75" thickBot="1" x14ac:dyDescent="0.3">
      <c r="A25" s="56" t="s">
        <v>6</v>
      </c>
      <c r="B25" s="75">
        <f>B24/(1+$B$20)^B23</f>
        <v>3.8095238095238093</v>
      </c>
      <c r="C25" s="76">
        <f t="shared" ref="C25:V25" si="1">C24/(1+$B$20)^C23</f>
        <v>3.6281179138321993</v>
      </c>
      <c r="D25" s="57">
        <f t="shared" si="1"/>
        <v>3.4553503941259041</v>
      </c>
      <c r="E25" s="57">
        <f t="shared" si="1"/>
        <v>3.2908098991675279</v>
      </c>
      <c r="F25" s="57">
        <f t="shared" si="1"/>
        <v>3.1341046658738358</v>
      </c>
      <c r="G25" s="57">
        <f t="shared" si="1"/>
        <v>2.9848615865465105</v>
      </c>
      <c r="H25" s="57">
        <f t="shared" si="1"/>
        <v>2.8427253205204859</v>
      </c>
      <c r="I25" s="57">
        <f t="shared" si="1"/>
        <v>2.7073574481147489</v>
      </c>
      <c r="J25" s="57">
        <f t="shared" si="1"/>
        <v>2.578435664871189</v>
      </c>
      <c r="K25" s="57">
        <f t="shared" si="1"/>
        <v>2.4556530141630373</v>
      </c>
      <c r="L25" s="57">
        <f t="shared" si="1"/>
        <v>2.3387171563457496</v>
      </c>
      <c r="M25" s="57">
        <f t="shared" si="1"/>
        <v>2.227349672710238</v>
      </c>
      <c r="N25" s="57">
        <f t="shared" si="1"/>
        <v>2.1212854025811785</v>
      </c>
      <c r="O25" s="57">
        <f t="shared" si="1"/>
        <v>2.0202718119820755</v>
      </c>
      <c r="P25" s="57">
        <f t="shared" si="1"/>
        <v>1.9240683923638808</v>
      </c>
      <c r="Q25" s="57">
        <f t="shared" si="1"/>
        <v>1.8324460879656008</v>
      </c>
      <c r="R25" s="57">
        <f t="shared" si="1"/>
        <v>1.7451867504434291</v>
      </c>
      <c r="S25" s="57">
        <f t="shared" si="1"/>
        <v>1.6620826194699325</v>
      </c>
      <c r="T25" s="57">
        <f t="shared" si="1"/>
        <v>1.5829358280666024</v>
      </c>
      <c r="U25" s="57">
        <f t="shared" si="1"/>
        <v>1.5075579314920025</v>
      </c>
      <c r="V25" s="58">
        <f t="shared" si="1"/>
        <v>37.688948287300057</v>
      </c>
    </row>
    <row r="26" spans="1:22" ht="15.75" thickBot="1" x14ac:dyDescent="0.3">
      <c r="A26" s="62" t="s">
        <v>54</v>
      </c>
      <c r="B26" s="63">
        <f>SUM(B25:V25)</f>
        <v>87.537789657459996</v>
      </c>
    </row>
    <row r="29" spans="1:22" ht="15.75" thickBot="1" x14ac:dyDescent="0.3"/>
    <row r="30" spans="1:22" x14ac:dyDescent="0.25">
      <c r="A30" s="37" t="s">
        <v>0</v>
      </c>
      <c r="B30" s="38">
        <v>100</v>
      </c>
      <c r="C30" s="38"/>
      <c r="D30" s="36" t="s">
        <v>5</v>
      </c>
      <c r="E30" s="36">
        <f>8/4</f>
        <v>2</v>
      </c>
      <c r="F30" s="41"/>
    </row>
    <row r="31" spans="1:22" x14ac:dyDescent="0.25">
      <c r="A31" s="32" t="s">
        <v>51</v>
      </c>
      <c r="B31" s="34">
        <f>0.08/4</f>
        <v>0.02</v>
      </c>
      <c r="C31" s="39"/>
      <c r="D31" s="39"/>
      <c r="E31" s="39"/>
      <c r="F31" s="42"/>
    </row>
    <row r="32" spans="1:22" x14ac:dyDescent="0.25">
      <c r="A32" s="32" t="s">
        <v>52</v>
      </c>
      <c r="B32" s="34">
        <f>0.1/4</f>
        <v>2.5000000000000001E-2</v>
      </c>
      <c r="C32" s="39"/>
      <c r="D32" s="39"/>
      <c r="E32" s="39"/>
      <c r="F32" s="42"/>
    </row>
    <row r="33" spans="1:42" ht="15.75" thickBot="1" x14ac:dyDescent="0.3">
      <c r="A33" s="32" t="s">
        <v>53</v>
      </c>
      <c r="B33" s="35">
        <v>40</v>
      </c>
      <c r="C33" s="40"/>
      <c r="D33" s="40"/>
      <c r="E33" s="40"/>
      <c r="F33" s="43"/>
    </row>
    <row r="34" spans="1:42" ht="15.75" thickBot="1" x14ac:dyDescent="0.3"/>
    <row r="35" spans="1:42" s="79" customFormat="1" x14ac:dyDescent="0.25">
      <c r="A35" s="59" t="s">
        <v>2</v>
      </c>
      <c r="B35" s="71">
        <v>1</v>
      </c>
      <c r="C35" s="78">
        <v>2</v>
      </c>
      <c r="D35" s="78">
        <v>3</v>
      </c>
      <c r="E35" s="72">
        <v>4</v>
      </c>
      <c r="F35" s="60">
        <v>5</v>
      </c>
      <c r="G35" s="60">
        <v>6</v>
      </c>
      <c r="H35" s="60">
        <v>7</v>
      </c>
      <c r="I35" s="60">
        <v>8</v>
      </c>
      <c r="J35" s="60">
        <v>9</v>
      </c>
      <c r="K35" s="60">
        <v>10</v>
      </c>
      <c r="L35" s="60">
        <v>11</v>
      </c>
      <c r="M35" s="60">
        <v>12</v>
      </c>
      <c r="N35" s="60">
        <v>13</v>
      </c>
      <c r="O35" s="60">
        <v>14</v>
      </c>
      <c r="P35" s="60">
        <v>15</v>
      </c>
      <c r="Q35" s="60">
        <v>16</v>
      </c>
      <c r="R35" s="60">
        <v>17</v>
      </c>
      <c r="S35" s="60">
        <v>18</v>
      </c>
      <c r="T35" s="60">
        <v>19</v>
      </c>
      <c r="U35" s="60">
        <v>20</v>
      </c>
      <c r="V35" s="60">
        <v>21</v>
      </c>
      <c r="W35" s="60">
        <v>22</v>
      </c>
      <c r="X35" s="60">
        <v>23</v>
      </c>
      <c r="Y35" s="60">
        <v>24</v>
      </c>
      <c r="Z35" s="60">
        <v>25</v>
      </c>
      <c r="AA35" s="60">
        <v>26</v>
      </c>
      <c r="AB35" s="60">
        <v>27</v>
      </c>
      <c r="AC35" s="60">
        <v>28</v>
      </c>
      <c r="AD35" s="60">
        <v>29</v>
      </c>
      <c r="AE35" s="60">
        <v>30</v>
      </c>
      <c r="AF35" s="60">
        <v>31</v>
      </c>
      <c r="AG35" s="60">
        <v>32</v>
      </c>
      <c r="AH35" s="60">
        <v>33</v>
      </c>
      <c r="AI35" s="60">
        <v>34</v>
      </c>
      <c r="AJ35" s="60">
        <v>35</v>
      </c>
      <c r="AK35" s="60">
        <v>36</v>
      </c>
      <c r="AL35" s="60">
        <v>37</v>
      </c>
      <c r="AM35" s="60">
        <v>38</v>
      </c>
      <c r="AN35" s="60">
        <v>39</v>
      </c>
      <c r="AO35" s="60">
        <v>40</v>
      </c>
      <c r="AP35" s="61">
        <v>40</v>
      </c>
    </row>
    <row r="36" spans="1:42" s="79" customFormat="1" x14ac:dyDescent="0.25">
      <c r="A36" s="53" t="s">
        <v>4</v>
      </c>
      <c r="B36" s="73">
        <v>2</v>
      </c>
      <c r="C36" s="54">
        <v>2</v>
      </c>
      <c r="D36" s="54">
        <v>2</v>
      </c>
      <c r="E36" s="74">
        <v>2</v>
      </c>
      <c r="F36" s="54">
        <v>2</v>
      </c>
      <c r="G36" s="54">
        <v>2</v>
      </c>
      <c r="H36" s="54">
        <v>2</v>
      </c>
      <c r="I36" s="54">
        <v>2</v>
      </c>
      <c r="J36" s="54">
        <v>2</v>
      </c>
      <c r="K36" s="54">
        <v>2</v>
      </c>
      <c r="L36" s="54">
        <v>2</v>
      </c>
      <c r="M36" s="54">
        <v>2</v>
      </c>
      <c r="N36" s="54">
        <v>2</v>
      </c>
      <c r="O36" s="54">
        <v>2</v>
      </c>
      <c r="P36" s="54">
        <v>2</v>
      </c>
      <c r="Q36" s="54">
        <v>2</v>
      </c>
      <c r="R36" s="54">
        <v>2</v>
      </c>
      <c r="S36" s="54">
        <v>2</v>
      </c>
      <c r="T36" s="54">
        <v>2</v>
      </c>
      <c r="U36" s="54">
        <v>2</v>
      </c>
      <c r="V36" s="54">
        <v>2</v>
      </c>
      <c r="W36" s="54">
        <v>2</v>
      </c>
      <c r="X36" s="54">
        <v>2</v>
      </c>
      <c r="Y36" s="54">
        <v>2</v>
      </c>
      <c r="Z36" s="54">
        <v>2</v>
      </c>
      <c r="AA36" s="54">
        <v>2</v>
      </c>
      <c r="AB36" s="54">
        <v>2</v>
      </c>
      <c r="AC36" s="54">
        <v>2</v>
      </c>
      <c r="AD36" s="54">
        <v>2</v>
      </c>
      <c r="AE36" s="54">
        <v>2</v>
      </c>
      <c r="AF36" s="54">
        <v>2</v>
      </c>
      <c r="AG36" s="54">
        <v>2</v>
      </c>
      <c r="AH36" s="54">
        <v>2</v>
      </c>
      <c r="AI36" s="54">
        <v>2</v>
      </c>
      <c r="AJ36" s="54">
        <v>2</v>
      </c>
      <c r="AK36" s="54">
        <v>2</v>
      </c>
      <c r="AL36" s="54">
        <v>2</v>
      </c>
      <c r="AM36" s="54">
        <v>2</v>
      </c>
      <c r="AN36" s="54">
        <v>2</v>
      </c>
      <c r="AO36" s="54">
        <v>2</v>
      </c>
      <c r="AP36" s="55">
        <v>100</v>
      </c>
    </row>
    <row r="37" spans="1:42" s="79" customFormat="1" ht="15.75" thickBot="1" x14ac:dyDescent="0.3">
      <c r="A37" s="56" t="s">
        <v>6</v>
      </c>
      <c r="B37" s="75">
        <f>B36/(1+$B$32)^B35</f>
        <v>1.9512195121951221</v>
      </c>
      <c r="C37" s="80">
        <f t="shared" ref="C37:AP37" si="2">C36/(1+$B$32)^C35</f>
        <v>1.9036287923854849</v>
      </c>
      <c r="D37" s="80">
        <f t="shared" si="2"/>
        <v>1.8571988218394977</v>
      </c>
      <c r="E37" s="76">
        <f t="shared" si="2"/>
        <v>1.8119012895995101</v>
      </c>
      <c r="F37" s="57">
        <f t="shared" si="2"/>
        <v>1.7677085752190342</v>
      </c>
      <c r="G37" s="57">
        <f t="shared" si="2"/>
        <v>1.7245937319210092</v>
      </c>
      <c r="H37" s="57">
        <f t="shared" si="2"/>
        <v>1.6825304701668382</v>
      </c>
      <c r="I37" s="57">
        <f t="shared" si="2"/>
        <v>1.6414931416261838</v>
      </c>
      <c r="J37" s="57">
        <f t="shared" si="2"/>
        <v>1.6014567235377406</v>
      </c>
      <c r="K37" s="57">
        <f t="shared" si="2"/>
        <v>1.5623968034514542</v>
      </c>
      <c r="L37" s="57">
        <f t="shared" si="2"/>
        <v>1.5242895643428822</v>
      </c>
      <c r="M37" s="57">
        <f t="shared" si="2"/>
        <v>1.4871117700906169</v>
      </c>
      <c r="N37" s="57">
        <f t="shared" si="2"/>
        <v>1.4508407513079189</v>
      </c>
      <c r="O37" s="57">
        <f t="shared" si="2"/>
        <v>1.4154543915199211</v>
      </c>
      <c r="P37" s="57">
        <f t="shared" si="2"/>
        <v>1.3809311136779716</v>
      </c>
      <c r="Q37" s="57">
        <f t="shared" si="2"/>
        <v>1.3472498670028992</v>
      </c>
      <c r="R37" s="57">
        <f t="shared" si="2"/>
        <v>1.3143901141491701</v>
      </c>
      <c r="S37" s="57">
        <f t="shared" si="2"/>
        <v>1.2823318186821171</v>
      </c>
      <c r="T37" s="57">
        <f t="shared" si="2"/>
        <v>1.2510554328606021</v>
      </c>
      <c r="U37" s="57">
        <f t="shared" si="2"/>
        <v>1.2205418857176606</v>
      </c>
      <c r="V37" s="57">
        <f t="shared" si="2"/>
        <v>1.1907725714318642</v>
      </c>
      <c r="W37" s="57">
        <f t="shared" si="2"/>
        <v>1.1617293379823066</v>
      </c>
      <c r="X37" s="57">
        <f t="shared" si="2"/>
        <v>1.1333944760802992</v>
      </c>
      <c r="Y37" s="57">
        <f t="shared" si="2"/>
        <v>1.1057507083710236</v>
      </c>
      <c r="Z37" s="57">
        <f t="shared" si="2"/>
        <v>1.0787811788985597</v>
      </c>
      <c r="AA37" s="57">
        <f t="shared" si="2"/>
        <v>1.0524694428278634</v>
      </c>
      <c r="AB37" s="57">
        <f t="shared" si="2"/>
        <v>1.0267994564174276</v>
      </c>
      <c r="AC37" s="57">
        <f t="shared" si="2"/>
        <v>1.0017555672365148</v>
      </c>
      <c r="AD37" s="57">
        <f t="shared" si="2"/>
        <v>0.97732250462098991</v>
      </c>
      <c r="AE37" s="57">
        <f t="shared" si="2"/>
        <v>0.9534853703619417</v>
      </c>
      <c r="AF37" s="57">
        <f t="shared" si="2"/>
        <v>0.93022962962140621</v>
      </c>
      <c r="AG37" s="57">
        <f t="shared" si="2"/>
        <v>0.90754110206966476</v>
      </c>
      <c r="AH37" s="57">
        <f t="shared" si="2"/>
        <v>0.88540595323869742</v>
      </c>
      <c r="AI37" s="57">
        <f t="shared" si="2"/>
        <v>0.86381068608653411</v>
      </c>
      <c r="AJ37" s="57">
        <f t="shared" si="2"/>
        <v>0.84274213276735044</v>
      </c>
      <c r="AK37" s="57">
        <f t="shared" si="2"/>
        <v>0.82218744660229304</v>
      </c>
      <c r="AL37" s="57">
        <f t="shared" si="2"/>
        <v>0.80213409424613968</v>
      </c>
      <c r="AM37" s="57">
        <f t="shared" si="2"/>
        <v>0.7825698480450145</v>
      </c>
      <c r="AN37" s="57">
        <f t="shared" si="2"/>
        <v>0.76348277858050184</v>
      </c>
      <c r="AO37" s="57">
        <f t="shared" si="2"/>
        <v>0.74486124739561166</v>
      </c>
      <c r="AP37" s="58">
        <f t="shared" si="2"/>
        <v>37.243062369780581</v>
      </c>
    </row>
    <row r="38" spans="1:42" s="79" customFormat="1" x14ac:dyDescent="0.25">
      <c r="A38" s="70" t="s">
        <v>54</v>
      </c>
      <c r="B38" s="77">
        <f>SUM(B37:AP37)</f>
        <v>87.448612473956217</v>
      </c>
    </row>
    <row r="39" spans="1:42" s="33" customFormat="1" x14ac:dyDescent="0.25">
      <c r="A39" s="99"/>
      <c r="B39" s="99"/>
    </row>
    <row r="40" spans="1:42" s="101" customFormat="1" ht="14.25" customHeight="1" x14ac:dyDescent="0.25">
      <c r="A40" s="100"/>
      <c r="B40" s="100"/>
    </row>
    <row r="41" spans="1:42" s="52" customFormat="1" x14ac:dyDescent="0.25"/>
    <row r="42" spans="1:42" x14ac:dyDescent="0.25">
      <c r="A42" s="79" t="s">
        <v>74</v>
      </c>
    </row>
    <row r="44" spans="1:42" x14ac:dyDescent="0.25">
      <c r="A44" s="3" t="s">
        <v>55</v>
      </c>
      <c r="B44" s="3"/>
      <c r="C44" s="3" t="s">
        <v>56</v>
      </c>
      <c r="D44" s="3"/>
      <c r="E44" s="3"/>
      <c r="F44" s="3"/>
      <c r="G44" s="3"/>
    </row>
    <row r="45" spans="1:42" x14ac:dyDescent="0.25">
      <c r="A45">
        <f>1/1.1^10-1</f>
        <v>-0.61445671057046858</v>
      </c>
      <c r="C45">
        <f>1/1.05^20-1</f>
        <v>-0.62311051712699939</v>
      </c>
    </row>
    <row r="46" spans="1:42" x14ac:dyDescent="0.25">
      <c r="A46">
        <f>1/1.1-1</f>
        <v>-9.0909090909090939E-2</v>
      </c>
      <c r="C46">
        <f>1/1.05-1</f>
        <v>-4.7619047619047672E-2</v>
      </c>
    </row>
    <row r="47" spans="1:42" x14ac:dyDescent="0.25">
      <c r="A47">
        <f>A45/A46</f>
        <v>6.7590238162751524</v>
      </c>
      <c r="C47">
        <f>C45/C46</f>
        <v>13.085320859666973</v>
      </c>
    </row>
    <row r="48" spans="1:42" ht="15.75" thickBot="1" x14ac:dyDescent="0.3">
      <c r="A48">
        <f>A47*80</f>
        <v>540.72190530201215</v>
      </c>
      <c r="C48">
        <f>C47*40</f>
        <v>523.41283438667892</v>
      </c>
    </row>
    <row r="49" spans="1:4" ht="15.75" thickBot="1" x14ac:dyDescent="0.3">
      <c r="A49" s="8">
        <f>A48/1.1</f>
        <v>491.56536845637464</v>
      </c>
      <c r="B49" s="11">
        <f>SUM(B11:K11)</f>
        <v>49.156536845637447</v>
      </c>
      <c r="C49" s="8">
        <f>C48/1.05</f>
        <v>498.48841370159897</v>
      </c>
      <c r="D49" s="10">
        <f>SUM(B25:U25)</f>
        <v>49.848841370159946</v>
      </c>
    </row>
    <row r="50" spans="1:4" x14ac:dyDescent="0.25">
      <c r="A50" t="s">
        <v>57</v>
      </c>
      <c r="C50" t="s">
        <v>57</v>
      </c>
    </row>
    <row r="51" spans="1:4" ht="15.75" thickBot="1" x14ac:dyDescent="0.3">
      <c r="A51" t="s">
        <v>70</v>
      </c>
      <c r="C51" t="s">
        <v>75</v>
      </c>
    </row>
    <row r="52" spans="1:4" ht="15.75" thickBot="1" x14ac:dyDescent="0.3">
      <c r="A52" s="10">
        <f>100/1.1^10</f>
        <v>38.554328942953148</v>
      </c>
      <c r="C52" s="10">
        <f>100/1.05^20</f>
        <v>37.688948287300057</v>
      </c>
    </row>
    <row r="54" spans="1:4" ht="15.75" thickBot="1" x14ac:dyDescent="0.3">
      <c r="A54" s="64" t="s">
        <v>20</v>
      </c>
      <c r="B54" s="65"/>
      <c r="C54" s="66"/>
    </row>
    <row r="55" spans="1:4" x14ac:dyDescent="0.25">
      <c r="A55" s="67">
        <f>B49+A52</f>
        <v>87.710865788590596</v>
      </c>
      <c r="B55" s="68"/>
      <c r="C55" s="69">
        <f>D49+C52</f>
        <v>87.537789657459996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19" workbookViewId="0">
      <selection activeCell="F32" sqref="F32"/>
    </sheetView>
  </sheetViews>
  <sheetFormatPr defaultRowHeight="15" x14ac:dyDescent="0.25"/>
  <cols>
    <col min="1" max="1" width="15.5703125" customWidth="1"/>
    <col min="2" max="2" width="21.42578125" customWidth="1"/>
    <col min="3" max="3" width="38.85546875" customWidth="1"/>
  </cols>
  <sheetData>
    <row r="1" spans="1:4" x14ac:dyDescent="0.25">
      <c r="B1" t="s">
        <v>9</v>
      </c>
      <c r="C1" t="s">
        <v>10</v>
      </c>
    </row>
    <row r="2" spans="1:4" x14ac:dyDescent="0.25">
      <c r="A2">
        <v>2</v>
      </c>
      <c r="B2" t="s">
        <v>11</v>
      </c>
      <c r="C2" t="s">
        <v>12</v>
      </c>
    </row>
    <row r="3" spans="1:4" x14ac:dyDescent="0.25">
      <c r="A3">
        <v>3</v>
      </c>
      <c r="B3" t="s">
        <v>13</v>
      </c>
      <c r="C3" t="s">
        <v>14</v>
      </c>
      <c r="D3" t="s">
        <v>32</v>
      </c>
    </row>
    <row r="4" spans="1:4" x14ac:dyDescent="0.25">
      <c r="A4">
        <v>4</v>
      </c>
      <c r="B4" t="s">
        <v>15</v>
      </c>
      <c r="C4" t="s">
        <v>16</v>
      </c>
      <c r="D4" t="s">
        <v>33</v>
      </c>
    </row>
    <row r="5" spans="1:4" x14ac:dyDescent="0.25">
      <c r="A5">
        <v>5</v>
      </c>
      <c r="B5" t="s">
        <v>17</v>
      </c>
      <c r="C5" t="s">
        <v>18</v>
      </c>
      <c r="D5" t="s">
        <v>34</v>
      </c>
    </row>
    <row r="6" spans="1:4" x14ac:dyDescent="0.25">
      <c r="A6">
        <v>6</v>
      </c>
      <c r="B6" t="s">
        <v>19</v>
      </c>
      <c r="C6" t="s">
        <v>20</v>
      </c>
      <c r="D6" t="s">
        <v>35</v>
      </c>
    </row>
    <row r="7" spans="1:4" x14ac:dyDescent="0.25">
      <c r="A7">
        <v>7</v>
      </c>
      <c r="B7" t="s">
        <v>21</v>
      </c>
      <c r="C7" t="s">
        <v>22</v>
      </c>
      <c r="D7" t="s">
        <v>36</v>
      </c>
    </row>
    <row r="8" spans="1:4" x14ac:dyDescent="0.25">
      <c r="A8">
        <v>8</v>
      </c>
      <c r="B8">
        <v>2</v>
      </c>
      <c r="C8" t="s">
        <v>23</v>
      </c>
      <c r="D8" t="s">
        <v>37</v>
      </c>
    </row>
    <row r="9" spans="1:4" x14ac:dyDescent="0.25">
      <c r="A9">
        <v>9</v>
      </c>
      <c r="B9">
        <v>0</v>
      </c>
      <c r="C9" t="s">
        <v>24</v>
      </c>
      <c r="D9" t="s">
        <v>38</v>
      </c>
    </row>
    <row r="12" spans="1:4" x14ac:dyDescent="0.25">
      <c r="A12" t="s">
        <v>58</v>
      </c>
      <c r="B12" t="s">
        <v>25</v>
      </c>
    </row>
    <row r="13" spans="1:4" x14ac:dyDescent="0.25">
      <c r="A13" t="s">
        <v>26</v>
      </c>
      <c r="B13" t="s">
        <v>31</v>
      </c>
    </row>
    <row r="14" spans="1:4" x14ac:dyDescent="0.25">
      <c r="A14">
        <v>1</v>
      </c>
      <c r="B14" t="s">
        <v>27</v>
      </c>
    </row>
    <row r="15" spans="1:4" x14ac:dyDescent="0.25">
      <c r="A15">
        <v>2</v>
      </c>
      <c r="B15" t="s">
        <v>28</v>
      </c>
    </row>
    <row r="16" spans="1:4" x14ac:dyDescent="0.25">
      <c r="A16">
        <v>3</v>
      </c>
      <c r="B16" t="s">
        <v>29</v>
      </c>
    </row>
    <row r="17" spans="1:5" x14ac:dyDescent="0.25">
      <c r="A17">
        <v>4</v>
      </c>
      <c r="B17" t="s">
        <v>30</v>
      </c>
    </row>
    <row r="21" spans="1:5" x14ac:dyDescent="0.25">
      <c r="A21" s="106" t="s">
        <v>7</v>
      </c>
      <c r="B21" s="107">
        <v>87.71</v>
      </c>
    </row>
    <row r="22" spans="1:5" ht="15.75" thickBot="1" x14ac:dyDescent="0.3">
      <c r="A22" s="91" t="s">
        <v>0</v>
      </c>
      <c r="B22" s="92">
        <v>100</v>
      </c>
    </row>
    <row r="23" spans="1:5" ht="15.75" thickBot="1" x14ac:dyDescent="0.3">
      <c r="A23" s="91" t="s">
        <v>1</v>
      </c>
      <c r="B23" s="92">
        <v>0.08</v>
      </c>
      <c r="D23" s="11" t="s">
        <v>5</v>
      </c>
      <c r="E23" s="12">
        <f>B23*B22</f>
        <v>8</v>
      </c>
    </row>
    <row r="24" spans="1:5" x14ac:dyDescent="0.25">
      <c r="A24" s="91" t="s">
        <v>60</v>
      </c>
      <c r="B24" s="92" t="s">
        <v>76</v>
      </c>
    </row>
    <row r="25" spans="1:5" x14ac:dyDescent="0.25">
      <c r="A25" s="93" t="s">
        <v>2</v>
      </c>
      <c r="B25" s="105">
        <v>10</v>
      </c>
    </row>
    <row r="26" spans="1:5" ht="15.75" thickBot="1" x14ac:dyDescent="0.3"/>
    <row r="27" spans="1:5" x14ac:dyDescent="0.25">
      <c r="A27" s="44" t="s">
        <v>3</v>
      </c>
      <c r="B27" s="36"/>
      <c r="C27" s="45"/>
    </row>
    <row r="28" spans="1:5" x14ac:dyDescent="0.25">
      <c r="A28" s="46">
        <v>42005</v>
      </c>
      <c r="B28" s="34"/>
      <c r="C28" s="47" t="s">
        <v>14</v>
      </c>
    </row>
    <row r="29" spans="1:5" x14ac:dyDescent="0.25">
      <c r="A29" s="46">
        <v>46022</v>
      </c>
      <c r="B29" s="34"/>
      <c r="C29" s="47" t="s">
        <v>16</v>
      </c>
    </row>
    <row r="30" spans="1:5" x14ac:dyDescent="0.25">
      <c r="A30" s="48">
        <v>0.08</v>
      </c>
      <c r="B30" s="34"/>
      <c r="C30" s="47" t="s">
        <v>18</v>
      </c>
    </row>
    <row r="31" spans="1:5" x14ac:dyDescent="0.25">
      <c r="A31" s="49">
        <v>87.71</v>
      </c>
      <c r="B31" s="34"/>
      <c r="C31" s="47" t="s">
        <v>20</v>
      </c>
    </row>
    <row r="32" spans="1:5" x14ac:dyDescent="0.25">
      <c r="A32" s="49">
        <v>100</v>
      </c>
      <c r="B32" s="34"/>
      <c r="C32" s="47" t="s">
        <v>22</v>
      </c>
    </row>
    <row r="33" spans="1:3" x14ac:dyDescent="0.25">
      <c r="A33" s="49">
        <v>1</v>
      </c>
      <c r="B33" s="34"/>
      <c r="C33" s="47" t="s">
        <v>39</v>
      </c>
    </row>
    <row r="34" spans="1:3" ht="15.75" thickBot="1" x14ac:dyDescent="0.3">
      <c r="A34" s="50">
        <v>1</v>
      </c>
      <c r="B34" s="35"/>
      <c r="C34" s="51" t="s">
        <v>24</v>
      </c>
    </row>
    <row r="36" spans="1:3" ht="15.75" thickBot="1" x14ac:dyDescent="0.3"/>
    <row r="37" spans="1:3" ht="15.75" thickBot="1" x14ac:dyDescent="0.3">
      <c r="A37" s="11" t="s">
        <v>59</v>
      </c>
      <c r="B37" s="108">
        <f>YIELD(A28,A29,A30,A31,A32,A33,A34)</f>
        <v>9.8820567623548877E-2</v>
      </c>
    </row>
    <row r="38" spans="1:3" ht="15.75" thickBot="1" x14ac:dyDescent="0.3"/>
    <row r="39" spans="1:3" x14ac:dyDescent="0.25">
      <c r="A39" s="44" t="s">
        <v>61</v>
      </c>
      <c r="B39" s="36"/>
      <c r="C39" s="45"/>
    </row>
    <row r="40" spans="1:3" x14ac:dyDescent="0.25">
      <c r="A40" s="46">
        <v>42005</v>
      </c>
      <c r="B40" s="34"/>
      <c r="C40" s="47" t="s">
        <v>14</v>
      </c>
    </row>
    <row r="41" spans="1:3" x14ac:dyDescent="0.25">
      <c r="A41" s="46">
        <v>46022</v>
      </c>
      <c r="B41" s="34"/>
      <c r="C41" s="47" t="s">
        <v>16</v>
      </c>
    </row>
    <row r="42" spans="1:3" x14ac:dyDescent="0.25">
      <c r="A42" s="48">
        <v>0.08</v>
      </c>
      <c r="B42" s="34"/>
      <c r="C42" s="47" t="s">
        <v>18</v>
      </c>
    </row>
    <row r="43" spans="1:3" x14ac:dyDescent="0.25">
      <c r="A43" s="49">
        <v>87.71</v>
      </c>
      <c r="B43" s="34"/>
      <c r="C43" s="47" t="s">
        <v>20</v>
      </c>
    </row>
    <row r="44" spans="1:3" x14ac:dyDescent="0.25">
      <c r="A44" s="49">
        <v>100</v>
      </c>
      <c r="B44" s="34"/>
      <c r="C44" s="47" t="s">
        <v>22</v>
      </c>
    </row>
    <row r="45" spans="1:3" x14ac:dyDescent="0.25">
      <c r="A45" s="49">
        <v>2</v>
      </c>
      <c r="B45" s="34"/>
      <c r="C45" s="47" t="s">
        <v>23</v>
      </c>
    </row>
    <row r="46" spans="1:3" ht="15.75" thickBot="1" x14ac:dyDescent="0.3">
      <c r="A46" s="50">
        <v>1</v>
      </c>
      <c r="B46" s="35"/>
      <c r="C46" s="51" t="s">
        <v>24</v>
      </c>
    </row>
    <row r="47" spans="1:3" ht="15.75" thickBot="1" x14ac:dyDescent="0.3"/>
    <row r="48" spans="1:3" ht="15.75" thickBot="1" x14ac:dyDescent="0.3">
      <c r="A48" s="11" t="s">
        <v>59</v>
      </c>
      <c r="B48" s="108">
        <f>YIELD(A40,A41,A42,A43,A44,A45,A46)</f>
        <v>9.8552345458778293E-2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D3" workbookViewId="0">
      <selection activeCell="R59" sqref="R59"/>
    </sheetView>
  </sheetViews>
  <sheetFormatPr defaultRowHeight="15" x14ac:dyDescent="0.25"/>
  <cols>
    <col min="17" max="17" width="16.7109375" customWidth="1"/>
    <col min="18" max="18" width="22.28515625" style="52" customWidth="1"/>
    <col min="19" max="19" width="17.28515625" style="52" customWidth="1"/>
    <col min="20" max="20" width="9.140625" style="52"/>
  </cols>
  <sheetData>
    <row r="1" spans="1:19" ht="15.75" thickBot="1" x14ac:dyDescent="0.3">
      <c r="O1" s="3" t="s">
        <v>60</v>
      </c>
      <c r="P1" s="3" t="s">
        <v>7</v>
      </c>
      <c r="Q1" s="3" t="s">
        <v>67</v>
      </c>
      <c r="R1" s="3" t="s">
        <v>69</v>
      </c>
      <c r="S1" s="3" t="s">
        <v>68</v>
      </c>
    </row>
    <row r="2" spans="1:19" x14ac:dyDescent="0.25">
      <c r="A2" s="3" t="s">
        <v>0</v>
      </c>
      <c r="B2" s="3">
        <v>100</v>
      </c>
      <c r="C2" s="3"/>
      <c r="D2" s="3"/>
      <c r="E2" s="3"/>
      <c r="F2" s="3"/>
      <c r="O2" s="14">
        <v>0.01</v>
      </c>
      <c r="P2" s="15">
        <v>166.29910000000001</v>
      </c>
      <c r="Q2" s="82"/>
      <c r="R2" s="83" t="s">
        <v>77</v>
      </c>
      <c r="S2" s="84"/>
    </row>
    <row r="3" spans="1:19" x14ac:dyDescent="0.25">
      <c r="A3" s="3" t="s">
        <v>51</v>
      </c>
      <c r="B3" s="3">
        <v>0.08</v>
      </c>
      <c r="C3" s="3"/>
      <c r="D3" s="3" t="s">
        <v>5</v>
      </c>
      <c r="E3" s="3">
        <f>B3*B2</f>
        <v>8</v>
      </c>
      <c r="F3" s="3"/>
      <c r="O3" s="16">
        <v>0.02</v>
      </c>
      <c r="P3" s="17">
        <v>153.8955</v>
      </c>
      <c r="Q3" s="81">
        <f>(P3-P2)/P2</f>
        <v>-7.4586092167666637E-2</v>
      </c>
      <c r="R3" s="86">
        <f>(O3-O2)/O2</f>
        <v>1</v>
      </c>
      <c r="S3" s="20">
        <f>Q3/R3</f>
        <v>-7.4586092167666637E-2</v>
      </c>
    </row>
    <row r="4" spans="1:19" x14ac:dyDescent="0.25">
      <c r="A4" s="4" t="s">
        <v>60</v>
      </c>
      <c r="B4" s="4">
        <v>0.9</v>
      </c>
      <c r="C4" s="3"/>
      <c r="D4" s="3"/>
      <c r="E4" s="3"/>
      <c r="F4" s="3"/>
      <c r="O4" s="16">
        <v>0.03</v>
      </c>
      <c r="P4" s="17">
        <v>142.65100000000001</v>
      </c>
      <c r="Q4" s="81">
        <f t="shared" ref="Q4:Q19" si="0">(P4-P3)/P3</f>
        <v>-7.3065814140114482E-2</v>
      </c>
      <c r="R4" s="86">
        <f t="shared" ref="R4:R19" si="1">(O4-O3)/O3</f>
        <v>0.49999999999999989</v>
      </c>
      <c r="S4" s="20">
        <f t="shared" ref="S4:S19" si="2">Q4/R4</f>
        <v>-0.14613162828022899</v>
      </c>
    </row>
    <row r="5" spans="1:19" x14ac:dyDescent="0.25">
      <c r="A5" s="3" t="s">
        <v>2</v>
      </c>
      <c r="B5" s="3">
        <v>10</v>
      </c>
      <c r="C5" s="3"/>
      <c r="D5" s="3"/>
      <c r="E5" s="3"/>
      <c r="F5" s="3"/>
      <c r="O5" s="16">
        <v>0.04</v>
      </c>
      <c r="P5" s="17">
        <v>132.4436</v>
      </c>
      <c r="Q5" s="81">
        <f t="shared" si="0"/>
        <v>-7.1555053942839564E-2</v>
      </c>
      <c r="R5" s="86">
        <f t="shared" si="1"/>
        <v>0.33333333333333343</v>
      </c>
      <c r="S5" s="20">
        <f t="shared" si="2"/>
        <v>-0.21466516182851864</v>
      </c>
    </row>
    <row r="6" spans="1:19" x14ac:dyDescent="0.25">
      <c r="O6" s="16">
        <v>0.05</v>
      </c>
      <c r="P6" s="17">
        <v>123.16520478755443</v>
      </c>
      <c r="Q6" s="81">
        <f t="shared" si="0"/>
        <v>-7.0055444071631806E-2</v>
      </c>
      <c r="R6" s="86">
        <f t="shared" si="1"/>
        <v>0.25000000000000006</v>
      </c>
      <c r="S6" s="20">
        <f t="shared" si="2"/>
        <v>-0.28022177628652717</v>
      </c>
    </row>
    <row r="7" spans="1:19" x14ac:dyDescent="0.25">
      <c r="A7" s="3" t="s">
        <v>3</v>
      </c>
      <c r="O7" s="16">
        <v>0.06</v>
      </c>
      <c r="P7" s="17">
        <v>114.72017410282933</v>
      </c>
      <c r="Q7" s="81">
        <f t="shared" si="0"/>
        <v>-6.8566692186253317E-2</v>
      </c>
      <c r="R7" s="86">
        <f t="shared" si="1"/>
        <v>0.1999999999999999</v>
      </c>
      <c r="S7" s="20">
        <f t="shared" si="2"/>
        <v>-0.34283346093126676</v>
      </c>
    </row>
    <row r="8" spans="1:19" x14ac:dyDescent="0.25">
      <c r="O8" s="16">
        <v>7.0000000000000007E-2</v>
      </c>
      <c r="P8" s="17">
        <v>107.02358154093258</v>
      </c>
      <c r="Q8" s="81">
        <f t="shared" si="0"/>
        <v>-6.7090140178813845E-2</v>
      </c>
      <c r="R8" s="86">
        <f t="shared" si="1"/>
        <v>0.16666666666666682</v>
      </c>
      <c r="S8" s="20">
        <f t="shared" si="2"/>
        <v>-0.40254084107288268</v>
      </c>
    </row>
    <row r="9" spans="1:19" x14ac:dyDescent="0.25">
      <c r="O9" s="16">
        <v>0.08</v>
      </c>
      <c r="P9" s="17">
        <v>99.999999999999972</v>
      </c>
      <c r="Q9" s="81">
        <f t="shared" si="0"/>
        <v>-6.5626485675461615E-2</v>
      </c>
      <c r="R9" s="86">
        <f t="shared" si="1"/>
        <v>0.14285714285714277</v>
      </c>
      <c r="S9" s="20">
        <f t="shared" si="2"/>
        <v>-0.45938539972823161</v>
      </c>
    </row>
    <row r="10" spans="1:19" x14ac:dyDescent="0.25">
      <c r="A10" t="s">
        <v>2</v>
      </c>
      <c r="B10">
        <v>1</v>
      </c>
      <c r="C10">
        <v>2</v>
      </c>
      <c r="D10">
        <v>3</v>
      </c>
      <c r="E10">
        <v>4</v>
      </c>
      <c r="F10">
        <v>5</v>
      </c>
      <c r="G10">
        <v>6</v>
      </c>
      <c r="H10">
        <v>7</v>
      </c>
      <c r="I10">
        <v>8</v>
      </c>
      <c r="J10">
        <v>9</v>
      </c>
      <c r="K10">
        <v>10</v>
      </c>
      <c r="L10">
        <v>10</v>
      </c>
      <c r="O10" s="16">
        <v>0.09</v>
      </c>
      <c r="P10" s="17">
        <v>93.582342298840956</v>
      </c>
      <c r="Q10" s="81">
        <f t="shared" si="0"/>
        <v>-6.4176577011590172E-2</v>
      </c>
      <c r="R10" s="86">
        <f t="shared" si="1"/>
        <v>0.12499999999999993</v>
      </c>
      <c r="S10" s="20">
        <f t="shared" si="2"/>
        <v>-0.51341261609272171</v>
      </c>
    </row>
    <row r="11" spans="1:19" x14ac:dyDescent="0.25">
      <c r="A11" t="s">
        <v>4</v>
      </c>
      <c r="B11">
        <v>8</v>
      </c>
      <c r="C11">
        <v>8</v>
      </c>
      <c r="D11">
        <v>8</v>
      </c>
      <c r="E11">
        <v>8</v>
      </c>
      <c r="F11">
        <v>8</v>
      </c>
      <c r="G11">
        <v>8</v>
      </c>
      <c r="H11">
        <v>8</v>
      </c>
      <c r="I11">
        <v>8</v>
      </c>
      <c r="J11">
        <v>8</v>
      </c>
      <c r="K11">
        <v>8</v>
      </c>
      <c r="L11">
        <v>100</v>
      </c>
      <c r="O11" s="16">
        <v>0.1</v>
      </c>
      <c r="P11" s="17">
        <v>87.710865788590596</v>
      </c>
      <c r="Q11" s="81">
        <f t="shared" si="0"/>
        <v>-6.2741286080451958E-2</v>
      </c>
      <c r="R11" s="86">
        <f t="shared" si="1"/>
        <v>0.11111111111111122</v>
      </c>
      <c r="S11" s="20">
        <f t="shared" si="2"/>
        <v>-0.56467157472406704</v>
      </c>
    </row>
    <row r="12" spans="1:19" ht="15.75" thickBot="1" x14ac:dyDescent="0.3">
      <c r="A12" t="s">
        <v>6</v>
      </c>
      <c r="B12">
        <f>B11/(1+$B$4)^B10</f>
        <v>4.2105263157894735</v>
      </c>
      <c r="C12">
        <f t="shared" ref="C12:L12" si="3">C11/(1+$B$4)^C10</f>
        <v>2.21606648199446</v>
      </c>
      <c r="D12">
        <f t="shared" si="3"/>
        <v>1.1663507799970843</v>
      </c>
      <c r="E12">
        <f t="shared" si="3"/>
        <v>0.61386883157741268</v>
      </c>
      <c r="F12">
        <f t="shared" si="3"/>
        <v>0.32308885872495408</v>
      </c>
      <c r="G12">
        <f t="shared" si="3"/>
        <v>0.17004676774997585</v>
      </c>
      <c r="H12">
        <f t="shared" si="3"/>
        <v>8.9498298815776756E-2</v>
      </c>
      <c r="I12">
        <f t="shared" si="3"/>
        <v>4.7104367797777234E-2</v>
      </c>
      <c r="J12">
        <f t="shared" si="3"/>
        <v>2.4791772525145916E-2</v>
      </c>
      <c r="K12">
        <f t="shared" si="3"/>
        <v>1.3048301329024166E-2</v>
      </c>
      <c r="L12">
        <f t="shared" si="3"/>
        <v>0.16310376661280207</v>
      </c>
      <c r="O12" s="16">
        <v>0.11</v>
      </c>
      <c r="P12" s="17">
        <v>82.332303966576319</v>
      </c>
      <c r="Q12" s="81">
        <f t="shared" si="0"/>
        <v>-6.1321499607337342E-2</v>
      </c>
      <c r="R12" s="86">
        <f t="shared" si="1"/>
        <v>9.999999999999995E-2</v>
      </c>
      <c r="S12" s="20">
        <f t="shared" si="2"/>
        <v>-0.61321499607337371</v>
      </c>
    </row>
    <row r="13" spans="1:19" ht="15.75" thickBot="1" x14ac:dyDescent="0.3">
      <c r="A13" s="9" t="s">
        <v>7</v>
      </c>
      <c r="B13" s="13">
        <f>SUM(B12:L12)</f>
        <v>9.0374945429138869</v>
      </c>
      <c r="O13" s="16">
        <v>0.12</v>
      </c>
      <c r="P13" s="17">
        <v>77.399107886356518</v>
      </c>
      <c r="Q13" s="81">
        <f t="shared" si="0"/>
        <v>-5.9918110420212278E-2</v>
      </c>
      <c r="R13" s="86">
        <f t="shared" si="1"/>
        <v>9.090909090909087E-2</v>
      </c>
      <c r="S13" s="20">
        <f t="shared" si="2"/>
        <v>-0.65909921462233534</v>
      </c>
    </row>
    <row r="14" spans="1:19" x14ac:dyDescent="0.25">
      <c r="O14" s="16">
        <v>0.13</v>
      </c>
      <c r="P14" s="17">
        <v>72.868782620235635</v>
      </c>
      <c r="Q14" s="81">
        <f t="shared" si="0"/>
        <v>-5.8532008828482418E-2</v>
      </c>
      <c r="R14" s="86">
        <f t="shared" si="1"/>
        <v>8.3333333333333412E-2</v>
      </c>
      <c r="S14" s="20">
        <f t="shared" si="2"/>
        <v>-0.70238410594178835</v>
      </c>
    </row>
    <row r="15" spans="1:19" ht="15.75" thickBot="1" x14ac:dyDescent="0.3">
      <c r="O15" s="16">
        <v>0.14000000000000001</v>
      </c>
      <c r="P15" s="17">
        <v>68.703306122238473</v>
      </c>
      <c r="Q15" s="81">
        <f t="shared" si="0"/>
        <v>-5.7164074219629005E-2</v>
      </c>
      <c r="R15" s="86">
        <f t="shared" si="1"/>
        <v>7.6923076923076983E-2</v>
      </c>
      <c r="S15" s="20">
        <f t="shared" si="2"/>
        <v>-0.74313296485517644</v>
      </c>
    </row>
    <row r="16" spans="1:19" x14ac:dyDescent="0.25">
      <c r="O16" s="121">
        <v>0.15</v>
      </c>
      <c r="P16" s="122">
        <v>64.868619619020436</v>
      </c>
      <c r="Q16" s="123">
        <f t="shared" si="0"/>
        <v>-5.5815166978940962E-2</v>
      </c>
      <c r="R16" s="124">
        <f t="shared" si="1"/>
        <v>7.1428571428571286E-2</v>
      </c>
      <c r="S16" s="125">
        <f t="shared" si="2"/>
        <v>-0.78141233770517504</v>
      </c>
    </row>
    <row r="17" spans="15:19" x14ac:dyDescent="0.25">
      <c r="O17" s="16"/>
      <c r="P17" s="17"/>
      <c r="Q17" s="81"/>
      <c r="R17" s="86"/>
      <c r="S17" s="92"/>
    </row>
    <row r="18" spans="15:19" x14ac:dyDescent="0.25">
      <c r="O18" s="16">
        <v>0.9</v>
      </c>
      <c r="P18" s="17">
        <v>9.0378950000000007</v>
      </c>
      <c r="Q18" s="81"/>
      <c r="R18" s="86"/>
      <c r="S18" s="92"/>
    </row>
    <row r="19" spans="15:19" ht="15.75" thickBot="1" x14ac:dyDescent="0.3">
      <c r="O19" s="18">
        <v>0.91</v>
      </c>
      <c r="P19" s="19">
        <v>8.932366</v>
      </c>
      <c r="Q19" s="85">
        <f t="shared" si="0"/>
        <v>-1.1676280815389052E-2</v>
      </c>
      <c r="R19" s="87">
        <f t="shared" si="1"/>
        <v>1.111111111111112E-2</v>
      </c>
      <c r="S19" s="126">
        <f t="shared" si="2"/>
        <v>-1.0508652733850139</v>
      </c>
    </row>
    <row r="28" spans="15:19" x14ac:dyDescent="0.25">
      <c r="O28" s="88" t="s">
        <v>45</v>
      </c>
      <c r="P28" s="89" t="s">
        <v>7</v>
      </c>
      <c r="Q28" s="90" t="s">
        <v>67</v>
      </c>
    </row>
    <row r="29" spans="15:19" x14ac:dyDescent="0.25">
      <c r="O29" s="91">
        <v>0.5</v>
      </c>
      <c r="P29" s="17">
        <v>17.456688512929901</v>
      </c>
      <c r="Q29" s="92"/>
    </row>
    <row r="30" spans="15:19" x14ac:dyDescent="0.25">
      <c r="O30" s="93">
        <v>0.51</v>
      </c>
      <c r="P30" s="94">
        <v>17.054409047575597</v>
      </c>
      <c r="Q30" s="95">
        <f>(P30-P29)/P29</f>
        <v>-2.3044431654740374E-2</v>
      </c>
    </row>
    <row r="32" spans="15:19" x14ac:dyDescent="0.25">
      <c r="O32" s="88" t="s">
        <v>45</v>
      </c>
      <c r="P32" s="89" t="s">
        <v>7</v>
      </c>
      <c r="Q32" s="90" t="s">
        <v>67</v>
      </c>
    </row>
    <row r="33" spans="15:17" x14ac:dyDescent="0.25">
      <c r="O33" s="91">
        <v>0.9</v>
      </c>
      <c r="P33" s="17">
        <v>9.0374945429138869</v>
      </c>
      <c r="Q33" s="92"/>
    </row>
    <row r="34" spans="15:17" x14ac:dyDescent="0.25">
      <c r="O34" s="93">
        <v>0.91</v>
      </c>
      <c r="P34" s="94">
        <v>8.9323659887670175</v>
      </c>
      <c r="Q34" s="95">
        <f>(P34-P33)/P33</f>
        <v>-1.1632488810662521E-2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F1" workbookViewId="0">
      <selection activeCell="T14" sqref="T14"/>
    </sheetView>
  </sheetViews>
  <sheetFormatPr defaultRowHeight="15" x14ac:dyDescent="0.25"/>
  <cols>
    <col min="1" max="1" width="17.85546875" customWidth="1"/>
    <col min="10" max="10" width="12.5703125" customWidth="1"/>
    <col min="11" max="11" width="19" customWidth="1"/>
    <col min="12" max="12" width="21.28515625" customWidth="1"/>
    <col min="14" max="14" width="18.140625" customWidth="1"/>
    <col min="17" max="17" width="23.85546875" customWidth="1"/>
    <col min="19" max="19" width="12.28515625" customWidth="1"/>
  </cols>
  <sheetData>
    <row r="1" spans="1:20" x14ac:dyDescent="0.25">
      <c r="A1" s="3" t="s">
        <v>0</v>
      </c>
      <c r="B1" s="3">
        <v>100</v>
      </c>
      <c r="C1" s="3"/>
      <c r="D1" s="3"/>
      <c r="E1" s="3"/>
      <c r="F1" s="3"/>
      <c r="I1" s="103" t="s">
        <v>43</v>
      </c>
      <c r="J1" s="109" t="s">
        <v>4</v>
      </c>
      <c r="K1" s="109" t="s">
        <v>62</v>
      </c>
      <c r="L1" s="109" t="s">
        <v>40</v>
      </c>
      <c r="M1" s="109"/>
      <c r="N1" s="109" t="s">
        <v>65</v>
      </c>
      <c r="O1" s="104" t="s">
        <v>66</v>
      </c>
      <c r="Q1" s="3" t="s">
        <v>45</v>
      </c>
      <c r="R1" s="3" t="s">
        <v>7</v>
      </c>
    </row>
    <row r="2" spans="1:20" x14ac:dyDescent="0.25">
      <c r="A2" s="3" t="s">
        <v>51</v>
      </c>
      <c r="B2" s="3">
        <v>0.08</v>
      </c>
      <c r="C2" s="3"/>
      <c r="D2" s="3" t="s">
        <v>5</v>
      </c>
      <c r="E2" s="3">
        <f>B2*B1</f>
        <v>8</v>
      </c>
      <c r="F2" s="3"/>
      <c r="I2" s="110">
        <v>1</v>
      </c>
      <c r="J2" s="102">
        <v>8</v>
      </c>
      <c r="K2" s="102">
        <f>J2/(1+$B$3)^I2</f>
        <v>7.2727272727272725</v>
      </c>
      <c r="L2" s="102">
        <f>K2*I2</f>
        <v>7.2727272727272725</v>
      </c>
      <c r="M2" s="102"/>
      <c r="N2" s="102">
        <f>I2^2+I2</f>
        <v>2</v>
      </c>
      <c r="O2" s="111">
        <f>K2*N2</f>
        <v>14.545454545454545</v>
      </c>
      <c r="Q2">
        <v>0.01</v>
      </c>
      <c r="R2">
        <v>166.29910000000001</v>
      </c>
    </row>
    <row r="3" spans="1:20" x14ac:dyDescent="0.25">
      <c r="A3" s="4" t="s">
        <v>45</v>
      </c>
      <c r="B3" s="4">
        <v>0.1</v>
      </c>
      <c r="C3" s="3"/>
      <c r="D3" s="3"/>
      <c r="E3" s="3"/>
      <c r="F3" s="3"/>
      <c r="I3" s="110">
        <v>2</v>
      </c>
      <c r="J3" s="102">
        <v>8</v>
      </c>
      <c r="K3" s="102">
        <f t="shared" ref="K3:K12" si="0">J3/(1+$B$3)^I3</f>
        <v>6.6115702479338836</v>
      </c>
      <c r="L3" s="102">
        <f t="shared" ref="L3:L12" si="1">K3*I3</f>
        <v>13.223140495867767</v>
      </c>
      <c r="M3" s="102"/>
      <c r="N3" s="102">
        <f t="shared" ref="N3:N12" si="2">I3^2+I3</f>
        <v>6</v>
      </c>
      <c r="O3" s="111">
        <f t="shared" ref="O3:O12" si="3">K3*N3</f>
        <v>39.669421487603302</v>
      </c>
      <c r="Q3">
        <v>0.02</v>
      </c>
      <c r="R3">
        <v>153.8955</v>
      </c>
    </row>
    <row r="4" spans="1:20" x14ac:dyDescent="0.25">
      <c r="A4" s="3" t="s">
        <v>2</v>
      </c>
      <c r="B4" s="3">
        <v>10</v>
      </c>
      <c r="C4" s="3"/>
      <c r="D4" s="3"/>
      <c r="E4" s="3"/>
      <c r="F4" s="3"/>
      <c r="I4" s="110">
        <v>3</v>
      </c>
      <c r="J4" s="102">
        <v>8</v>
      </c>
      <c r="K4" s="102">
        <f t="shared" si="0"/>
        <v>6.0105184072126203</v>
      </c>
      <c r="L4" s="102">
        <f t="shared" si="1"/>
        <v>18.031555221637859</v>
      </c>
      <c r="M4" s="102"/>
      <c r="N4" s="102">
        <f t="shared" si="2"/>
        <v>12</v>
      </c>
      <c r="O4" s="111">
        <f t="shared" si="3"/>
        <v>72.126220886551437</v>
      </c>
      <c r="Q4">
        <v>0.03</v>
      </c>
      <c r="R4">
        <v>142.65100000000001</v>
      </c>
    </row>
    <row r="5" spans="1:20" x14ac:dyDescent="0.25">
      <c r="I5" s="110">
        <v>4</v>
      </c>
      <c r="J5" s="102">
        <v>8</v>
      </c>
      <c r="K5" s="102">
        <f t="shared" si="0"/>
        <v>5.4641076429205642</v>
      </c>
      <c r="L5" s="102">
        <f t="shared" si="1"/>
        <v>21.856430571682257</v>
      </c>
      <c r="M5" s="102"/>
      <c r="N5" s="102">
        <f t="shared" si="2"/>
        <v>20</v>
      </c>
      <c r="O5" s="111">
        <f t="shared" si="3"/>
        <v>109.28215285841128</v>
      </c>
      <c r="Q5">
        <v>0.04</v>
      </c>
      <c r="R5">
        <v>132.4436</v>
      </c>
    </row>
    <row r="6" spans="1:20" x14ac:dyDescent="0.25">
      <c r="A6" s="3" t="s">
        <v>3</v>
      </c>
      <c r="I6" s="110">
        <v>5</v>
      </c>
      <c r="J6" s="102">
        <v>8</v>
      </c>
      <c r="K6" s="102">
        <f t="shared" si="0"/>
        <v>4.9673705844732394</v>
      </c>
      <c r="L6" s="102">
        <f t="shared" si="1"/>
        <v>24.836852922366198</v>
      </c>
      <c r="M6" s="102"/>
      <c r="N6" s="102">
        <f t="shared" si="2"/>
        <v>30</v>
      </c>
      <c r="O6" s="111">
        <f t="shared" si="3"/>
        <v>149.02111753419717</v>
      </c>
      <c r="Q6">
        <v>0.05</v>
      </c>
      <c r="R6">
        <v>123.16520478755443</v>
      </c>
    </row>
    <row r="7" spans="1:20" x14ac:dyDescent="0.25">
      <c r="I7" s="110">
        <v>6</v>
      </c>
      <c r="J7" s="102">
        <v>8</v>
      </c>
      <c r="K7" s="102">
        <f t="shared" si="0"/>
        <v>4.5157914404302177</v>
      </c>
      <c r="L7" s="102">
        <f t="shared" si="1"/>
        <v>27.094748642581308</v>
      </c>
      <c r="M7" s="102"/>
      <c r="N7" s="102">
        <f t="shared" si="2"/>
        <v>42</v>
      </c>
      <c r="O7" s="111">
        <f t="shared" si="3"/>
        <v>189.66324049806914</v>
      </c>
      <c r="Q7">
        <v>0.06</v>
      </c>
      <c r="R7">
        <v>114.72017410282933</v>
      </c>
    </row>
    <row r="8" spans="1:20" x14ac:dyDescent="0.25">
      <c r="I8" s="110">
        <v>7</v>
      </c>
      <c r="J8" s="102">
        <v>8</v>
      </c>
      <c r="K8" s="102">
        <f t="shared" si="0"/>
        <v>4.1052649458456516</v>
      </c>
      <c r="L8" s="102">
        <f t="shared" si="1"/>
        <v>28.736854620919562</v>
      </c>
      <c r="M8" s="102"/>
      <c r="N8" s="102">
        <f t="shared" si="2"/>
        <v>56</v>
      </c>
      <c r="O8" s="111">
        <f t="shared" si="3"/>
        <v>229.8948369673565</v>
      </c>
      <c r="Q8">
        <v>7.0000000000000007E-2</v>
      </c>
      <c r="R8">
        <v>107.02358154093258</v>
      </c>
    </row>
    <row r="9" spans="1:20" x14ac:dyDescent="0.25">
      <c r="I9" s="110">
        <v>8</v>
      </c>
      <c r="J9" s="102">
        <v>8</v>
      </c>
      <c r="K9" s="102">
        <f t="shared" si="0"/>
        <v>3.7320590416778652</v>
      </c>
      <c r="L9" s="102">
        <f t="shared" si="1"/>
        <v>29.856472333422921</v>
      </c>
      <c r="M9" s="102"/>
      <c r="N9" s="102">
        <f t="shared" si="2"/>
        <v>72</v>
      </c>
      <c r="O9" s="111">
        <f t="shared" si="3"/>
        <v>268.70825100080629</v>
      </c>
      <c r="Q9" s="2">
        <v>0.08</v>
      </c>
      <c r="R9" s="2">
        <v>99.999999999999972</v>
      </c>
    </row>
    <row r="10" spans="1:20" ht="15.75" thickBot="1" x14ac:dyDescent="0.3">
      <c r="I10" s="110">
        <v>9</v>
      </c>
      <c r="J10" s="102">
        <v>8</v>
      </c>
      <c r="K10" s="102">
        <f t="shared" si="0"/>
        <v>3.3927809469798773</v>
      </c>
      <c r="L10" s="102">
        <f t="shared" si="1"/>
        <v>30.535028522818894</v>
      </c>
      <c r="M10" s="102"/>
      <c r="N10" s="102">
        <f t="shared" si="2"/>
        <v>90</v>
      </c>
      <c r="O10" s="111">
        <f t="shared" si="3"/>
        <v>305.35028522818897</v>
      </c>
      <c r="Q10">
        <v>0.09</v>
      </c>
      <c r="R10">
        <v>93.582342298840956</v>
      </c>
      <c r="T10" s="7">
        <f>(R9-R11)/R11*100</f>
        <v>14.010959874720497</v>
      </c>
    </row>
    <row r="11" spans="1:20" ht="15.75" thickBot="1" x14ac:dyDescent="0.3">
      <c r="I11" s="110">
        <v>10</v>
      </c>
      <c r="J11" s="102">
        <v>8</v>
      </c>
      <c r="K11" s="102">
        <f t="shared" si="0"/>
        <v>3.0843463154362518</v>
      </c>
      <c r="L11" s="102">
        <f t="shared" si="1"/>
        <v>30.843463154362517</v>
      </c>
      <c r="M11" s="102"/>
      <c r="N11" s="102">
        <f t="shared" si="2"/>
        <v>110</v>
      </c>
      <c r="O11" s="111">
        <f t="shared" si="3"/>
        <v>339.27809469798768</v>
      </c>
      <c r="Q11" s="5">
        <v>0.1</v>
      </c>
      <c r="R11" s="6">
        <v>87.710865788590596</v>
      </c>
      <c r="S11" s="7">
        <f>(R10-R11)/R11*100</f>
        <v>6.6941267281551795</v>
      </c>
    </row>
    <row r="12" spans="1:20" ht="15.75" thickBot="1" x14ac:dyDescent="0.3">
      <c r="I12" s="110">
        <v>10</v>
      </c>
      <c r="J12" s="102">
        <v>100</v>
      </c>
      <c r="K12" s="102">
        <f t="shared" si="0"/>
        <v>38.554328942953148</v>
      </c>
      <c r="L12" s="102">
        <f t="shared" si="1"/>
        <v>385.54328942953146</v>
      </c>
      <c r="M12" s="102"/>
      <c r="N12" s="102">
        <f t="shared" si="2"/>
        <v>110</v>
      </c>
      <c r="O12" s="111">
        <f t="shared" si="3"/>
        <v>4240.9761837248461</v>
      </c>
      <c r="Q12">
        <v>0.11</v>
      </c>
      <c r="R12">
        <v>82.332303966576319</v>
      </c>
      <c r="S12" s="7">
        <f>(R12-R11)/R11*100</f>
        <v>-6.1321499607337344</v>
      </c>
    </row>
    <row r="13" spans="1:20" ht="15.75" thickBot="1" x14ac:dyDescent="0.3">
      <c r="I13" s="112" t="s">
        <v>71</v>
      </c>
      <c r="J13" s="113">
        <f>SUM(J2:J12)</f>
        <v>180</v>
      </c>
      <c r="K13" s="115">
        <f t="shared" ref="K13:L13" si="4">SUM(K2:K12)</f>
        <v>87.710865788590596</v>
      </c>
      <c r="L13" s="116">
        <f t="shared" si="4"/>
        <v>617.83056318791796</v>
      </c>
      <c r="M13" s="113"/>
      <c r="N13" s="113"/>
      <c r="O13" s="114">
        <f>SUM(O2:O12)</f>
        <v>5958.5152594294723</v>
      </c>
      <c r="Q13">
        <v>0.12</v>
      </c>
      <c r="R13">
        <v>77.399107886356518</v>
      </c>
      <c r="T13" s="7">
        <f>(R13-R11)/R11*100</f>
        <v>-11.756534164294417</v>
      </c>
    </row>
    <row r="14" spans="1:20" ht="15.75" thickBot="1" x14ac:dyDescent="0.3">
      <c r="Q14">
        <v>0.13</v>
      </c>
      <c r="R14">
        <v>72.868782620235635</v>
      </c>
    </row>
    <row r="15" spans="1:20" x14ac:dyDescent="0.25">
      <c r="I15" s="21" t="s">
        <v>63</v>
      </c>
      <c r="J15" s="22">
        <f>L13/K13</f>
        <v>7.0439455548993699</v>
      </c>
      <c r="K15" s="22"/>
      <c r="L15" s="23" t="s">
        <v>41</v>
      </c>
      <c r="N15">
        <f>1/(1.1^2)</f>
        <v>0.82644628099173545</v>
      </c>
      <c r="Q15">
        <v>0.14000000000000001</v>
      </c>
      <c r="R15">
        <v>68.703306122238473</v>
      </c>
    </row>
    <row r="16" spans="1:20" x14ac:dyDescent="0.25">
      <c r="I16" s="24" t="s">
        <v>64</v>
      </c>
      <c r="J16" s="25">
        <f>J15/1.1</f>
        <v>6.4035868680903354</v>
      </c>
      <c r="K16" s="25"/>
      <c r="L16" s="26" t="s">
        <v>42</v>
      </c>
      <c r="N16">
        <f>O13*N15</f>
        <v>4924.3927763879929</v>
      </c>
      <c r="Q16">
        <v>0.15</v>
      </c>
      <c r="R16">
        <v>64.868619619020436</v>
      </c>
    </row>
    <row r="17" spans="9:19" x14ac:dyDescent="0.25">
      <c r="I17" s="24"/>
      <c r="J17" s="25"/>
      <c r="K17" s="25"/>
      <c r="L17" s="26"/>
      <c r="N17">
        <f>N16/K13</f>
        <v>56.143474723613508</v>
      </c>
    </row>
    <row r="18" spans="9:19" ht="15.75" thickBot="1" x14ac:dyDescent="0.3">
      <c r="I18" s="27" t="s">
        <v>44</v>
      </c>
      <c r="J18" s="28">
        <f>O13*1/(1+B3)^2/K13</f>
        <v>56.143474723613508</v>
      </c>
      <c r="K18" s="28"/>
      <c r="L18" s="29"/>
    </row>
    <row r="20" spans="9:19" ht="15.75" thickBot="1" x14ac:dyDescent="0.3"/>
    <row r="21" spans="9:19" x14ac:dyDescent="0.25">
      <c r="I21" t="s">
        <v>48</v>
      </c>
      <c r="J21" t="s">
        <v>49</v>
      </c>
      <c r="K21" s="14" t="s">
        <v>78</v>
      </c>
      <c r="L21" s="30">
        <f>J16*0.01</f>
        <v>6.4035868680903357E-2</v>
      </c>
      <c r="N21" s="14" t="s">
        <v>50</v>
      </c>
      <c r="O21" s="30">
        <f>0.5*J18*(0.01^2)</f>
        <v>2.8071737361806755E-3</v>
      </c>
      <c r="Q21" s="14" t="s">
        <v>72</v>
      </c>
      <c r="R21" s="15">
        <f>(L21+O21)*100</f>
        <v>6.6843042417084035</v>
      </c>
      <c r="S21" s="30">
        <f>(-L21+O21)*100</f>
        <v>-6.1228694944722681</v>
      </c>
    </row>
    <row r="22" spans="9:19" ht="15.75" thickBot="1" x14ac:dyDescent="0.3">
      <c r="I22" t="s">
        <v>46</v>
      </c>
      <c r="J22" t="s">
        <v>47</v>
      </c>
      <c r="K22" s="18" t="s">
        <v>78</v>
      </c>
      <c r="L22" s="31">
        <f>J16*0.02</f>
        <v>0.12807173736180671</v>
      </c>
      <c r="N22" s="18"/>
      <c r="O22" s="31">
        <f>1/2*J18*0.02^2</f>
        <v>1.1228694944722702E-2</v>
      </c>
      <c r="Q22" s="18" t="s">
        <v>73</v>
      </c>
      <c r="R22" s="19">
        <f>(L22+O22)*100</f>
        <v>13.930043230652942</v>
      </c>
      <c r="S22" s="31">
        <f>(-L22+O22)*100</f>
        <v>-11.684304241708402</v>
      </c>
    </row>
    <row r="49" spans="9:19" ht="15.75" thickBot="1" x14ac:dyDescent="0.3"/>
    <row r="50" spans="9:19" x14ac:dyDescent="0.25">
      <c r="I50" s="14"/>
      <c r="J50" s="15"/>
      <c r="K50" s="15"/>
      <c r="L50" s="30"/>
    </row>
    <row r="51" spans="9:19" x14ac:dyDescent="0.25">
      <c r="I51" s="16"/>
      <c r="J51" s="17"/>
      <c r="K51" s="17"/>
      <c r="L51" s="20"/>
    </row>
    <row r="52" spans="9:19" x14ac:dyDescent="0.25">
      <c r="I52" s="16"/>
      <c r="J52" s="17"/>
      <c r="K52" s="17"/>
      <c r="L52" s="20"/>
    </row>
    <row r="53" spans="9:19" ht="15.75" thickBot="1" x14ac:dyDescent="0.3">
      <c r="I53" s="18"/>
      <c r="J53" s="19"/>
      <c r="K53" s="19"/>
      <c r="L53" s="31"/>
    </row>
    <row r="54" spans="9:19" ht="15.75" thickBot="1" x14ac:dyDescent="0.3"/>
    <row r="55" spans="9:19" x14ac:dyDescent="0.25">
      <c r="K55" s="14"/>
      <c r="L55" s="30"/>
      <c r="N55" s="14"/>
      <c r="O55" s="30"/>
      <c r="Q55" s="14"/>
      <c r="R55" s="15"/>
      <c r="S55" s="30"/>
    </row>
    <row r="56" spans="9:19" ht="15.75" thickBot="1" x14ac:dyDescent="0.3">
      <c r="K56" s="18"/>
      <c r="L56" s="31"/>
      <c r="N56" s="18"/>
      <c r="O56" s="31"/>
      <c r="Q56" s="18"/>
      <c r="R56" s="19"/>
      <c r="S56" s="3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Sheet1 - Pricing</vt:lpstr>
      <vt:lpstr>Sheet2 - yield</vt:lpstr>
      <vt:lpstr>Sheet3-Elasticity</vt:lpstr>
      <vt:lpstr>Sheet4-Dur + Convex</vt:lpstr>
    </vt:vector>
  </TitlesOfParts>
  <Company>Ekonomicko-správní fakulta Masarykovy univerzity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Linnertova Dagmar</dc:creator>
  <cp:lastModifiedBy>Linnertova Dagmar</cp:lastModifiedBy>
  <dcterms:created xsi:type="dcterms:W3CDTF">2015-03-16T13:24:44Z</dcterms:created>
  <dcterms:modified xsi:type="dcterms:W3CDTF">2018-03-14T12:56:56Z</dcterms:modified>
</cp:coreProperties>
</file>