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hD\Výuka\Jaro 2021\TEPO\"/>
    </mc:Choice>
  </mc:AlternateContent>
  <xr:revisionPtr revIDLastSave="0" documentId="8_{7879E2A0-B323-4C77-B677-59736305C924}" xr6:coauthVersionLast="45" xr6:coauthVersionMax="45" xr10:uidLastSave="{00000000-0000-0000-0000-000000000000}"/>
  <bookViews>
    <workbookView xWindow="-108" yWindow="-108" windowWidth="23256" windowHeight="12576" activeTab="4" xr2:uid="{F89155CD-41DD-4094-B3E3-6D445F6E0277}"/>
  </bookViews>
  <sheets>
    <sheet name="Pr.1" sheetId="1" r:id="rId1"/>
    <sheet name="Pr.2" sheetId="2" r:id="rId2"/>
    <sheet name="Pr.3" sheetId="3" r:id="rId3"/>
    <sheet name="Pr.4" sheetId="4" r:id="rId4"/>
    <sheet name="Pr.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" i="5" l="1" a="1"/>
  <c r="T18" i="5" s="1"/>
  <c r="S18" i="5" a="1"/>
  <c r="S18" i="5" s="1"/>
  <c r="R18" i="5" a="1"/>
  <c r="R18" i="5" s="1"/>
  <c r="Q18" i="5" a="1"/>
  <c r="Q18" i="5" s="1"/>
  <c r="P18" i="5" a="1"/>
  <c r="P18" i="5" s="1"/>
  <c r="P15" i="5"/>
  <c r="Q15" i="5"/>
  <c r="R15" i="5"/>
  <c r="S15" i="5"/>
  <c r="T15" i="5"/>
  <c r="O15" i="5"/>
  <c r="O18" i="5" a="1"/>
  <c r="O18" i="5" s="1"/>
  <c r="R10" i="5" a="1"/>
  <c r="R10" i="5" s="1"/>
  <c r="T14" i="5"/>
  <c r="P14" i="5"/>
  <c r="Q14" i="5"/>
  <c r="R14" i="5"/>
  <c r="S14" i="5"/>
  <c r="O14" i="5"/>
  <c r="P11" i="5"/>
  <c r="O11" i="5"/>
  <c r="P10" i="5"/>
  <c r="O8" i="5" a="1"/>
  <c r="O8" i="5" s="1"/>
  <c r="O7" i="5" a="1"/>
  <c r="O7" i="5" s="1"/>
  <c r="O6" i="5" a="1"/>
  <c r="O6" i="5" s="1"/>
  <c r="O5" i="5" a="1"/>
  <c r="O5" i="5" s="1"/>
  <c r="O4" i="5" a="1"/>
  <c r="O4" i="5" s="1"/>
  <c r="O3" i="5" a="1"/>
  <c r="O3" i="5" s="1"/>
  <c r="O46" i="5"/>
  <c r="O45" i="5"/>
  <c r="O47" i="5" a="1"/>
  <c r="O47" i="5" s="1"/>
  <c r="O44" i="5"/>
  <c r="O43" i="5" a="1"/>
  <c r="O43" i="5"/>
  <c r="O42" i="5" a="1"/>
  <c r="O42" i="5" s="1"/>
  <c r="I22" i="5"/>
  <c r="J22" i="5"/>
  <c r="K22" i="5"/>
  <c r="L22" i="5"/>
  <c r="M22" i="5"/>
  <c r="H22" i="5"/>
  <c r="I49" i="5"/>
  <c r="I43" i="5" a="1"/>
  <c r="I43" i="5" s="1"/>
  <c r="B43" i="5" a="1"/>
  <c r="B43" i="5" s="1"/>
  <c r="B37" i="5"/>
  <c r="C37" i="5"/>
  <c r="D37" i="5"/>
  <c r="E37" i="5"/>
  <c r="F37" i="5"/>
  <c r="B38" i="5"/>
  <c r="C38" i="5"/>
  <c r="D38" i="5"/>
  <c r="E38" i="5"/>
  <c r="F38" i="5"/>
  <c r="B39" i="5"/>
  <c r="C39" i="5"/>
  <c r="D39" i="5"/>
  <c r="E39" i="5"/>
  <c r="F39" i="5"/>
  <c r="B40" i="5"/>
  <c r="C40" i="5"/>
  <c r="D40" i="5"/>
  <c r="E40" i="5"/>
  <c r="F40" i="5"/>
  <c r="C36" i="5"/>
  <c r="D36" i="5"/>
  <c r="E36" i="5"/>
  <c r="F36" i="5"/>
  <c r="B36" i="5"/>
  <c r="F32" i="5"/>
  <c r="F33" i="5"/>
  <c r="C31" i="5"/>
  <c r="D31" i="5"/>
  <c r="E31" i="5"/>
  <c r="F31" i="5"/>
  <c r="C32" i="5"/>
  <c r="D32" i="5"/>
  <c r="E32" i="5"/>
  <c r="C33" i="5"/>
  <c r="D33" i="5"/>
  <c r="E33" i="5"/>
  <c r="B33" i="5"/>
  <c r="B32" i="5"/>
  <c r="B31" i="5"/>
  <c r="C30" i="5"/>
  <c r="D30" i="5"/>
  <c r="E30" i="5"/>
  <c r="F30" i="5"/>
  <c r="B30" i="5"/>
  <c r="F29" i="5"/>
  <c r="C29" i="5"/>
  <c r="D29" i="5"/>
  <c r="E29" i="5"/>
  <c r="B29" i="5"/>
  <c r="I26" i="5"/>
  <c r="J26" i="5"/>
  <c r="K26" i="5"/>
  <c r="L26" i="5"/>
  <c r="M26" i="5"/>
  <c r="H26" i="5"/>
  <c r="M25" i="5"/>
  <c r="I25" i="5"/>
  <c r="J25" i="5"/>
  <c r="K25" i="5"/>
  <c r="L25" i="5"/>
  <c r="H25" i="5"/>
  <c r="I24" i="5"/>
  <c r="J24" i="5"/>
  <c r="K24" i="5"/>
  <c r="L24" i="5"/>
  <c r="M24" i="5"/>
  <c r="H24" i="5"/>
  <c r="I23" i="5"/>
  <c r="J23" i="5"/>
  <c r="K23" i="5"/>
  <c r="L23" i="5"/>
  <c r="M23" i="5"/>
  <c r="H23" i="5"/>
  <c r="H4" i="5"/>
  <c r="I4" i="5"/>
  <c r="J4" i="5"/>
  <c r="K4" i="5"/>
  <c r="L4" i="5"/>
  <c r="M4" i="5"/>
  <c r="H5" i="5"/>
  <c r="I5" i="5"/>
  <c r="J5" i="5"/>
  <c r="K5" i="5"/>
  <c r="L5" i="5"/>
  <c r="M5" i="5"/>
  <c r="H6" i="5"/>
  <c r="I6" i="5"/>
  <c r="J6" i="5"/>
  <c r="K6" i="5"/>
  <c r="L6" i="5"/>
  <c r="M6" i="5"/>
  <c r="H7" i="5"/>
  <c r="I7" i="5"/>
  <c r="J7" i="5"/>
  <c r="K7" i="5"/>
  <c r="L7" i="5"/>
  <c r="M7" i="5"/>
  <c r="H8" i="5"/>
  <c r="I8" i="5"/>
  <c r="J8" i="5"/>
  <c r="K8" i="5"/>
  <c r="L8" i="5"/>
  <c r="M8" i="5"/>
  <c r="H9" i="5"/>
  <c r="I9" i="5"/>
  <c r="J9" i="5"/>
  <c r="K9" i="5"/>
  <c r="L9" i="5"/>
  <c r="M9" i="5"/>
  <c r="H10" i="5"/>
  <c r="I10" i="5"/>
  <c r="J10" i="5"/>
  <c r="K10" i="5"/>
  <c r="L10" i="5"/>
  <c r="M10" i="5"/>
  <c r="H11" i="5"/>
  <c r="I11" i="5"/>
  <c r="J11" i="5"/>
  <c r="K11" i="5"/>
  <c r="L11" i="5"/>
  <c r="M11" i="5"/>
  <c r="H12" i="5"/>
  <c r="I12" i="5"/>
  <c r="J12" i="5"/>
  <c r="K12" i="5"/>
  <c r="L12" i="5"/>
  <c r="M12" i="5"/>
  <c r="H13" i="5"/>
  <c r="I13" i="5"/>
  <c r="J13" i="5"/>
  <c r="K13" i="5"/>
  <c r="L13" i="5"/>
  <c r="M13" i="5"/>
  <c r="H14" i="5"/>
  <c r="I14" i="5"/>
  <c r="J14" i="5"/>
  <c r="K14" i="5"/>
  <c r="L14" i="5"/>
  <c r="M14" i="5"/>
  <c r="H15" i="5"/>
  <c r="I15" i="5"/>
  <c r="J15" i="5"/>
  <c r="K15" i="5"/>
  <c r="L15" i="5"/>
  <c r="M15" i="5"/>
  <c r="H16" i="5"/>
  <c r="I16" i="5"/>
  <c r="J16" i="5"/>
  <c r="K16" i="5"/>
  <c r="L16" i="5"/>
  <c r="M16" i="5"/>
  <c r="H17" i="5"/>
  <c r="I17" i="5"/>
  <c r="J17" i="5"/>
  <c r="K17" i="5"/>
  <c r="L17" i="5"/>
  <c r="M17" i="5"/>
  <c r="H18" i="5"/>
  <c r="I18" i="5"/>
  <c r="J18" i="5"/>
  <c r="K18" i="5"/>
  <c r="L18" i="5"/>
  <c r="M18" i="5"/>
  <c r="H19" i="5"/>
  <c r="I19" i="5"/>
  <c r="J19" i="5"/>
  <c r="K19" i="5"/>
  <c r="L19" i="5"/>
  <c r="M19" i="5"/>
  <c r="H20" i="5"/>
  <c r="I20" i="5"/>
  <c r="J20" i="5"/>
  <c r="K20" i="5"/>
  <c r="L20" i="5"/>
  <c r="M20" i="5"/>
  <c r="H21" i="5"/>
  <c r="I21" i="5"/>
  <c r="J21" i="5"/>
  <c r="K21" i="5"/>
  <c r="L21" i="5"/>
  <c r="M21" i="5"/>
  <c r="I3" i="5"/>
  <c r="J3" i="5"/>
  <c r="K3" i="5"/>
  <c r="L3" i="5"/>
  <c r="M3" i="5"/>
  <c r="H3" i="5"/>
  <c r="B24" i="5"/>
  <c r="G3" i="4"/>
  <c r="G4" i="4"/>
  <c r="G2" i="4"/>
  <c r="F3" i="4"/>
  <c r="F4" i="4"/>
  <c r="F5" i="4"/>
  <c r="F6" i="4"/>
  <c r="F2" i="4"/>
  <c r="E3" i="4"/>
  <c r="E4" i="4"/>
  <c r="E5" i="4"/>
  <c r="E6" i="4"/>
  <c r="E2" i="4"/>
  <c r="D3" i="3"/>
  <c r="B5" i="3"/>
  <c r="B6" i="3"/>
  <c r="B4" i="3"/>
  <c r="E5" i="3"/>
  <c r="E6" i="3"/>
  <c r="E4" i="3"/>
  <c r="D4" i="3"/>
  <c r="C19" i="2"/>
  <c r="D19" i="2"/>
  <c r="B19" i="2"/>
  <c r="C15" i="2"/>
  <c r="D15" i="2"/>
  <c r="B15" i="2"/>
  <c r="C14" i="2"/>
  <c r="D14" i="2"/>
  <c r="B14" i="2"/>
  <c r="C13" i="2"/>
  <c r="D13" i="2"/>
  <c r="B13" i="2"/>
  <c r="C12" i="2"/>
  <c r="D12" i="2"/>
  <c r="B12" i="2"/>
  <c r="G3" i="2"/>
  <c r="G4" i="2"/>
  <c r="G8" i="2"/>
  <c r="H8" i="2"/>
  <c r="G9" i="2"/>
  <c r="G10" i="2"/>
  <c r="H2" i="2"/>
  <c r="G2" i="2"/>
  <c r="E3" i="2"/>
  <c r="F3" i="2"/>
  <c r="H3" i="2" s="1"/>
  <c r="E4" i="2"/>
  <c r="F4" i="2"/>
  <c r="H4" i="2" s="1"/>
  <c r="E5" i="2"/>
  <c r="G5" i="2" s="1"/>
  <c r="F5" i="2"/>
  <c r="H5" i="2" s="1"/>
  <c r="E6" i="2"/>
  <c r="G6" i="2" s="1"/>
  <c r="F6" i="2"/>
  <c r="H6" i="2" s="1"/>
  <c r="E7" i="2"/>
  <c r="G7" i="2" s="1"/>
  <c r="F7" i="2"/>
  <c r="H7" i="2" s="1"/>
  <c r="E8" i="2"/>
  <c r="F8" i="2"/>
  <c r="E9" i="2"/>
  <c r="F9" i="2"/>
  <c r="H9" i="2" s="1"/>
  <c r="E10" i="2"/>
  <c r="F10" i="2"/>
  <c r="H10" i="2" s="1"/>
  <c r="E11" i="2"/>
  <c r="G11" i="2" s="1"/>
  <c r="F11" i="2"/>
  <c r="H11" i="2" s="1"/>
  <c r="F2" i="2"/>
  <c r="E2" i="2"/>
  <c r="C4" i="1"/>
  <c r="C5" i="1"/>
  <c r="C6" i="1"/>
  <c r="C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<sst xmlns="http://schemas.openxmlformats.org/spreadsheetml/2006/main" count="99" uniqueCount="51">
  <si>
    <t>Príklad 1</t>
  </si>
  <si>
    <t>CP_1</t>
  </si>
  <si>
    <t>CP_2</t>
  </si>
  <si>
    <t>CP_3</t>
  </si>
  <si>
    <t>CP_4</t>
  </si>
  <si>
    <t>Beta</t>
  </si>
  <si>
    <t>r_f</t>
  </si>
  <si>
    <t>r_m</t>
  </si>
  <si>
    <t>r</t>
  </si>
  <si>
    <t>ROK</t>
  </si>
  <si>
    <t>Rozptyl</t>
  </si>
  <si>
    <t xml:space="preserve">Kovariancia s trhom </t>
  </si>
  <si>
    <t>r_rovnovazne</t>
  </si>
  <si>
    <t>sigma</t>
  </si>
  <si>
    <t>risk free</t>
  </si>
  <si>
    <t>market</t>
  </si>
  <si>
    <t>kovariancia s M</t>
  </si>
  <si>
    <r>
      <t>r</t>
    </r>
    <r>
      <rPr>
        <b/>
        <sz val="8"/>
        <color theme="1"/>
        <rFont val="Arial"/>
        <family val="2"/>
        <charset val="238"/>
      </rPr>
      <t>i</t>
    </r>
  </si>
  <si>
    <r>
      <t>korelace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</si>
  <si>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</si>
  <si>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C</t>
    </r>
    <r>
      <rPr>
        <b/>
        <sz val="8"/>
        <color theme="1"/>
        <rFont val="Arial"/>
        <family val="2"/>
        <charset val="238"/>
      </rPr>
      <t>1</t>
    </r>
  </si>
  <si>
    <r>
      <t>C</t>
    </r>
    <r>
      <rPr>
        <b/>
        <sz val="8"/>
        <color theme="1"/>
        <rFont val="Arial"/>
        <family val="2"/>
        <charset val="238"/>
      </rPr>
      <t>2</t>
    </r>
  </si>
  <si>
    <r>
      <t>C</t>
    </r>
    <r>
      <rPr>
        <b/>
        <sz val="8"/>
        <color theme="1"/>
        <rFont val="Arial"/>
        <family val="2"/>
        <charset val="238"/>
      </rPr>
      <t>3</t>
    </r>
  </si>
  <si>
    <t>TP</t>
  </si>
  <si>
    <r>
      <t>r</t>
    </r>
    <r>
      <rPr>
        <b/>
        <sz val="8"/>
        <color theme="1"/>
        <rFont val="Arial"/>
        <family val="2"/>
        <charset val="238"/>
      </rPr>
      <t>f</t>
    </r>
  </si>
  <si>
    <t>kovariancie_iM</t>
  </si>
  <si>
    <t>den</t>
  </si>
  <si>
    <t>Český Telecom</t>
  </si>
  <si>
    <t>ČEZ</t>
  </si>
  <si>
    <t>Komerční banka</t>
  </si>
  <si>
    <t>UNIPETROL</t>
  </si>
  <si>
    <t>IPB</t>
  </si>
  <si>
    <t>PX50</t>
  </si>
  <si>
    <t>p.a.</t>
  </si>
  <si>
    <t>p.d.</t>
  </si>
  <si>
    <t>E(r)</t>
  </si>
  <si>
    <t>Roztyl</t>
  </si>
  <si>
    <t>Riziko</t>
  </si>
  <si>
    <t>Kovariancia i,M</t>
  </si>
  <si>
    <t>Matica sústavy</t>
  </si>
  <si>
    <t>VPS</t>
  </si>
  <si>
    <t>Vahy</t>
  </si>
  <si>
    <t>Výnos portfólia</t>
  </si>
  <si>
    <t>Riziko portfólia</t>
  </si>
  <si>
    <t>Rozptyl portfólia</t>
  </si>
  <si>
    <t xml:space="preserve">Beta portfólia </t>
  </si>
  <si>
    <t>Systematické riziko (rozptyl)</t>
  </si>
  <si>
    <t>Nesystematické riziko (rozptyl)</t>
  </si>
  <si>
    <t>Alpha</t>
  </si>
  <si>
    <t>Vektory pravých strán</t>
  </si>
  <si>
    <t>Inverzia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</si>
</sst>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1" formatCode="0.000000000"/>
    <numFmt numFmtId="176" formatCode="0.000"/>
    <numFmt numFmtId="177" formatCode="0.00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0" applyNumberFormat="1"/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 applyFill="1" applyBorder="1" applyAlignment="1">
      <alignment vertical="center"/>
    </xf>
    <xf numFmtId="0" fontId="0" fillId="5" borderId="0" xfId="0" applyFill="1"/>
    <xf numFmtId="0" fontId="5" fillId="5" borderId="10" xfId="0" applyFont="1" applyFill="1" applyBorder="1" applyAlignment="1">
      <alignment vertical="center"/>
    </xf>
    <xf numFmtId="0" fontId="0" fillId="6" borderId="0" xfId="0" applyFill="1"/>
    <xf numFmtId="10" fontId="0" fillId="6" borderId="0" xfId="1" applyNumberFormat="1" applyFont="1" applyFill="1"/>
    <xf numFmtId="171" fontId="0" fillId="6" borderId="0" xfId="0" applyNumberFormat="1" applyFill="1"/>
    <xf numFmtId="0" fontId="5" fillId="0" borderId="12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 s Beta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0"/>
          </c:trendline>
          <c:xVal>
            <c:numRef>
              <c:f>(Pr.2!$C$17,Pr.2!$B$15)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(Pr.2!$B$17,Pr.2!$B$12)</c:f>
              <c:numCache>
                <c:formatCode>General</c:formatCode>
                <c:ptCount val="2"/>
                <c:pt idx="0">
                  <c:v>7</c:v>
                </c:pt>
                <c:pt idx="1">
                  <c:v>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BA-479A-B3AF-A21957C0B9D9}"/>
            </c:ext>
          </c:extLst>
        </c:ser>
        <c:ser>
          <c:idx val="1"/>
          <c:order val="1"/>
          <c:tx>
            <c:v>Rovnovazne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Pr.2!$C$15:$D$15</c:f>
              <c:numCache>
                <c:formatCode>General</c:formatCode>
                <c:ptCount val="2"/>
                <c:pt idx="0">
                  <c:v>0.58308730493462646</c:v>
                </c:pt>
                <c:pt idx="1">
                  <c:v>1.5788696752425133</c:v>
                </c:pt>
              </c:numCache>
            </c:numRef>
          </c:xVal>
          <c:yVal>
            <c:numRef>
              <c:f>Pr.2!$C$19:$D$19</c:f>
              <c:numCache>
                <c:formatCode>General</c:formatCode>
                <c:ptCount val="2"/>
                <c:pt idx="0">
                  <c:v>11.431463517503161</c:v>
                </c:pt>
                <c:pt idx="1">
                  <c:v>18.999409531843099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BA-479A-B3AF-A21957C0B9D9}"/>
            </c:ext>
          </c:extLst>
        </c:ser>
        <c:ser>
          <c:idx val="2"/>
          <c:order val="2"/>
          <c:tx>
            <c:v>Ocakavane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Pr.2!$C$15:$D$15</c:f>
              <c:numCache>
                <c:formatCode>General</c:formatCode>
                <c:ptCount val="2"/>
                <c:pt idx="0">
                  <c:v>0.58308730493462646</c:v>
                </c:pt>
                <c:pt idx="1">
                  <c:v>1.5788696752425133</c:v>
                </c:pt>
              </c:numCache>
            </c:numRef>
          </c:xVal>
          <c:yVal>
            <c:numRef>
              <c:f>Pr.2!$C$12:$D$12</c:f>
              <c:numCache>
                <c:formatCode>General</c:formatCode>
                <c:ptCount val="2"/>
                <c:pt idx="0">
                  <c:v>10</c:v>
                </c:pt>
                <c:pt idx="1">
                  <c:v>17.600000000000001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BA-479A-B3AF-A21957C0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447584"/>
        <c:axId val="1302266000"/>
      </c:scatterChart>
      <c:valAx>
        <c:axId val="130144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2266000"/>
        <c:crosses val="autoZero"/>
        <c:crossBetween val="midCat"/>
      </c:valAx>
      <c:valAx>
        <c:axId val="130226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1447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 s kovariancie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0"/>
            <c:dispRSqr val="0"/>
            <c:dispEq val="0"/>
          </c:trendline>
          <c:xVal>
            <c:numRef>
              <c:f>(Pr.2!$B$14,Pr.2!$C$17)</c:f>
              <c:numCache>
                <c:formatCode>General</c:formatCode>
                <c:ptCount val="2"/>
                <c:pt idx="0">
                  <c:v>105.37777777777779</c:v>
                </c:pt>
                <c:pt idx="1">
                  <c:v>0</c:v>
                </c:pt>
              </c:numCache>
            </c:numRef>
          </c:xVal>
          <c:yVal>
            <c:numRef>
              <c:f>(Pr.2!$B$12,Pr.2!$B$17)</c:f>
              <c:numCache>
                <c:formatCode>General</c:formatCode>
                <c:ptCount val="2"/>
                <c:pt idx="0">
                  <c:v>14.6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D-477D-A7CA-C6F235FC41EC}"/>
            </c:ext>
          </c:extLst>
        </c:ser>
        <c:ser>
          <c:idx val="1"/>
          <c:order val="1"/>
          <c:tx>
            <c:v>Rovnovazne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Pr.2!$C$14:$D$14</c:f>
              <c:numCache>
                <c:formatCode>General</c:formatCode>
                <c:ptCount val="2"/>
                <c:pt idx="0">
                  <c:v>61.444444444444429</c:v>
                </c:pt>
                <c:pt idx="1">
                  <c:v>166.37777777777777</c:v>
                </c:pt>
              </c:numCache>
            </c:numRef>
          </c:xVal>
          <c:yVal>
            <c:numRef>
              <c:f>Pr.2!$C$19:$D$19</c:f>
              <c:numCache>
                <c:formatCode>General</c:formatCode>
                <c:ptCount val="2"/>
                <c:pt idx="0">
                  <c:v>11.431463517503161</c:v>
                </c:pt>
                <c:pt idx="1">
                  <c:v>18.999409531843099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2D-477D-A7CA-C6F235FC41EC}"/>
            </c:ext>
          </c:extLst>
        </c:ser>
        <c:ser>
          <c:idx val="2"/>
          <c:order val="2"/>
          <c:tx>
            <c:v>Ocakavane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Pr.2!$C$14:$D$14</c:f>
              <c:numCache>
                <c:formatCode>General</c:formatCode>
                <c:ptCount val="2"/>
                <c:pt idx="0">
                  <c:v>61.444444444444429</c:v>
                </c:pt>
                <c:pt idx="1">
                  <c:v>166.37777777777777</c:v>
                </c:pt>
              </c:numCache>
            </c:numRef>
          </c:xVal>
          <c:yVal>
            <c:numRef>
              <c:f>Pr.2!$C$12:$D$12</c:f>
              <c:numCache>
                <c:formatCode>General</c:formatCode>
                <c:ptCount val="2"/>
                <c:pt idx="0">
                  <c:v>10</c:v>
                </c:pt>
                <c:pt idx="1">
                  <c:v>17.600000000000001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2D-477D-A7CA-C6F235FC4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304528"/>
        <c:axId val="1488441904"/>
      </c:scatterChart>
      <c:valAx>
        <c:axId val="148730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8441904"/>
        <c:crosses val="autoZero"/>
        <c:crossBetween val="midCat"/>
      </c:valAx>
      <c:valAx>
        <c:axId val="148844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7304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2"/>
            <c:dispRSqr val="0"/>
            <c:dispEq val="0"/>
          </c:trendline>
          <c:xVal>
            <c:numRef>
              <c:f>Pr.3!$C$2:$C$3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Pr.3!$B$2:$B$3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F-4C7C-9A5A-092DFE75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558880"/>
        <c:axId val="1488441072"/>
      </c:scatterChart>
      <c:valAx>
        <c:axId val="149155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8441072"/>
        <c:crosses val="autoZero"/>
        <c:crossBetween val="midCat"/>
      </c:valAx>
      <c:valAx>
        <c:axId val="14884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155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Pr.3!$E$2:$E$3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Pr.3!$B$2:$B$3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8-4922-B36B-B3E6E04BD217}"/>
            </c:ext>
          </c:extLst>
        </c:ser>
        <c:ser>
          <c:idx val="1"/>
          <c:order val="1"/>
          <c:tx>
            <c:v>Rovnovazne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Pr.3!$E$4:$E$6</c:f>
              <c:numCache>
                <c:formatCode>General</c:formatCode>
                <c:ptCount val="3"/>
                <c:pt idx="0">
                  <c:v>1.3333333333333335</c:v>
                </c:pt>
                <c:pt idx="1">
                  <c:v>-0.33333333333333337</c:v>
                </c:pt>
                <c:pt idx="2">
                  <c:v>0.66666666666666674</c:v>
                </c:pt>
              </c:numCache>
            </c:numRef>
          </c:xVal>
          <c:yVal>
            <c:numRef>
              <c:f>Pr.3!$B$4:$B$6</c:f>
              <c:numCache>
                <c:formatCode>General</c:formatCode>
                <c:ptCount val="3"/>
                <c:pt idx="0">
                  <c:v>0.12000000000000002</c:v>
                </c:pt>
                <c:pt idx="1">
                  <c:v>1.9999999999999997E-2</c:v>
                </c:pt>
                <c:pt idx="2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8-4922-B36B-B3E6E04B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797792"/>
        <c:axId val="1488440656"/>
      </c:scatterChart>
      <c:valAx>
        <c:axId val="148379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8440656"/>
        <c:crosses val="autoZero"/>
        <c:crossBetween val="midCat"/>
      </c:valAx>
      <c:valAx>
        <c:axId val="148844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379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0"/>
          </c:trendline>
          <c:xVal>
            <c:numRef>
              <c:f>Pr.4!$F$5:$F$6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xVal>
          <c:yVal>
            <c:numRef>
              <c:f>Pr.4!$B$5:$B$6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40-428E-908E-9101A4932A79}"/>
            </c:ext>
          </c:extLst>
        </c:ser>
        <c:ser>
          <c:idx val="1"/>
          <c:order val="1"/>
          <c:tx>
            <c:v>CP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Pr.4!$F$2:$F$4</c:f>
              <c:numCache>
                <c:formatCode>General</c:formatCode>
                <c:ptCount val="3"/>
                <c:pt idx="0">
                  <c:v>1.5</c:v>
                </c:pt>
                <c:pt idx="1">
                  <c:v>0.60000000000000009</c:v>
                </c:pt>
                <c:pt idx="2">
                  <c:v>0.625</c:v>
                </c:pt>
              </c:numCache>
            </c:numRef>
          </c:xVal>
          <c:yVal>
            <c:numRef>
              <c:f>Pr.4!$B$2:$B$4</c:f>
              <c:numCache>
                <c:formatCode>General</c:formatCode>
                <c:ptCount val="3"/>
                <c:pt idx="0">
                  <c:v>15.5</c:v>
                </c:pt>
                <c:pt idx="1">
                  <c:v>9.1999999999999993</c:v>
                </c:pt>
                <c:pt idx="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40-428E-908E-9101A493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818496"/>
        <c:axId val="1488460624"/>
      </c:scatterChart>
      <c:valAx>
        <c:axId val="149681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8460624"/>
        <c:crosses val="autoZero"/>
        <c:crossBetween val="midCat"/>
      </c:valAx>
      <c:valAx>
        <c:axId val="148846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681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205740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63DD6E1-B662-49C0-8BA9-1EC32E385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129540</xdr:colOff>
          <xdr:row>1</xdr:row>
          <xdr:rowOff>15240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8C9A158-1436-4069-955C-3CF251111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1</xdr:row>
          <xdr:rowOff>30480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0B3B639-00B5-4B5E-8A92-64DB1ECA5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477982</xdr:colOff>
          <xdr:row>0</xdr:row>
          <xdr:rowOff>540327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7BF73A2-ABB2-40E7-A3FC-F6D8EC52D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865908</xdr:colOff>
          <xdr:row>0</xdr:row>
          <xdr:rowOff>1</xdr:rowOff>
        </xdr:from>
        <xdr:to>
          <xdr:col>5</xdr:col>
          <xdr:colOff>450272</xdr:colOff>
          <xdr:row>0</xdr:row>
          <xdr:rowOff>609601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567D837-2FC9-4DD9-B198-8EAAB4A07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640774</xdr:colOff>
      <xdr:row>19</xdr:row>
      <xdr:rowOff>169718</xdr:rowOff>
    </xdr:from>
    <xdr:to>
      <xdr:col>15</xdr:col>
      <xdr:colOff>252847</xdr:colOff>
      <xdr:row>35</xdr:row>
      <xdr:rowOff>31173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609A9C-D6E6-4C59-BCFB-AB6435573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384463</xdr:colOff>
      <xdr:row>19</xdr:row>
      <xdr:rowOff>169719</xdr:rowOff>
    </xdr:from>
    <xdr:to>
      <xdr:col>7</xdr:col>
      <xdr:colOff>640772</xdr:colOff>
      <xdr:row>35</xdr:row>
      <xdr:rowOff>31174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596170E-F992-472E-A895-30D36ED13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10</xdr:row>
      <xdr:rowOff>140970</xdr:rowOff>
    </xdr:from>
    <xdr:to>
      <xdr:col>7</xdr:col>
      <xdr:colOff>388620</xdr:colOff>
      <xdr:row>25</xdr:row>
      <xdr:rowOff>140970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0895D61-1DC3-4B4B-9D6F-33C354FF7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396240</xdr:colOff>
      <xdr:row>10</xdr:row>
      <xdr:rowOff>140970</xdr:rowOff>
    </xdr:from>
    <xdr:to>
      <xdr:col>15</xdr:col>
      <xdr:colOff>91440</xdr:colOff>
      <xdr:row>25</xdr:row>
      <xdr:rowOff>140970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46BD034-741A-445F-AACB-8711BBCA4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8</xdr:row>
      <xdr:rowOff>57150</xdr:rowOff>
    </xdr:from>
    <xdr:to>
      <xdr:col>9</xdr:col>
      <xdr:colOff>426720</xdr:colOff>
      <xdr:row>23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7B16D2B-5928-40DA-BDEC-22B2FE8DA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7CA8-0C64-476B-9286-916D0E8D5118}">
  <dimension ref="A1:C9"/>
  <sheetViews>
    <sheetView workbookViewId="0">
      <selection activeCell="C3" sqref="C3:C6"/>
    </sheetView>
  </sheetViews>
  <sheetFormatPr defaultRowHeight="14.4" x14ac:dyDescent="0.3"/>
  <sheetData>
    <row r="1" spans="1:3" x14ac:dyDescent="0.3">
      <c r="A1" t="s">
        <v>0</v>
      </c>
    </row>
    <row r="2" spans="1:3" x14ac:dyDescent="0.3">
      <c r="B2" t="s">
        <v>5</v>
      </c>
      <c r="C2" t="s">
        <v>8</v>
      </c>
    </row>
    <row r="3" spans="1:3" x14ac:dyDescent="0.3">
      <c r="A3" t="s">
        <v>1</v>
      </c>
      <c r="B3">
        <v>1.2350000000000001</v>
      </c>
      <c r="C3" s="2">
        <f>$B$8+B3*($B$9-$B$8)</f>
        <v>0.15880000000000002</v>
      </c>
    </row>
    <row r="4" spans="1:3" x14ac:dyDescent="0.3">
      <c r="A4" t="s">
        <v>2</v>
      </c>
      <c r="B4">
        <v>0.26800000000000002</v>
      </c>
      <c r="C4" s="2">
        <f t="shared" ref="C4:C6" si="0">$B$8+B4*($B$9-$B$8)</f>
        <v>8.1439999999999999E-2</v>
      </c>
    </row>
    <row r="5" spans="1:3" x14ac:dyDescent="0.3">
      <c r="A5" t="s">
        <v>3</v>
      </c>
      <c r="B5">
        <v>1.9970000000000001</v>
      </c>
      <c r="C5" s="2">
        <f t="shared" si="0"/>
        <v>0.21976000000000004</v>
      </c>
    </row>
    <row r="6" spans="1:3" x14ac:dyDescent="0.3">
      <c r="A6" t="s">
        <v>4</v>
      </c>
      <c r="B6">
        <v>2.4500000000000002</v>
      </c>
      <c r="C6" s="2">
        <f t="shared" si="0"/>
        <v>0.25600000000000006</v>
      </c>
    </row>
    <row r="8" spans="1:3" x14ac:dyDescent="0.3">
      <c r="A8" t="s">
        <v>6</v>
      </c>
      <c r="B8" s="1">
        <v>0.06</v>
      </c>
    </row>
    <row r="9" spans="1:3" x14ac:dyDescent="0.3">
      <c r="A9" t="s">
        <v>7</v>
      </c>
      <c r="B9" s="1">
        <v>0.14000000000000001</v>
      </c>
    </row>
  </sheetData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E978-6FBF-4253-A7E4-4F363B35ABB3}">
  <dimension ref="A1:H19"/>
  <sheetViews>
    <sheetView topLeftCell="A13" zoomScale="110" zoomScaleNormal="110" workbookViewId="0">
      <selection activeCell="M16" sqref="M16"/>
    </sheetView>
  </sheetViews>
  <sheetFormatPr defaultRowHeight="14.4" x14ac:dyDescent="0.3"/>
  <cols>
    <col min="5" max="5" width="8.44140625" customWidth="1"/>
    <col min="6" max="6" width="8.77734375" customWidth="1"/>
    <col min="7" max="8" width="10.109375" bestFit="1" customWidth="1"/>
  </cols>
  <sheetData>
    <row r="1" spans="1:8" ht="51.6" customHeight="1" thickTop="1" thickBot="1" x14ac:dyDescent="0.35">
      <c r="A1" s="3" t="s">
        <v>9</v>
      </c>
      <c r="B1" s="4"/>
      <c r="C1" s="4"/>
      <c r="D1" s="4"/>
      <c r="E1" s="4"/>
      <c r="F1" s="5"/>
    </row>
    <row r="2" spans="1:8" ht="16.2" thickBot="1" x14ac:dyDescent="0.35">
      <c r="A2" s="6">
        <v>1</v>
      </c>
      <c r="B2" s="7">
        <v>10</v>
      </c>
      <c r="C2" s="7">
        <v>9</v>
      </c>
      <c r="D2" s="7">
        <v>22</v>
      </c>
      <c r="E2" s="10">
        <f>(C2-$B$17)/($B2-$B$17)</f>
        <v>0.66666666666666663</v>
      </c>
      <c r="F2" s="10">
        <f>(D2-$B$17)/($B2-$B$17)</f>
        <v>5</v>
      </c>
      <c r="G2" t="str">
        <f>IF(E2&lt;1,"defenzívna",IF(E2&gt;1,"agresívna","neutrálna"))</f>
        <v>defenzívna</v>
      </c>
      <c r="H2" t="str">
        <f>IF(F2&lt;1,"defenzívna",IF(F2&gt;1,"agresívna","neutrálna"))</f>
        <v>agresívna</v>
      </c>
    </row>
    <row r="3" spans="1:8" ht="16.2" thickBot="1" x14ac:dyDescent="0.35">
      <c r="A3" s="6">
        <v>2</v>
      </c>
      <c r="B3" s="7">
        <v>32</v>
      </c>
      <c r="C3" s="7">
        <v>24</v>
      </c>
      <c r="D3" s="7">
        <v>48</v>
      </c>
      <c r="E3" s="10">
        <f>(C3-$B$17)/($B3-$B$17)</f>
        <v>0.68</v>
      </c>
      <c r="F3" s="10">
        <f>(D3-$B$17)/($B3-$B$17)</f>
        <v>1.64</v>
      </c>
      <c r="G3" t="str">
        <f t="shared" ref="G3:G11" si="0">IF(E3&lt;1,"defenzívna",IF(E3&gt;1,"agresívna","neutrálna"))</f>
        <v>defenzívna</v>
      </c>
      <c r="H3" t="str">
        <f t="shared" ref="H3:H11" si="1">IF(F3&lt;1,"defenzívna",IF(F3&gt;1,"agresívna","neutrálna"))</f>
        <v>agresívna</v>
      </c>
    </row>
    <row r="4" spans="1:8" ht="16.2" thickBot="1" x14ac:dyDescent="0.35">
      <c r="A4" s="6">
        <v>3</v>
      </c>
      <c r="B4" s="7">
        <v>20</v>
      </c>
      <c r="C4" s="7">
        <v>14</v>
      </c>
      <c r="D4" s="7">
        <v>30</v>
      </c>
      <c r="E4" s="10">
        <f>(C4-$B$17)/($B4-$B$17)</f>
        <v>0.53846153846153844</v>
      </c>
      <c r="F4" s="10">
        <f>(D4-$B$17)/($B4-$B$17)</f>
        <v>1.7692307692307692</v>
      </c>
      <c r="G4" t="str">
        <f t="shared" si="0"/>
        <v>defenzívna</v>
      </c>
      <c r="H4" t="str">
        <f t="shared" si="1"/>
        <v>agresívna</v>
      </c>
    </row>
    <row r="5" spans="1:8" ht="16.2" thickBot="1" x14ac:dyDescent="0.35">
      <c r="A5" s="6">
        <v>4</v>
      </c>
      <c r="B5" s="7">
        <v>18</v>
      </c>
      <c r="C5" s="7">
        <v>-2</v>
      </c>
      <c r="D5" s="7">
        <v>-20</v>
      </c>
      <c r="E5" s="10">
        <f>(C5-$B$17)/($B5-$B$17)</f>
        <v>-0.81818181818181823</v>
      </c>
      <c r="F5" s="10">
        <f>(D5-$B$17)/($B5-$B$17)</f>
        <v>-2.4545454545454546</v>
      </c>
      <c r="G5" t="str">
        <f t="shared" si="0"/>
        <v>defenzívna</v>
      </c>
      <c r="H5" t="str">
        <f t="shared" si="1"/>
        <v>defenzívna</v>
      </c>
    </row>
    <row r="6" spans="1:8" ht="16.2" thickBot="1" x14ac:dyDescent="0.35">
      <c r="A6" s="6">
        <v>5</v>
      </c>
      <c r="B6" s="7">
        <v>17</v>
      </c>
      <c r="C6" s="7">
        <v>16</v>
      </c>
      <c r="D6" s="7">
        <v>29</v>
      </c>
      <c r="E6" s="10">
        <f>(C6-$B$17)/($B6-$B$17)</f>
        <v>0.9</v>
      </c>
      <c r="F6" s="10">
        <f>(D6-$B$17)/($B6-$B$17)</f>
        <v>2.2000000000000002</v>
      </c>
      <c r="G6" t="str">
        <f t="shared" si="0"/>
        <v>defenzívna</v>
      </c>
      <c r="H6" t="str">
        <f t="shared" si="1"/>
        <v>agresívna</v>
      </c>
    </row>
    <row r="7" spans="1:8" ht="16.2" thickBot="1" x14ac:dyDescent="0.35">
      <c r="A7" s="6">
        <v>6</v>
      </c>
      <c r="B7" s="7">
        <v>3</v>
      </c>
      <c r="C7" s="7">
        <v>4</v>
      </c>
      <c r="D7" s="7">
        <v>-3</v>
      </c>
      <c r="E7" s="10">
        <f>(C7-$B$17)/($B7-$B$17)</f>
        <v>0.75</v>
      </c>
      <c r="F7" s="10">
        <f>(D7-$B$17)/($B7-$B$17)</f>
        <v>2.5</v>
      </c>
      <c r="G7" t="str">
        <f t="shared" si="0"/>
        <v>defenzívna</v>
      </c>
      <c r="H7" t="str">
        <f t="shared" si="1"/>
        <v>agresívna</v>
      </c>
    </row>
    <row r="8" spans="1:8" ht="16.2" thickBot="1" x14ac:dyDescent="0.35">
      <c r="A8" s="6">
        <v>7</v>
      </c>
      <c r="B8" s="7">
        <v>12</v>
      </c>
      <c r="C8" s="7">
        <v>8</v>
      </c>
      <c r="D8" s="7">
        <v>21</v>
      </c>
      <c r="E8" s="10">
        <f>(C8-$B$17)/($B8-$B$17)</f>
        <v>0.2</v>
      </c>
      <c r="F8" s="10">
        <f>(D8-$B$17)/($B8-$B$17)</f>
        <v>2.8</v>
      </c>
      <c r="G8" t="str">
        <f t="shared" si="0"/>
        <v>defenzívna</v>
      </c>
      <c r="H8" t="str">
        <f t="shared" si="1"/>
        <v>agresívna</v>
      </c>
    </row>
    <row r="9" spans="1:8" ht="16.2" thickBot="1" x14ac:dyDescent="0.35">
      <c r="A9" s="6">
        <v>8</v>
      </c>
      <c r="B9" s="7">
        <v>-5</v>
      </c>
      <c r="C9" s="7">
        <v>0</v>
      </c>
      <c r="D9" s="7">
        <v>-15</v>
      </c>
      <c r="E9" s="10">
        <f>(C9-$B$17)/($B9-$B$17)</f>
        <v>0.58333333333333337</v>
      </c>
      <c r="F9" s="10">
        <f>(D9-$B$17)/($B9-$B$17)</f>
        <v>1.8333333333333333</v>
      </c>
      <c r="G9" t="str">
        <f t="shared" si="0"/>
        <v>defenzívna</v>
      </c>
      <c r="H9" t="str">
        <f t="shared" si="1"/>
        <v>agresívna</v>
      </c>
    </row>
    <row r="10" spans="1:8" ht="16.2" thickBot="1" x14ac:dyDescent="0.35">
      <c r="A10" s="6">
        <v>9</v>
      </c>
      <c r="B10" s="7">
        <v>18</v>
      </c>
      <c r="C10" s="7">
        <v>12</v>
      </c>
      <c r="D10" s="7">
        <v>28</v>
      </c>
      <c r="E10" s="10">
        <f>(C10-$B$17)/($B10-$B$17)</f>
        <v>0.45454545454545453</v>
      </c>
      <c r="F10" s="10">
        <f>(D10-$B$17)/($B10-$B$17)</f>
        <v>1.9090909090909092</v>
      </c>
      <c r="G10" t="str">
        <f t="shared" si="0"/>
        <v>defenzívna</v>
      </c>
      <c r="H10" t="str">
        <f t="shared" si="1"/>
        <v>agresívna</v>
      </c>
    </row>
    <row r="11" spans="1:8" ht="16.2" thickBot="1" x14ac:dyDescent="0.35">
      <c r="A11" s="8">
        <v>10</v>
      </c>
      <c r="B11" s="9">
        <v>21</v>
      </c>
      <c r="C11" s="9">
        <v>15</v>
      </c>
      <c r="D11" s="9">
        <v>36</v>
      </c>
      <c r="E11" s="10">
        <f>(C11-$B$17)/($B11-$B$17)</f>
        <v>0.5714285714285714</v>
      </c>
      <c r="F11" s="10">
        <f>(D11-$B$17)/($B11-$B$17)</f>
        <v>2.0714285714285716</v>
      </c>
      <c r="G11" t="str">
        <f t="shared" si="0"/>
        <v>defenzívna</v>
      </c>
      <c r="H11" t="str">
        <f t="shared" si="1"/>
        <v>agresívna</v>
      </c>
    </row>
    <row r="12" spans="1:8" ht="15" thickTop="1" x14ac:dyDescent="0.3">
      <c r="A12" t="s">
        <v>8</v>
      </c>
      <c r="B12">
        <f>AVERAGE(B2:B11)</f>
        <v>14.6</v>
      </c>
      <c r="C12">
        <f t="shared" ref="C12:D12" si="2">AVERAGE(C2:C11)</f>
        <v>10</v>
      </c>
      <c r="D12">
        <f t="shared" si="2"/>
        <v>17.600000000000001</v>
      </c>
    </row>
    <row r="13" spans="1:8" x14ac:dyDescent="0.3">
      <c r="A13" t="s">
        <v>10</v>
      </c>
      <c r="B13">
        <f>_xlfn.VAR.S(B2:B11)</f>
        <v>105.37777777777779</v>
      </c>
      <c r="C13">
        <f t="shared" ref="C13:D13" si="3">_xlfn.VAR.S(C2:C11)</f>
        <v>62.444444444444443</v>
      </c>
      <c r="D13">
        <f t="shared" si="3"/>
        <v>509.59999999999997</v>
      </c>
    </row>
    <row r="14" spans="1:8" x14ac:dyDescent="0.3">
      <c r="A14" t="s">
        <v>11</v>
      </c>
      <c r="B14">
        <f>_xlfn.COVARIANCE.S($B$2:$B$11,B2:B11)</f>
        <v>105.37777777777779</v>
      </c>
      <c r="C14">
        <f t="shared" ref="C14:D14" si="4">_xlfn.COVARIANCE.S($B$2:$B$11,C2:C11)</f>
        <v>61.444444444444429</v>
      </c>
      <c r="D14">
        <f t="shared" si="4"/>
        <v>166.37777777777777</v>
      </c>
    </row>
    <row r="15" spans="1:8" x14ac:dyDescent="0.3">
      <c r="A15" t="s">
        <v>5</v>
      </c>
      <c r="B15">
        <f>B14/$B$13</f>
        <v>1</v>
      </c>
      <c r="C15">
        <f t="shared" ref="C15:D15" si="5">C14/$B$13</f>
        <v>0.58308730493462646</v>
      </c>
      <c r="D15">
        <f t="shared" si="5"/>
        <v>1.5788696752425133</v>
      </c>
    </row>
    <row r="17" spans="1:4" x14ac:dyDescent="0.3">
      <c r="A17" t="s">
        <v>6</v>
      </c>
      <c r="B17">
        <v>7</v>
      </c>
      <c r="C17">
        <v>0</v>
      </c>
    </row>
    <row r="19" spans="1:4" x14ac:dyDescent="0.3">
      <c r="A19" t="s">
        <v>12</v>
      </c>
      <c r="B19">
        <f>$B$17+B15*($B$12-$B$17)</f>
        <v>14.6</v>
      </c>
      <c r="C19">
        <f t="shared" ref="C19:D19" si="6">$B$17+C15*($B$12-$B$17)</f>
        <v>11.431463517503161</v>
      </c>
      <c r="D19">
        <f t="shared" si="6"/>
        <v>18.999409531843099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9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205740</xdr:colOff>
                <xdr:row>1</xdr:row>
                <xdr:rowOff>0</xdr:rowOff>
              </to>
            </anchor>
          </objectPr>
        </oleObject>
      </mc:Choice>
      <mc:Fallback>
        <oleObject progId="Equation.3" shapeId="1029" r:id="rId3"/>
      </mc:Fallback>
    </mc:AlternateContent>
    <mc:AlternateContent xmlns:mc="http://schemas.openxmlformats.org/markup-compatibility/2006">
      <mc:Choice Requires="x14">
        <oleObject progId="Equation.3" shapeId="1028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129540</xdr:colOff>
                <xdr:row>1</xdr:row>
                <xdr:rowOff>15240</xdr:rowOff>
              </to>
            </anchor>
          </objectPr>
        </oleObject>
      </mc:Choice>
      <mc:Fallback>
        <oleObject progId="Equation.3" shapeId="1028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1</xdr:row>
                <xdr:rowOff>30480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6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480060</xdr:colOff>
                <xdr:row>0</xdr:row>
                <xdr:rowOff>541020</xdr:rowOff>
              </to>
            </anchor>
          </objectPr>
        </oleObject>
      </mc:Choice>
      <mc:Fallback>
        <oleObject progId="Equation.3" shapeId="1026" r:id="rId9"/>
      </mc:Fallback>
    </mc:AlternateContent>
    <mc:AlternateContent xmlns:mc="http://schemas.openxmlformats.org/markup-compatibility/2006">
      <mc:Choice Requires="x14">
        <oleObject progId="Equation.3" shapeId="1025" r:id="rId11">
          <objectPr defaultSize="0" autoPict="0" r:id="rId12">
            <anchor moveWithCells="1" sizeWithCells="1">
              <from>
                <xdr:col>4</xdr:col>
                <xdr:colOff>868680</xdr:colOff>
                <xdr:row>0</xdr:row>
                <xdr:rowOff>0</xdr:rowOff>
              </from>
              <to>
                <xdr:col>5</xdr:col>
                <xdr:colOff>449580</xdr:colOff>
                <xdr:row>0</xdr:row>
                <xdr:rowOff>609600</xdr:rowOff>
              </to>
            </anchor>
          </objectPr>
        </oleObject>
      </mc:Choice>
      <mc:Fallback>
        <oleObject progId="Equation.3" shapeId="1025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3192-BEAE-491E-B43E-60747B84072A}">
  <dimension ref="A1:E6"/>
  <sheetViews>
    <sheetView workbookViewId="0">
      <selection activeCell="Q16" sqref="Q16"/>
    </sheetView>
  </sheetViews>
  <sheetFormatPr defaultRowHeight="14.4" x14ac:dyDescent="0.3"/>
  <sheetData>
    <row r="1" spans="1:5" x14ac:dyDescent="0.3">
      <c r="B1" t="s">
        <v>8</v>
      </c>
      <c r="C1" t="s">
        <v>13</v>
      </c>
      <c r="D1" t="s">
        <v>16</v>
      </c>
      <c r="E1" t="s">
        <v>5</v>
      </c>
    </row>
    <row r="2" spans="1:5" x14ac:dyDescent="0.3">
      <c r="A2" t="s">
        <v>14</v>
      </c>
      <c r="B2">
        <v>0.04</v>
      </c>
      <c r="C2">
        <v>0</v>
      </c>
      <c r="D2">
        <v>0</v>
      </c>
      <c r="E2">
        <v>0</v>
      </c>
    </row>
    <row r="3" spans="1:5" x14ac:dyDescent="0.3">
      <c r="A3" t="s">
        <v>15</v>
      </c>
      <c r="B3">
        <v>0.1</v>
      </c>
      <c r="C3">
        <v>0.09</v>
      </c>
      <c r="D3">
        <f>C3^2</f>
        <v>8.0999999999999996E-3</v>
      </c>
      <c r="E3">
        <v>1</v>
      </c>
    </row>
    <row r="4" spans="1:5" x14ac:dyDescent="0.3">
      <c r="A4" t="s">
        <v>1</v>
      </c>
      <c r="B4">
        <f>$B$2+E4*($B$3-$B$2)</f>
        <v>0.12000000000000002</v>
      </c>
      <c r="D4">
        <f>0.0108</f>
        <v>1.0800000000000001E-2</v>
      </c>
      <c r="E4">
        <f>D4/$C$3^2</f>
        <v>1.3333333333333335</v>
      </c>
    </row>
    <row r="5" spans="1:5" x14ac:dyDescent="0.3">
      <c r="A5" t="s">
        <v>2</v>
      </c>
      <c r="B5">
        <f t="shared" ref="B5:B6" si="0">$B$2+E5*($B$3-$B$2)</f>
        <v>1.9999999999999997E-2</v>
      </c>
      <c r="D5">
        <v>-2.7000000000000001E-3</v>
      </c>
      <c r="E5">
        <f t="shared" ref="E5:E6" si="1">D5/$C$3^2</f>
        <v>-0.33333333333333337</v>
      </c>
    </row>
    <row r="6" spans="1:5" x14ac:dyDescent="0.3">
      <c r="A6" t="s">
        <v>3</v>
      </c>
      <c r="B6">
        <f t="shared" si="0"/>
        <v>8.0000000000000016E-2</v>
      </c>
      <c r="D6">
        <v>5.4000000000000003E-3</v>
      </c>
      <c r="E6">
        <f t="shared" si="1"/>
        <v>0.66666666666666674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2A35-A992-45CA-A356-E1C4AC9CD0A1}">
  <dimension ref="A1:G6"/>
  <sheetViews>
    <sheetView workbookViewId="0">
      <selection activeCell="G4" sqref="G4"/>
    </sheetView>
  </sheetViews>
  <sheetFormatPr defaultRowHeight="14.4" x14ac:dyDescent="0.3"/>
  <sheetData>
    <row r="1" spans="1:7" ht="26.4" thickBot="1" x14ac:dyDescent="0.35">
      <c r="A1" s="11"/>
      <c r="B1" s="12" t="s">
        <v>17</v>
      </c>
      <c r="C1" s="13" t="s">
        <v>18</v>
      </c>
      <c r="D1" s="14" t="s">
        <v>19</v>
      </c>
      <c r="E1" t="s">
        <v>25</v>
      </c>
      <c r="F1" t="s">
        <v>5</v>
      </c>
    </row>
    <row r="2" spans="1:7" x14ac:dyDescent="0.3">
      <c r="A2" s="15" t="s">
        <v>20</v>
      </c>
      <c r="B2" s="16">
        <v>15.5</v>
      </c>
      <c r="C2" s="16">
        <v>0.9</v>
      </c>
      <c r="D2" s="17">
        <v>20</v>
      </c>
      <c r="E2">
        <f>C2*D2*$D$5</f>
        <v>216</v>
      </c>
      <c r="F2">
        <f>E2/$D$5^2</f>
        <v>1.5</v>
      </c>
      <c r="G2">
        <f>$B$6+F2*($B$5-$B$6)</f>
        <v>15.5</v>
      </c>
    </row>
    <row r="3" spans="1:7" x14ac:dyDescent="0.3">
      <c r="A3" s="18" t="s">
        <v>21</v>
      </c>
      <c r="B3" s="16">
        <v>9.1999999999999993</v>
      </c>
      <c r="C3" s="16">
        <v>0.8</v>
      </c>
      <c r="D3" s="17">
        <v>9</v>
      </c>
      <c r="E3">
        <f t="shared" ref="E3:E6" si="0">C3*D3*$D$5</f>
        <v>86.4</v>
      </c>
      <c r="F3">
        <f t="shared" ref="F3:F6" si="1">E3/$D$5^2</f>
        <v>0.60000000000000009</v>
      </c>
      <c r="G3">
        <f t="shared" ref="G3:G4" si="2">$B$6+F3*($B$5-$B$6)</f>
        <v>9.2000000000000011</v>
      </c>
    </row>
    <row r="4" spans="1:7" x14ac:dyDescent="0.3">
      <c r="A4" s="15" t="s">
        <v>22</v>
      </c>
      <c r="B4" s="16">
        <v>11.2</v>
      </c>
      <c r="C4" s="16">
        <v>0.5</v>
      </c>
      <c r="D4" s="17">
        <v>15</v>
      </c>
      <c r="E4">
        <f t="shared" si="0"/>
        <v>90</v>
      </c>
      <c r="F4">
        <f t="shared" si="1"/>
        <v>0.625</v>
      </c>
      <c r="G4">
        <f t="shared" si="2"/>
        <v>9.375</v>
      </c>
    </row>
    <row r="5" spans="1:7" x14ac:dyDescent="0.3">
      <c r="A5" s="18" t="s">
        <v>23</v>
      </c>
      <c r="B5" s="16">
        <v>12</v>
      </c>
      <c r="C5" s="16">
        <v>1</v>
      </c>
      <c r="D5" s="17">
        <v>12</v>
      </c>
      <c r="E5">
        <f t="shared" si="0"/>
        <v>144</v>
      </c>
      <c r="F5">
        <f t="shared" si="1"/>
        <v>1</v>
      </c>
    </row>
    <row r="6" spans="1:7" ht="15" thickBot="1" x14ac:dyDescent="0.35">
      <c r="A6" s="19" t="s">
        <v>24</v>
      </c>
      <c r="B6" s="20">
        <v>5</v>
      </c>
      <c r="C6" s="20">
        <v>0</v>
      </c>
      <c r="D6" s="21">
        <v>0</v>
      </c>
      <c r="E6">
        <f t="shared" si="0"/>
        <v>0</v>
      </c>
      <c r="F6">
        <f t="shared" si="1"/>
        <v>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D806-A4A3-4473-A521-8E6B4C18C55B}">
  <dimension ref="A1:T49"/>
  <sheetViews>
    <sheetView tabSelected="1" workbookViewId="0">
      <selection activeCell="U15" sqref="U15"/>
    </sheetView>
  </sheetViews>
  <sheetFormatPr defaultRowHeight="14.4" x14ac:dyDescent="0.3"/>
  <cols>
    <col min="8" max="8" width="12.6640625" bestFit="1" customWidth="1"/>
    <col min="15" max="15" width="12" bestFit="1" customWidth="1"/>
    <col min="20" max="20" width="12.6640625" bestFit="1" customWidth="1"/>
  </cols>
  <sheetData>
    <row r="1" spans="1:20" ht="15" thickBot="1" x14ac:dyDescent="0.35">
      <c r="A1" s="11" t="s">
        <v>26</v>
      </c>
      <c r="B1" s="22" t="s">
        <v>27</v>
      </c>
      <c r="C1" s="22" t="s">
        <v>28</v>
      </c>
      <c r="D1" s="22" t="s">
        <v>29</v>
      </c>
      <c r="E1" s="22" t="s">
        <v>30</v>
      </c>
      <c r="F1" s="22" t="s">
        <v>31</v>
      </c>
      <c r="G1" s="22" t="s">
        <v>32</v>
      </c>
    </row>
    <row r="2" spans="1:20" ht="15" thickBot="1" x14ac:dyDescent="0.35">
      <c r="A2" s="23">
        <v>1</v>
      </c>
      <c r="B2" s="24">
        <v>570</v>
      </c>
      <c r="C2" s="24">
        <v>98.4</v>
      </c>
      <c r="D2" s="24">
        <v>669.1</v>
      </c>
      <c r="E2" s="24">
        <v>53.9</v>
      </c>
      <c r="F2" s="24">
        <v>103.5</v>
      </c>
      <c r="G2" s="24">
        <v>333.4</v>
      </c>
      <c r="H2" s="22" t="s">
        <v>27</v>
      </c>
      <c r="I2" s="22" t="s">
        <v>28</v>
      </c>
      <c r="J2" s="22" t="s">
        <v>29</v>
      </c>
      <c r="K2" s="22" t="s">
        <v>30</v>
      </c>
      <c r="L2" s="22" t="s">
        <v>31</v>
      </c>
      <c r="M2" s="22" t="s">
        <v>32</v>
      </c>
      <c r="O2" s="29" t="s">
        <v>5</v>
      </c>
      <c r="P2" s="29" t="s">
        <v>48</v>
      </c>
    </row>
    <row r="3" spans="1:20" ht="15" thickBot="1" x14ac:dyDescent="0.35">
      <c r="A3" s="23">
        <v>2</v>
      </c>
      <c r="B3" s="24">
        <v>569</v>
      </c>
      <c r="C3" s="24">
        <v>98.2</v>
      </c>
      <c r="D3" s="24">
        <v>715</v>
      </c>
      <c r="E3" s="24">
        <v>53.8</v>
      </c>
      <c r="F3" s="24">
        <v>103</v>
      </c>
      <c r="G3" s="24">
        <v>338.9</v>
      </c>
      <c r="H3">
        <f>LN(B3/B2)</f>
        <v>-1.7559267022649199E-3</v>
      </c>
      <c r="I3">
        <f t="shared" ref="I3:M3" si="0">LN(C3/C2)</f>
        <v>-2.0345886977875742E-3</v>
      </c>
      <c r="J3">
        <f t="shared" si="0"/>
        <v>6.6349016905236424E-2</v>
      </c>
      <c r="K3">
        <f t="shared" si="0"/>
        <v>-1.8570107472127711E-3</v>
      </c>
      <c r="L3">
        <f t="shared" si="0"/>
        <v>-4.8426244757880151E-3</v>
      </c>
      <c r="M3">
        <f t="shared" si="0"/>
        <v>1.6362108296311968E-2</v>
      </c>
      <c r="N3" s="22" t="s">
        <v>27</v>
      </c>
      <c r="O3" s="28" cm="1">
        <f t="array" ref="O3:P3">LINEST(H3:H21,$M$3:$M$21)</f>
        <v>-0.24623112718264459</v>
      </c>
      <c r="P3">
        <v>1.3806733697076797E-2</v>
      </c>
    </row>
    <row r="4" spans="1:20" ht="15" thickBot="1" x14ac:dyDescent="0.35">
      <c r="A4" s="23">
        <v>3</v>
      </c>
      <c r="B4" s="24">
        <v>563.79999999999995</v>
      </c>
      <c r="C4" s="24">
        <v>96.6</v>
      </c>
      <c r="D4" s="24">
        <v>725</v>
      </c>
      <c r="E4" s="24">
        <v>53.2</v>
      </c>
      <c r="F4" s="24">
        <v>101.9</v>
      </c>
      <c r="G4" s="24">
        <v>346.8</v>
      </c>
      <c r="H4">
        <f t="shared" ref="H4:H21" si="1">LN(B4/B3)</f>
        <v>-9.180855446318836E-3</v>
      </c>
      <c r="I4">
        <f t="shared" ref="I4:I21" si="2">LN(C4/C3)</f>
        <v>-1.642747414194793E-2</v>
      </c>
      <c r="J4">
        <f t="shared" ref="J4:J21" si="3">LN(D4/D3)</f>
        <v>1.3889112160667093E-2</v>
      </c>
      <c r="K4">
        <f t="shared" ref="K4:K21" si="4">LN(E4/E3)</f>
        <v>-1.1215070820139957E-2</v>
      </c>
      <c r="L4">
        <f t="shared" ref="L4:L21" si="5">LN(F4/F3)</f>
        <v>-1.0737048000956569E-2</v>
      </c>
      <c r="M4">
        <f t="shared" ref="M4:M21" si="6">LN(G4/G3)</f>
        <v>2.3043166293381146E-2</v>
      </c>
      <c r="N4" s="22" t="s">
        <v>28</v>
      </c>
      <c r="O4" s="28" cm="1">
        <f t="array" ref="O4:P4">LINEST(I3:I21,M3:M21)</f>
        <v>-6.4463953530874682E-2</v>
      </c>
      <c r="P4">
        <v>8.3261776748431784E-3</v>
      </c>
    </row>
    <row r="5" spans="1:20" ht="15" thickBot="1" x14ac:dyDescent="0.35">
      <c r="A5" s="23">
        <v>4</v>
      </c>
      <c r="B5" s="24">
        <v>575.29999999999995</v>
      </c>
      <c r="C5" s="24">
        <v>96.5</v>
      </c>
      <c r="D5" s="24">
        <v>716</v>
      </c>
      <c r="E5" s="24">
        <v>53.9</v>
      </c>
      <c r="F5" s="24">
        <v>100</v>
      </c>
      <c r="G5" s="24">
        <v>347.8</v>
      </c>
      <c r="H5">
        <f t="shared" si="1"/>
        <v>2.0192065189235622E-2</v>
      </c>
      <c r="I5">
        <f t="shared" si="2"/>
        <v>-1.0357328735319795E-3</v>
      </c>
      <c r="J5">
        <f t="shared" si="3"/>
        <v>-1.2491487894029141E-2</v>
      </c>
      <c r="K5">
        <f t="shared" si="4"/>
        <v>1.3072081567352701E-2</v>
      </c>
      <c r="L5">
        <f t="shared" si="5"/>
        <v>-1.8821754240587858E-2</v>
      </c>
      <c r="M5">
        <f t="shared" si="6"/>
        <v>2.8793570137959509E-3</v>
      </c>
      <c r="N5" s="22" t="s">
        <v>29</v>
      </c>
      <c r="O5" s="28" cm="1">
        <f t="array" ref="O5:P5">LINEST(J3:J21,M3:M21)</f>
        <v>-0.46036325606327877</v>
      </c>
      <c r="P5">
        <v>2.3011184443624478E-2</v>
      </c>
    </row>
    <row r="6" spans="1:20" ht="15" thickBot="1" x14ac:dyDescent="0.35">
      <c r="A6" s="23">
        <v>5</v>
      </c>
      <c r="B6" s="24">
        <v>595.1</v>
      </c>
      <c r="C6" s="24">
        <v>97</v>
      </c>
      <c r="D6" s="24">
        <v>725</v>
      </c>
      <c r="E6" s="24">
        <v>55.6</v>
      </c>
      <c r="F6" s="24">
        <v>101.6</v>
      </c>
      <c r="G6" s="24">
        <v>350.9</v>
      </c>
      <c r="H6">
        <f t="shared" si="1"/>
        <v>3.3837814781558756E-2</v>
      </c>
      <c r="I6">
        <f t="shared" si="2"/>
        <v>5.1679701584425976E-3</v>
      </c>
      <c r="J6">
        <f t="shared" si="3"/>
        <v>1.2491487894029053E-2</v>
      </c>
      <c r="K6">
        <f t="shared" si="4"/>
        <v>3.1052723341585216E-2</v>
      </c>
      <c r="L6">
        <f t="shared" si="5"/>
        <v>1.5873349156290163E-2</v>
      </c>
      <c r="M6">
        <f t="shared" si="6"/>
        <v>8.8736806689866613E-3</v>
      </c>
      <c r="N6" s="22" t="s">
        <v>30</v>
      </c>
      <c r="O6" s="28" cm="1">
        <f t="array" ref="O6:P6">LINEST(K3:K21,M3:M21)</f>
        <v>-0.18605595783758883</v>
      </c>
      <c r="P6">
        <v>4.2897850682811428E-3</v>
      </c>
    </row>
    <row r="7" spans="1:20" ht="15" thickBot="1" x14ac:dyDescent="0.35">
      <c r="A7" s="23">
        <v>6</v>
      </c>
      <c r="B7" s="24">
        <v>602.79999999999995</v>
      </c>
      <c r="C7" s="24">
        <v>98.4</v>
      </c>
      <c r="D7" s="24">
        <v>727.5</v>
      </c>
      <c r="E7" s="24">
        <v>57</v>
      </c>
      <c r="F7" s="24">
        <v>101.2</v>
      </c>
      <c r="G7" s="24">
        <v>348.1</v>
      </c>
      <c r="H7">
        <f t="shared" si="1"/>
        <v>1.2856008101533955E-2</v>
      </c>
      <c r="I7">
        <f t="shared" si="2"/>
        <v>1.4329825554824868E-2</v>
      </c>
      <c r="J7">
        <f t="shared" si="3"/>
        <v>3.4423441909726986E-3</v>
      </c>
      <c r="K7">
        <f t="shared" si="4"/>
        <v>2.4868066578013524E-2</v>
      </c>
      <c r="L7">
        <f t="shared" si="5"/>
        <v>-3.9447782910162288E-3</v>
      </c>
      <c r="M7">
        <f t="shared" si="6"/>
        <v>-8.0114877717760834E-3</v>
      </c>
      <c r="N7" s="22" t="s">
        <v>31</v>
      </c>
      <c r="O7" s="28" cm="1">
        <f t="array" ref="O7:P7">LINEST(L3:L21,M3:M21)</f>
        <v>-1.1284536954097606</v>
      </c>
      <c r="P7">
        <v>8.7463766543630205E-3</v>
      </c>
    </row>
    <row r="8" spans="1:20" ht="15" thickBot="1" x14ac:dyDescent="0.35">
      <c r="A8" s="23">
        <v>7</v>
      </c>
      <c r="B8" s="24">
        <v>601.79999999999995</v>
      </c>
      <c r="C8" s="24">
        <v>99</v>
      </c>
      <c r="D8" s="24">
        <v>716.6</v>
      </c>
      <c r="E8" s="24">
        <v>54.7</v>
      </c>
      <c r="F8" s="24">
        <v>102</v>
      </c>
      <c r="G8" s="24">
        <v>349.4</v>
      </c>
      <c r="H8">
        <f t="shared" si="1"/>
        <v>-1.6603025563955596E-3</v>
      </c>
      <c r="I8">
        <f t="shared" si="2"/>
        <v>6.0790460763821925E-3</v>
      </c>
      <c r="J8">
        <f t="shared" si="3"/>
        <v>-1.5096194174794133E-2</v>
      </c>
      <c r="K8">
        <f t="shared" si="4"/>
        <v>-4.1187558406614526E-2</v>
      </c>
      <c r="L8">
        <f t="shared" si="5"/>
        <v>7.8740564309058656E-3</v>
      </c>
      <c r="M8">
        <f t="shared" si="6"/>
        <v>3.7276028825627906E-3</v>
      </c>
      <c r="N8" s="35" t="s">
        <v>32</v>
      </c>
      <c r="O8" s="28" cm="1">
        <f t="array" ref="O8:P8">LINEST(M3:M21,M3:M21)</f>
        <v>0.99999999999999978</v>
      </c>
      <c r="P8">
        <v>1.7347234759768071E-18</v>
      </c>
    </row>
    <row r="9" spans="1:20" ht="15" thickBot="1" x14ac:dyDescent="0.35">
      <c r="A9" s="23">
        <v>8</v>
      </c>
      <c r="B9" s="24">
        <v>601.29999999999995</v>
      </c>
      <c r="C9" s="24">
        <v>105.4</v>
      </c>
      <c r="D9" s="24">
        <v>721.5</v>
      </c>
      <c r="E9" s="24">
        <v>55.6</v>
      </c>
      <c r="F9" s="24">
        <v>101.6</v>
      </c>
      <c r="G9" s="24">
        <v>354.2</v>
      </c>
      <c r="H9">
        <f t="shared" si="1"/>
        <v>-8.3118615042190316E-4</v>
      </c>
      <c r="I9">
        <f t="shared" si="2"/>
        <v>6.2642785972672005E-2</v>
      </c>
      <c r="J9">
        <f t="shared" si="3"/>
        <v>6.8145733430721106E-3</v>
      </c>
      <c r="K9">
        <f t="shared" si="4"/>
        <v>1.6319491828601186E-2</v>
      </c>
      <c r="L9">
        <f t="shared" si="5"/>
        <v>-3.9292781398896611E-3</v>
      </c>
      <c r="M9">
        <f t="shared" si="6"/>
        <v>1.3644327648777061E-2</v>
      </c>
      <c r="O9" t="s">
        <v>39</v>
      </c>
      <c r="R9" t="s">
        <v>50</v>
      </c>
    </row>
    <row r="10" spans="1:20" ht="15" thickBot="1" x14ac:dyDescent="0.35">
      <c r="A10" s="23">
        <v>9</v>
      </c>
      <c r="B10" s="24">
        <v>614.79999999999995</v>
      </c>
      <c r="C10" s="24">
        <v>116.9</v>
      </c>
      <c r="D10" s="24">
        <v>718.6</v>
      </c>
      <c r="E10" s="24">
        <v>55.9</v>
      </c>
      <c r="F10" s="24">
        <v>101.7</v>
      </c>
      <c r="G10" s="24">
        <v>361.1</v>
      </c>
      <c r="H10">
        <f t="shared" si="1"/>
        <v>2.2203033618917754E-2</v>
      </c>
      <c r="I10">
        <f t="shared" si="2"/>
        <v>0.1035562323707608</v>
      </c>
      <c r="J10">
        <f t="shared" si="3"/>
        <v>-4.0275035345072258E-3</v>
      </c>
      <c r="K10">
        <f t="shared" si="4"/>
        <v>5.38117890451675E-3</v>
      </c>
      <c r="L10">
        <f t="shared" si="5"/>
        <v>9.8376791013274822E-4</v>
      </c>
      <c r="M10">
        <f t="shared" si="6"/>
        <v>1.9293202934679069E-2</v>
      </c>
      <c r="O10">
        <v>19</v>
      </c>
      <c r="P10">
        <f>SUM(M3:M21)</f>
        <v>0.18486780245931367</v>
      </c>
      <c r="R10" cm="1">
        <f t="array" ref="R10:S11">MINVERSE(O10:P11)</f>
        <v>6.9530193482396876E-2</v>
      </c>
      <c r="S10">
        <v>-1.7367744512255106</v>
      </c>
    </row>
    <row r="11" spans="1:20" ht="15" thickBot="1" x14ac:dyDescent="0.35">
      <c r="A11" s="23">
        <v>10</v>
      </c>
      <c r="B11" s="24">
        <v>628.1</v>
      </c>
      <c r="C11" s="24">
        <v>119.6</v>
      </c>
      <c r="D11" s="24">
        <v>717.8</v>
      </c>
      <c r="E11" s="24">
        <v>56.5</v>
      </c>
      <c r="F11" s="24">
        <v>100.5</v>
      </c>
      <c r="G11" s="24">
        <v>372.7</v>
      </c>
      <c r="H11">
        <f t="shared" si="1"/>
        <v>2.1402377795894375E-2</v>
      </c>
      <c r="I11">
        <f t="shared" si="2"/>
        <v>2.2833973038508516E-2</v>
      </c>
      <c r="J11">
        <f t="shared" si="3"/>
        <v>-1.1138959659115725E-3</v>
      </c>
      <c r="K11">
        <f t="shared" si="4"/>
        <v>1.0676257991341854E-2</v>
      </c>
      <c r="L11">
        <f t="shared" si="5"/>
        <v>-1.1869575555383882E-2</v>
      </c>
      <c r="M11">
        <f t="shared" si="6"/>
        <v>3.1618878201800558E-2</v>
      </c>
      <c r="O11">
        <f>SUM(M3:M21)</f>
        <v>0.18486780245931367</v>
      </c>
      <c r="P11">
        <f>SUMPRODUCT(M3:M21,M3:M21)</f>
        <v>7.4010151776424298E-3</v>
      </c>
      <c r="R11">
        <v>-1.7367744512255106</v>
      </c>
      <c r="S11">
        <v>178.49898216076414</v>
      </c>
    </row>
    <row r="12" spans="1:20" ht="15" thickBot="1" x14ac:dyDescent="0.35">
      <c r="A12" s="23">
        <v>11</v>
      </c>
      <c r="B12" s="24">
        <v>629</v>
      </c>
      <c r="C12" s="24">
        <v>113.2</v>
      </c>
      <c r="D12" s="24">
        <v>729.5</v>
      </c>
      <c r="E12" s="24">
        <v>56.4</v>
      </c>
      <c r="F12" s="24">
        <v>103.4</v>
      </c>
      <c r="G12" s="24">
        <v>371.6</v>
      </c>
      <c r="H12">
        <f t="shared" si="1"/>
        <v>1.43186724010532E-3</v>
      </c>
      <c r="I12">
        <f t="shared" si="2"/>
        <v>-5.4996675747448764E-2</v>
      </c>
      <c r="J12">
        <f t="shared" si="3"/>
        <v>1.616838924933349E-2</v>
      </c>
      <c r="K12">
        <f t="shared" si="4"/>
        <v>-1.7714796483821156E-3</v>
      </c>
      <c r="L12">
        <f t="shared" si="5"/>
        <v>2.8447234575198425E-2</v>
      </c>
      <c r="M12">
        <f t="shared" si="6"/>
        <v>-2.9557995455292171E-3</v>
      </c>
    </row>
    <row r="13" spans="1:20" ht="15" thickBot="1" x14ac:dyDescent="0.35">
      <c r="A13" s="23">
        <v>12</v>
      </c>
      <c r="B13" s="24">
        <v>618.6</v>
      </c>
      <c r="C13" s="24">
        <v>109.5</v>
      </c>
      <c r="D13" s="24">
        <v>702.6</v>
      </c>
      <c r="E13" s="24">
        <v>54.9</v>
      </c>
      <c r="F13" s="24">
        <v>102.3</v>
      </c>
      <c r="G13" s="24">
        <v>395.9</v>
      </c>
      <c r="H13">
        <f t="shared" si="1"/>
        <v>-1.6672396449471251E-2</v>
      </c>
      <c r="I13">
        <f t="shared" si="2"/>
        <v>-3.3231616512527061E-2</v>
      </c>
      <c r="J13">
        <f t="shared" si="3"/>
        <v>-3.7571628131113623E-2</v>
      </c>
      <c r="K13">
        <f t="shared" si="4"/>
        <v>-2.6955809988528218E-2</v>
      </c>
      <c r="L13">
        <f t="shared" si="5"/>
        <v>-1.069528911674803E-2</v>
      </c>
      <c r="M13">
        <f t="shared" si="6"/>
        <v>6.3343647172401457E-2</v>
      </c>
      <c r="O13" t="s">
        <v>49</v>
      </c>
    </row>
    <row r="14" spans="1:20" ht="15" thickBot="1" x14ac:dyDescent="0.35">
      <c r="A14" s="23">
        <v>13</v>
      </c>
      <c r="B14" s="24">
        <v>638</v>
      </c>
      <c r="C14" s="24">
        <v>105</v>
      </c>
      <c r="D14" s="24">
        <v>750.8</v>
      </c>
      <c r="E14" s="24">
        <v>55</v>
      </c>
      <c r="F14" s="24">
        <v>102.8</v>
      </c>
      <c r="G14" s="24">
        <v>397.6</v>
      </c>
      <c r="H14">
        <f t="shared" si="1"/>
        <v>3.0879423093820642E-2</v>
      </c>
      <c r="I14">
        <f t="shared" si="2"/>
        <v>-4.1964199099032193E-2</v>
      </c>
      <c r="J14">
        <f t="shared" si="3"/>
        <v>6.6351564880626906E-2</v>
      </c>
      <c r="K14">
        <f t="shared" si="4"/>
        <v>1.8198367169858993E-3</v>
      </c>
      <c r="L14">
        <f t="shared" si="5"/>
        <v>4.8756800634839311E-3</v>
      </c>
      <c r="M14">
        <f t="shared" si="6"/>
        <v>4.2848206703341961E-3</v>
      </c>
      <c r="O14">
        <f>SUM(H3:H21)</f>
        <v>0.21680773286512386</v>
      </c>
      <c r="P14">
        <f t="shared" ref="P14:T14" si="7">SUM(I3:I21)</f>
        <v>0.14628006639492827</v>
      </c>
      <c r="Q14">
        <f t="shared" si="7"/>
        <v>0.35210616094743241</v>
      </c>
      <c r="R14">
        <f t="shared" si="7"/>
        <v>4.7110160237443958E-2</v>
      </c>
      <c r="S14">
        <f t="shared" si="7"/>
        <v>-4.2433598414596749E-2</v>
      </c>
      <c r="T14">
        <f t="shared" si="7"/>
        <v>0.18486780245931367</v>
      </c>
    </row>
    <row r="15" spans="1:20" ht="15" thickBot="1" x14ac:dyDescent="0.35">
      <c r="A15" s="23">
        <v>14</v>
      </c>
      <c r="B15" s="24">
        <v>656</v>
      </c>
      <c r="C15" s="24">
        <v>104.9</v>
      </c>
      <c r="D15" s="24">
        <v>789.7</v>
      </c>
      <c r="E15" s="24">
        <v>56.6</v>
      </c>
      <c r="F15" s="24">
        <v>99.8</v>
      </c>
      <c r="G15" s="24">
        <v>406.1</v>
      </c>
      <c r="H15">
        <f t="shared" si="1"/>
        <v>2.7822505599299194E-2</v>
      </c>
      <c r="I15">
        <f t="shared" si="2"/>
        <v>-9.5283475527185445E-4</v>
      </c>
      <c r="J15">
        <f t="shared" si="3"/>
        <v>5.0513821791181586E-2</v>
      </c>
      <c r="K15">
        <f t="shared" si="4"/>
        <v>2.8675799976666298E-2</v>
      </c>
      <c r="L15">
        <f t="shared" si="5"/>
        <v>-2.9617169703646449E-2</v>
      </c>
      <c r="M15">
        <f t="shared" si="6"/>
        <v>2.1152959909833177E-2</v>
      </c>
      <c r="O15">
        <f>SUMPRODUCT($M$3:$M$21,H3:H21)</f>
        <v>7.3006020823278728E-4</v>
      </c>
      <c r="P15">
        <f t="shared" ref="P15:T15" si="8">SUMPRODUCT($M$3:$M$21,I3:I21)</f>
        <v>1.062143471141217E-3</v>
      </c>
      <c r="Q15">
        <f t="shared" si="8"/>
        <v>8.46871654725588E-4</v>
      </c>
      <c r="R15">
        <f t="shared" si="8"/>
        <v>-5.8395982925088334E-4</v>
      </c>
      <c r="S15">
        <f t="shared" si="8"/>
        <v>-6.7347794954207927E-3</v>
      </c>
      <c r="T15">
        <f t="shared" si="8"/>
        <v>7.4010151776424298E-3</v>
      </c>
    </row>
    <row r="16" spans="1:20" ht="15" thickBot="1" x14ac:dyDescent="0.35">
      <c r="A16" s="23">
        <v>15</v>
      </c>
      <c r="B16" s="24">
        <v>662</v>
      </c>
      <c r="C16" s="24">
        <v>105.3</v>
      </c>
      <c r="D16" s="24">
        <v>799.1</v>
      </c>
      <c r="E16" s="24">
        <v>56.9</v>
      </c>
      <c r="F16" s="24">
        <v>101.4</v>
      </c>
      <c r="G16" s="24">
        <v>400.7</v>
      </c>
      <c r="H16">
        <f t="shared" si="1"/>
        <v>9.1047669929190667E-3</v>
      </c>
      <c r="I16">
        <f t="shared" si="2"/>
        <v>3.80590373767819E-3</v>
      </c>
      <c r="J16">
        <f t="shared" si="3"/>
        <v>1.1832967876881784E-2</v>
      </c>
      <c r="K16">
        <f t="shared" si="4"/>
        <v>5.2863559231480246E-3</v>
      </c>
      <c r="L16">
        <f t="shared" si="5"/>
        <v>1.5904907839664514E-2</v>
      </c>
      <c r="M16">
        <f t="shared" si="6"/>
        <v>-1.3386417050153305E-2</v>
      </c>
    </row>
    <row r="17" spans="1:20" ht="15" thickBot="1" x14ac:dyDescent="0.35">
      <c r="A17" s="23">
        <v>16</v>
      </c>
      <c r="B17" s="24">
        <v>669.4</v>
      </c>
      <c r="C17" s="24">
        <v>105.7</v>
      </c>
      <c r="D17" s="24">
        <v>805</v>
      </c>
      <c r="E17" s="24">
        <v>56</v>
      </c>
      <c r="F17" s="24">
        <v>100.9</v>
      </c>
      <c r="G17" s="24">
        <v>396.6</v>
      </c>
      <c r="H17">
        <f t="shared" si="1"/>
        <v>1.1116232840217944E-2</v>
      </c>
      <c r="I17">
        <f t="shared" si="2"/>
        <v>3.7914737362622171E-3</v>
      </c>
      <c r="J17">
        <f t="shared" si="3"/>
        <v>7.3561830381463373E-3</v>
      </c>
      <c r="K17">
        <f t="shared" si="4"/>
        <v>-1.5943650397136001E-2</v>
      </c>
      <c r="L17">
        <f t="shared" si="5"/>
        <v>-4.9431637975195421E-3</v>
      </c>
      <c r="M17">
        <f t="shared" si="6"/>
        <v>-1.0284801556403166E-2</v>
      </c>
      <c r="O17" s="22" t="s">
        <v>27</v>
      </c>
      <c r="P17" s="22" t="s">
        <v>28</v>
      </c>
      <c r="Q17" s="22" t="s">
        <v>29</v>
      </c>
      <c r="R17" s="22" t="s">
        <v>30</v>
      </c>
      <c r="S17" s="22" t="s">
        <v>31</v>
      </c>
      <c r="T17" s="22" t="s">
        <v>32</v>
      </c>
    </row>
    <row r="18" spans="1:20" ht="15" thickBot="1" x14ac:dyDescent="0.35">
      <c r="A18" s="23">
        <v>17</v>
      </c>
      <c r="B18" s="24">
        <v>700.7</v>
      </c>
      <c r="C18" s="24">
        <v>108.5</v>
      </c>
      <c r="D18" s="24">
        <v>870</v>
      </c>
      <c r="E18" s="24">
        <v>56.7</v>
      </c>
      <c r="F18" s="24">
        <v>95.3</v>
      </c>
      <c r="G18" s="24">
        <v>398.2</v>
      </c>
      <c r="H18">
        <f t="shared" si="1"/>
        <v>4.5698046599262146E-2</v>
      </c>
      <c r="I18">
        <f t="shared" si="2"/>
        <v>2.6145280104322207E-2</v>
      </c>
      <c r="J18">
        <f t="shared" si="3"/>
        <v>7.7650934230066068E-2</v>
      </c>
      <c r="K18">
        <f t="shared" si="4"/>
        <v>1.242251999855711E-2</v>
      </c>
      <c r="L18">
        <f t="shared" si="5"/>
        <v>-5.71001166994069E-2</v>
      </c>
      <c r="M18">
        <f t="shared" si="6"/>
        <v>4.0261755444001316E-3</v>
      </c>
      <c r="N18" t="s">
        <v>48</v>
      </c>
      <c r="O18" cm="1">
        <f t="array" ref="O18:O19">MMULT(_xlfn.ANCHORARRAY(R10),O14:O15)</f>
        <v>1.3806733697076797E-2</v>
      </c>
      <c r="P18" cm="1">
        <f t="array" ref="P18:P19">MMULT(_xlfn.ANCHORARRAY(R10),P14:P15)</f>
        <v>8.3261776748431784E-3</v>
      </c>
      <c r="Q18" cm="1">
        <f t="array" ref="Q18:Q19">MMULT(_xlfn.ANCHORARRAY(R10),Q14:Q15)</f>
        <v>2.3011184443624474E-2</v>
      </c>
      <c r="R18" cm="1">
        <f t="array" ref="R18:R19">MMULT(_xlfn.ANCHORARRAY(R10),R14:R15)</f>
        <v>4.2897850682811437E-3</v>
      </c>
      <c r="S18" cm="1">
        <f t="array" ref="S18:S19">MMULT(_xlfn.ANCHORARRAY(R10),S14:S15)</f>
        <v>8.7463766543630275E-3</v>
      </c>
      <c r="T18" cm="1">
        <f t="array" ref="T18:T19">MMULT(_xlfn.ANCHORARRAY(R10),T14:T15)</f>
        <v>-1.7347234759768071E-18</v>
      </c>
    </row>
    <row r="19" spans="1:20" ht="15" thickBot="1" x14ac:dyDescent="0.35">
      <c r="A19" s="23">
        <v>18</v>
      </c>
      <c r="B19" s="24">
        <v>709</v>
      </c>
      <c r="C19" s="24">
        <v>110.3</v>
      </c>
      <c r="D19" s="24">
        <v>937.6</v>
      </c>
      <c r="E19" s="24">
        <v>57</v>
      </c>
      <c r="F19" s="24">
        <v>65.7</v>
      </c>
      <c r="G19" s="24">
        <v>400.9</v>
      </c>
      <c r="H19">
        <f t="shared" si="1"/>
        <v>1.177569115563932E-2</v>
      </c>
      <c r="I19">
        <f t="shared" si="2"/>
        <v>1.645375327894243E-2</v>
      </c>
      <c r="J19">
        <f t="shared" si="3"/>
        <v>7.4830207174118687E-2</v>
      </c>
      <c r="K19">
        <f t="shared" si="4"/>
        <v>5.2770571008438193E-3</v>
      </c>
      <c r="L19">
        <f t="shared" si="5"/>
        <v>-0.37193088516959155</v>
      </c>
      <c r="M19">
        <f t="shared" si="6"/>
        <v>6.7576280183653031E-3</v>
      </c>
      <c r="N19" s="28" t="s">
        <v>5</v>
      </c>
      <c r="O19" s="28">
        <v>-0.24623112718264453</v>
      </c>
      <c r="P19" s="28">
        <v>-6.446395353087464E-2</v>
      </c>
      <c r="Q19" s="28">
        <v>-0.46036325606327866</v>
      </c>
      <c r="R19" s="28">
        <v>-0.18605595783758891</v>
      </c>
      <c r="S19" s="28">
        <v>-1.1284536954097613</v>
      </c>
      <c r="T19" s="28">
        <v>1.0000000000000002</v>
      </c>
    </row>
    <row r="20" spans="1:20" ht="15" thickBot="1" x14ac:dyDescent="0.35">
      <c r="A20" s="23">
        <v>19</v>
      </c>
      <c r="B20" s="24">
        <v>713</v>
      </c>
      <c r="C20" s="24">
        <v>112.6</v>
      </c>
      <c r="D20" s="24">
        <v>948.8</v>
      </c>
      <c r="E20" s="24">
        <v>56.8</v>
      </c>
      <c r="F20" s="24">
        <v>99.4</v>
      </c>
      <c r="G20" s="24">
        <v>399.1</v>
      </c>
      <c r="H20">
        <f t="shared" si="1"/>
        <v>5.6258938821684285E-3</v>
      </c>
      <c r="I20">
        <f t="shared" si="2"/>
        <v>2.0637789446133196E-2</v>
      </c>
      <c r="J20">
        <f t="shared" si="3"/>
        <v>1.1874609420712683E-2</v>
      </c>
      <c r="K20">
        <f t="shared" si="4"/>
        <v>-3.5149421074444969E-3</v>
      </c>
      <c r="L20">
        <f t="shared" si="5"/>
        <v>0.41405318817196352</v>
      </c>
      <c r="M20">
        <f t="shared" si="6"/>
        <v>-4.5000075937729131E-3</v>
      </c>
    </row>
    <row r="21" spans="1:20" ht="15" thickBot="1" x14ac:dyDescent="0.35">
      <c r="A21" s="23">
        <v>20</v>
      </c>
      <c r="B21" s="24">
        <v>708</v>
      </c>
      <c r="C21" s="24">
        <v>113.9</v>
      </c>
      <c r="D21" s="24">
        <v>951.5</v>
      </c>
      <c r="E21" s="24">
        <v>56.5</v>
      </c>
      <c r="F21" s="24">
        <v>99.2</v>
      </c>
      <c r="G21" s="24">
        <v>401.1</v>
      </c>
      <c r="H21">
        <f t="shared" si="1"/>
        <v>-7.0373267205762037E-3</v>
      </c>
      <c r="I21">
        <f t="shared" si="2"/>
        <v>1.147915474754644E-2</v>
      </c>
      <c r="J21">
        <f t="shared" si="3"/>
        <v>2.8416584927431947E-3</v>
      </c>
      <c r="K21">
        <f t="shared" si="4"/>
        <v>-5.2956875747103439E-3</v>
      </c>
      <c r="L21">
        <f t="shared" si="5"/>
        <v>-2.0140993717012562E-3</v>
      </c>
      <c r="M21">
        <f t="shared" si="6"/>
        <v>4.9987607213188802E-3</v>
      </c>
    </row>
    <row r="22" spans="1:20" x14ac:dyDescent="0.3">
      <c r="G22" s="26" t="s">
        <v>35</v>
      </c>
      <c r="H22" s="26">
        <f>SUM(H3:H21)/18</f>
        <v>1.2044874048062437E-2</v>
      </c>
      <c r="I22" s="26">
        <f t="shared" ref="I22:M22" si="9">SUM(I3:I21)/18</f>
        <v>8.1266703552737921E-3</v>
      </c>
      <c r="J22" s="26">
        <f t="shared" si="9"/>
        <v>1.9561453385968468E-2</v>
      </c>
      <c r="K22" s="26">
        <f t="shared" si="9"/>
        <v>2.6172311243024423E-3</v>
      </c>
      <c r="L22" s="26">
        <f t="shared" si="9"/>
        <v>-2.3574221341442639E-3</v>
      </c>
      <c r="M22" s="26">
        <f t="shared" si="9"/>
        <v>1.027043346996187E-2</v>
      </c>
    </row>
    <row r="23" spans="1:20" x14ac:dyDescent="0.3">
      <c r="A23" t="s">
        <v>6</v>
      </c>
      <c r="B23" s="1">
        <v>0.03</v>
      </c>
      <c r="C23" t="s">
        <v>33</v>
      </c>
      <c r="G23" t="s">
        <v>36</v>
      </c>
      <c r="H23">
        <f>_xlfn.VAR.S(H3:H21)</f>
        <v>2.6711894287500713E-4</v>
      </c>
      <c r="I23">
        <f t="shared" ref="I23:M23" si="10">_xlfn.VAR.S(I3:I21)</f>
        <v>1.2232782093107252E-3</v>
      </c>
      <c r="J23">
        <f t="shared" si="10"/>
        <v>1.0714046291855398E-3</v>
      </c>
      <c r="K23">
        <f t="shared" si="10"/>
        <v>3.295415379059041E-4</v>
      </c>
      <c r="L23">
        <f t="shared" si="10"/>
        <v>1.7556896333961427E-2</v>
      </c>
      <c r="M23">
        <f t="shared" si="10"/>
        <v>3.1123738008500098E-4</v>
      </c>
    </row>
    <row r="24" spans="1:20" x14ac:dyDescent="0.3">
      <c r="B24" s="25">
        <f>B23/252</f>
        <v>1.1904761904761905E-4</v>
      </c>
      <c r="C24" t="s">
        <v>34</v>
      </c>
      <c r="G24" s="27" t="s">
        <v>37</v>
      </c>
      <c r="H24" s="27">
        <f>STDEVA(H3:H21)</f>
        <v>1.6343773825986674E-2</v>
      </c>
      <c r="I24" s="27">
        <f t="shared" ref="I24:M24" si="11">STDEVA(I3:I21)</f>
        <v>3.4975394341032459E-2</v>
      </c>
      <c r="J24" s="27">
        <f t="shared" si="11"/>
        <v>3.273231780955238E-2</v>
      </c>
      <c r="K24" s="27">
        <f t="shared" si="11"/>
        <v>1.8153278984963134E-2</v>
      </c>
      <c r="L24" s="27">
        <f t="shared" si="11"/>
        <v>0.13250243897363334</v>
      </c>
      <c r="M24" s="27">
        <f t="shared" si="11"/>
        <v>1.7641921099613867E-2</v>
      </c>
    </row>
    <row r="25" spans="1:20" x14ac:dyDescent="0.3">
      <c r="G25" t="s">
        <v>38</v>
      </c>
      <c r="H25">
        <f>_xlfn.COVARIANCE.S(H3:H21,$M$3:$M$21)</f>
        <v>-7.6636330919702952E-5</v>
      </c>
      <c r="I25">
        <f t="shared" ref="I25:M25" si="12">_xlfn.COVARIANCE.S(I3:I21,$M$3:$M$21)</f>
        <v>-2.0063592006870667E-5</v>
      </c>
      <c r="J25">
        <f t="shared" si="12"/>
        <v>-1.4328225370453527E-4</v>
      </c>
      <c r="K25">
        <f t="shared" si="12"/>
        <v>-5.7907568866576545E-5</v>
      </c>
      <c r="L25">
        <f t="shared" si="12"/>
        <v>-3.5121697170657171E-4</v>
      </c>
      <c r="M25">
        <f>_xlfn.COVARIANCE.S(M3:M21,$M$3:$M$21)</f>
        <v>3.1123738008500103E-4</v>
      </c>
    </row>
    <row r="26" spans="1:20" x14ac:dyDescent="0.3">
      <c r="G26" s="28" t="s">
        <v>5</v>
      </c>
      <c r="H26" s="28">
        <f>H25/$M$23</f>
        <v>-0.24623112718264453</v>
      </c>
      <c r="I26" s="28">
        <f t="shared" ref="I26:M26" si="13">I25/$M$23</f>
        <v>-6.4463953530874626E-2</v>
      </c>
      <c r="J26" s="28">
        <f t="shared" si="13"/>
        <v>-0.4603632560632786</v>
      </c>
      <c r="K26" s="28">
        <f t="shared" si="13"/>
        <v>-0.1860559578375888</v>
      </c>
      <c r="L26" s="28">
        <f t="shared" si="13"/>
        <v>-1.128453695409761</v>
      </c>
      <c r="M26" s="28">
        <f t="shared" si="13"/>
        <v>1.0000000000000002</v>
      </c>
    </row>
    <row r="27" spans="1:20" ht="15" thickBot="1" x14ac:dyDescent="0.35"/>
    <row r="28" spans="1:20" ht="15" thickBot="1" x14ac:dyDescent="0.35">
      <c r="B28" s="22" t="s">
        <v>27</v>
      </c>
      <c r="C28" s="22" t="s">
        <v>28</v>
      </c>
      <c r="D28" s="22" t="s">
        <v>29</v>
      </c>
      <c r="E28" s="22" t="s">
        <v>30</v>
      </c>
      <c r="F28" s="22" t="s">
        <v>31</v>
      </c>
    </row>
    <row r="29" spans="1:20" ht="15" thickBot="1" x14ac:dyDescent="0.35">
      <c r="A29" s="22" t="s">
        <v>27</v>
      </c>
      <c r="B29">
        <f>_xlfn.COVARIANCE.S($H$3:$H$21,H$3:H$21)</f>
        <v>2.6711894287500724E-4</v>
      </c>
      <c r="C29">
        <f t="shared" ref="C29:F29" si="14">_xlfn.COVARIANCE.S($H$3:$H$21,I$3:I$21)</f>
        <v>1.2237846205907647E-4</v>
      </c>
      <c r="D29">
        <f t="shared" si="14"/>
        <v>2.5715775576645863E-4</v>
      </c>
      <c r="E29">
        <f t="shared" si="14"/>
        <v>1.9027708453487211E-4</v>
      </c>
      <c r="F29">
        <f>_xlfn.COVARIANCE.S($H$3:$H$21,L$3:L$21)</f>
        <v>-2.5302392874231093E-4</v>
      </c>
    </row>
    <row r="30" spans="1:20" ht="15" thickBot="1" x14ac:dyDescent="0.35">
      <c r="A30" s="22" t="s">
        <v>28</v>
      </c>
      <c r="B30">
        <f>_xlfn.COVARIANCE.S($I$3:$I$21,H$3:H$21)</f>
        <v>1.2237846205907647E-4</v>
      </c>
      <c r="C30">
        <f t="shared" ref="C30:F30" si="15">_xlfn.COVARIANCE.S($I$3:$I$21,I$3:I$21)</f>
        <v>1.223278209310725E-3</v>
      </c>
      <c r="D30">
        <f t="shared" si="15"/>
        <v>-1.0642696717067462E-4</v>
      </c>
      <c r="E30">
        <f t="shared" si="15"/>
        <v>1.6827996105447346E-4</v>
      </c>
      <c r="F30">
        <f t="shared" si="15"/>
        <v>-1.3539415363570724E-5</v>
      </c>
    </row>
    <row r="31" spans="1:20" ht="15" thickBot="1" x14ac:dyDescent="0.35">
      <c r="A31" s="22" t="s">
        <v>29</v>
      </c>
      <c r="B31">
        <f>_xlfn.COVARIANCE.S($J$3:$J$21,H$3:H$21)</f>
        <v>2.5715775576645863E-4</v>
      </c>
      <c r="C31">
        <f t="shared" ref="C31:F31" si="16">_xlfn.COVARIANCE.S($J$3:$J$21,I$3:I$21)</f>
        <v>-1.0642696717067462E-4</v>
      </c>
      <c r="D31">
        <f t="shared" si="16"/>
        <v>1.0714046291855396E-3</v>
      </c>
      <c r="E31">
        <f t="shared" si="16"/>
        <v>2.0327785300413735E-4</v>
      </c>
      <c r="F31">
        <f t="shared" si="16"/>
        <v>-1.495228661303189E-3</v>
      </c>
    </row>
    <row r="32" spans="1:20" ht="15" thickBot="1" x14ac:dyDescent="0.35">
      <c r="A32" s="22" t="s">
        <v>30</v>
      </c>
      <c r="B32">
        <f>_xlfn.COVARIANCE.S($K$3:$K$21,H$3:H$21)</f>
        <v>1.9027708453487211E-4</v>
      </c>
      <c r="C32">
        <f t="shared" ref="C32:F32" si="17">_xlfn.COVARIANCE.S($K$3:$K$21,I$3:I$21)</f>
        <v>1.6827996105447346E-4</v>
      </c>
      <c r="D32">
        <f t="shared" si="17"/>
        <v>2.0327785300413735E-4</v>
      </c>
      <c r="E32">
        <f t="shared" si="17"/>
        <v>3.2954153790590404E-4</v>
      </c>
      <c r="F32">
        <f>_xlfn.COVARIANCE.S($K$3:$K$21,L$3:L$21)</f>
        <v>-2.6015727910692552E-4</v>
      </c>
    </row>
    <row r="33" spans="1:15" ht="15" thickBot="1" x14ac:dyDescent="0.35">
      <c r="A33" s="22" t="s">
        <v>31</v>
      </c>
      <c r="B33">
        <f>_xlfn.COVARIANCE.S($L$3:$L$21,H$3:H$21)</f>
        <v>-2.5302392874231093E-4</v>
      </c>
      <c r="C33">
        <f t="shared" ref="C33:F33" si="18">_xlfn.COVARIANCE.S($L$3:$L$21,I$3:I$21)</f>
        <v>-1.3539415363570724E-5</v>
      </c>
      <c r="D33">
        <f t="shared" si="18"/>
        <v>-1.495228661303189E-3</v>
      </c>
      <c r="E33">
        <f t="shared" si="18"/>
        <v>-2.6015727910692552E-4</v>
      </c>
      <c r="F33">
        <f>_xlfn.COVARIANCE.S($L$3:$L$21,L$3:L$21)</f>
        <v>1.7556896333961423E-2</v>
      </c>
    </row>
    <row r="35" spans="1:15" x14ac:dyDescent="0.3">
      <c r="A35" s="29" t="s">
        <v>39</v>
      </c>
      <c r="I35" t="s">
        <v>40</v>
      </c>
    </row>
    <row r="36" spans="1:15" x14ac:dyDescent="0.3">
      <c r="B36">
        <f>2*B29</f>
        <v>5.3423788575001447E-4</v>
      </c>
      <c r="C36">
        <f t="shared" ref="C36:F36" si="19">2*C29</f>
        <v>2.4475692411815293E-4</v>
      </c>
      <c r="D36">
        <f t="shared" si="19"/>
        <v>5.1431551153291726E-4</v>
      </c>
      <c r="E36">
        <f t="shared" si="19"/>
        <v>3.8055416906974422E-4</v>
      </c>
      <c r="F36">
        <f t="shared" si="19"/>
        <v>-5.0604785748462186E-4</v>
      </c>
      <c r="G36">
        <v>1</v>
      </c>
      <c r="I36">
        <v>0</v>
      </c>
    </row>
    <row r="37" spans="1:15" x14ac:dyDescent="0.3">
      <c r="B37">
        <f t="shared" ref="B37:F37" si="20">2*B30</f>
        <v>2.4475692411815293E-4</v>
      </c>
      <c r="C37">
        <f t="shared" si="20"/>
        <v>2.4465564186214499E-3</v>
      </c>
      <c r="D37">
        <f t="shared" si="20"/>
        <v>-2.1285393434134923E-4</v>
      </c>
      <c r="E37">
        <f t="shared" si="20"/>
        <v>3.3655992210894693E-4</v>
      </c>
      <c r="F37">
        <f t="shared" si="20"/>
        <v>-2.7078830727141449E-5</v>
      </c>
      <c r="G37">
        <v>1</v>
      </c>
      <c r="I37">
        <v>0</v>
      </c>
    </row>
    <row r="38" spans="1:15" x14ac:dyDescent="0.3">
      <c r="B38">
        <f t="shared" ref="B38:F38" si="21">2*B31</f>
        <v>5.1431551153291726E-4</v>
      </c>
      <c r="C38">
        <f t="shared" si="21"/>
        <v>-2.1285393434134923E-4</v>
      </c>
      <c r="D38">
        <f t="shared" si="21"/>
        <v>2.1428092583710792E-3</v>
      </c>
      <c r="E38">
        <f t="shared" si="21"/>
        <v>4.065557060082747E-4</v>
      </c>
      <c r="F38">
        <f t="shared" si="21"/>
        <v>-2.990457322606378E-3</v>
      </c>
      <c r="G38">
        <v>1</v>
      </c>
      <c r="I38">
        <v>0</v>
      </c>
    </row>
    <row r="39" spans="1:15" x14ac:dyDescent="0.3">
      <c r="B39">
        <f t="shared" ref="B39:F39" si="22">2*B32</f>
        <v>3.8055416906974422E-4</v>
      </c>
      <c r="C39">
        <f t="shared" si="22"/>
        <v>3.3655992210894693E-4</v>
      </c>
      <c r="D39">
        <f t="shared" si="22"/>
        <v>4.065557060082747E-4</v>
      </c>
      <c r="E39">
        <f t="shared" si="22"/>
        <v>6.5908307581180809E-4</v>
      </c>
      <c r="F39">
        <f t="shared" si="22"/>
        <v>-5.2031455821385103E-4</v>
      </c>
      <c r="G39">
        <v>1</v>
      </c>
      <c r="I39">
        <v>0</v>
      </c>
    </row>
    <row r="40" spans="1:15" x14ac:dyDescent="0.3">
      <c r="B40">
        <f t="shared" ref="B40:F40" si="23">2*B33</f>
        <v>-5.0604785748462186E-4</v>
      </c>
      <c r="C40">
        <f t="shared" si="23"/>
        <v>-2.7078830727141449E-5</v>
      </c>
      <c r="D40">
        <f t="shared" si="23"/>
        <v>-2.990457322606378E-3</v>
      </c>
      <c r="E40">
        <f t="shared" si="23"/>
        <v>-5.2031455821385103E-4</v>
      </c>
      <c r="F40">
        <f t="shared" si="23"/>
        <v>3.5113792667922847E-2</v>
      </c>
      <c r="G40">
        <v>1</v>
      </c>
      <c r="I40">
        <v>0</v>
      </c>
    </row>
    <row r="41" spans="1:15" x14ac:dyDescent="0.3">
      <c r="B41">
        <v>1</v>
      </c>
      <c r="C41">
        <v>1</v>
      </c>
      <c r="D41">
        <v>1</v>
      </c>
      <c r="E41">
        <v>1</v>
      </c>
      <c r="F41">
        <v>1</v>
      </c>
      <c r="G41">
        <v>0</v>
      </c>
      <c r="I41">
        <v>1</v>
      </c>
    </row>
    <row r="42" spans="1:15" ht="15" thickBot="1" x14ac:dyDescent="0.35">
      <c r="H42" s="30"/>
      <c r="I42" s="30" t="s">
        <v>41</v>
      </c>
      <c r="L42" s="32" t="s">
        <v>42</v>
      </c>
      <c r="M42" s="32"/>
      <c r="N42" s="32"/>
      <c r="O42" s="33" cm="1">
        <f t="array" ref="O42">MMULT(H22:L22,I43:I47)</f>
        <v>9.1083139525055899E-3</v>
      </c>
    </row>
    <row r="43" spans="1:15" ht="15" thickBot="1" x14ac:dyDescent="0.35">
      <c r="B43" cm="1">
        <f t="array" ref="B43:G48">MINVERSE(B36:G41)</f>
        <v>3135.6882083703035</v>
      </c>
      <c r="C43">
        <v>-308.35835458325045</v>
      </c>
      <c r="D43">
        <v>-723.9039686146341</v>
      </c>
      <c r="E43">
        <v>-2041.7118413424741</v>
      </c>
      <c r="F43">
        <v>-61.714043829944949</v>
      </c>
      <c r="G43">
        <v>0.5183361371067613</v>
      </c>
      <c r="H43" s="31" t="s">
        <v>27</v>
      </c>
      <c r="I43" s="30" cm="1">
        <f t="array" ref="I43:I48">MMULT(_xlfn.ANCHORARRAY(B43),I36:I41)</f>
        <v>0.5183361371067613</v>
      </c>
      <c r="L43" s="32" t="s">
        <v>44</v>
      </c>
      <c r="M43" s="32"/>
      <c r="N43" s="32"/>
      <c r="O43" s="32" cm="1">
        <f t="array" ref="O43">MMULT(TRANSPOSE(I43:I47),MMULT(B29:F33,I43:I47))</f>
        <v>2.1537559343100791E-4</v>
      </c>
    </row>
    <row r="44" spans="1:15" ht="15" thickBot="1" x14ac:dyDescent="0.35">
      <c r="B44">
        <v>-308.35835458325039</v>
      </c>
      <c r="C44">
        <v>450.25179432127908</v>
      </c>
      <c r="D44">
        <v>127.26548605981263</v>
      </c>
      <c r="E44">
        <v>-269.30058503039265</v>
      </c>
      <c r="F44">
        <v>0.14165923255146501</v>
      </c>
      <c r="G44">
        <v>9.1635004303178239E-2</v>
      </c>
      <c r="H44" s="31" t="s">
        <v>28</v>
      </c>
      <c r="I44" s="30">
        <v>9.1635004303178239E-2</v>
      </c>
      <c r="L44" s="32" t="s">
        <v>43</v>
      </c>
      <c r="M44" s="32"/>
      <c r="N44" s="32"/>
      <c r="O44" s="32">
        <f>SQRT(O43)</f>
        <v>1.4675680339630183E-2</v>
      </c>
    </row>
    <row r="45" spans="1:15" ht="15" thickBot="1" x14ac:dyDescent="0.35">
      <c r="B45">
        <v>-723.90396861463398</v>
      </c>
      <c r="C45">
        <v>127.26548605981267</v>
      </c>
      <c r="D45">
        <v>713.63629452489499</v>
      </c>
      <c r="E45">
        <v>-162.92413142857876</v>
      </c>
      <c r="F45">
        <v>45.926319458505432</v>
      </c>
      <c r="G45">
        <v>7.3795973918641955E-2</v>
      </c>
      <c r="H45" s="31" t="s">
        <v>29</v>
      </c>
      <c r="I45" s="30">
        <v>7.3795973918641955E-2</v>
      </c>
      <c r="L45" s="32" t="s">
        <v>46</v>
      </c>
      <c r="M45" s="32"/>
      <c r="N45" s="32"/>
      <c r="O45" s="34">
        <f>O47^2*M25</f>
        <v>2.0227090679673319E-5</v>
      </c>
    </row>
    <row r="46" spans="1:15" ht="15" thickBot="1" x14ac:dyDescent="0.35">
      <c r="B46">
        <v>-2041.7118413424744</v>
      </c>
      <c r="C46">
        <v>-269.30058503039271</v>
      </c>
      <c r="D46">
        <v>-162.92413142857885</v>
      </c>
      <c r="E46">
        <v>2488.7087035467766</v>
      </c>
      <c r="F46">
        <v>-14.772145745330851</v>
      </c>
      <c r="G46">
        <v>0.28590352284181669</v>
      </c>
      <c r="H46" s="31" t="s">
        <v>30</v>
      </c>
      <c r="I46" s="30">
        <v>0.28590352284181669</v>
      </c>
      <c r="L46" s="32" t="s">
        <v>47</v>
      </c>
      <c r="M46" s="32"/>
      <c r="N46" s="32"/>
      <c r="O46" s="32">
        <f>O43-O45</f>
        <v>1.9514850275133459E-4</v>
      </c>
    </row>
    <row r="47" spans="1:15" ht="15" thickBot="1" x14ac:dyDescent="0.35">
      <c r="B47">
        <v>-61.714043829944764</v>
      </c>
      <c r="C47">
        <v>0.14165923255144136</v>
      </c>
      <c r="D47">
        <v>45.926319458505311</v>
      </c>
      <c r="E47">
        <v>-14.772145745330869</v>
      </c>
      <c r="F47">
        <v>30.418210884218901</v>
      </c>
      <c r="G47">
        <v>3.0329361829601775E-2</v>
      </c>
      <c r="H47" s="31" t="s">
        <v>31</v>
      </c>
      <c r="I47" s="30">
        <v>3.0329361829601775E-2</v>
      </c>
      <c r="L47" s="32" t="s">
        <v>45</v>
      </c>
      <c r="M47" s="32"/>
      <c r="N47" s="32"/>
      <c r="O47" s="32" cm="1">
        <f t="array" ref="O47">MMULT(H26:L26,I43:I47)</f>
        <v>-0.25492993502355304</v>
      </c>
    </row>
    <row r="48" spans="1:15" x14ac:dyDescent="0.3">
      <c r="B48">
        <v>0.51833613710676074</v>
      </c>
      <c r="C48">
        <v>9.163500430317828E-2</v>
      </c>
      <c r="D48">
        <v>7.3795973918642122E-2</v>
      </c>
      <c r="E48">
        <v>0.28590352284181697</v>
      </c>
      <c r="F48">
        <v>3.0329361829601789E-2</v>
      </c>
      <c r="G48">
        <v>-4.3075118686201577E-4</v>
      </c>
      <c r="I48">
        <v>-4.3075118686201577E-4</v>
      </c>
    </row>
    <row r="49" spans="9:9" x14ac:dyDescent="0.3">
      <c r="I49">
        <f>SUM(I43:I47)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Pr.1</vt:lpstr>
      <vt:lpstr>Pr.2</vt:lpstr>
      <vt:lpstr>Pr.3</vt:lpstr>
      <vt:lpstr>Pr.4</vt:lpstr>
      <vt:lpstr>Pr.5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2021-04-19T06:06:09Z</dcterms:created>
  <dcterms:modified xsi:type="dcterms:W3CDTF">2021-04-19T07:50:35Z</dcterms:modified>
</cp:coreProperties>
</file>