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5970\Documents\"/>
    </mc:Choice>
  </mc:AlternateContent>
  <xr:revisionPtr revIDLastSave="0" documentId="8_{20D85C30-51AB-49CB-BBC7-14E7D9EB178E}" xr6:coauthVersionLast="36" xr6:coauthVersionMax="36" xr10:uidLastSave="{00000000-0000-0000-0000-000000000000}"/>
  <bookViews>
    <workbookView xWindow="0" yWindow="0" windowWidth="28800" windowHeight="14025" activeTab="1" xr2:uid="{4B823742-3AA8-453F-BB05-865D17B212CF}"/>
  </bookViews>
  <sheets>
    <sheet name="Sporeni" sheetId="1" r:id="rId1"/>
    <sheet name="Duchody" sheetId="3" r:id="rId2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1" i="3" l="1"/>
  <c r="B93" i="3"/>
  <c r="B92" i="3"/>
  <c r="B86" i="3"/>
  <c r="B85" i="3"/>
  <c r="B79" i="3"/>
  <c r="B76" i="3"/>
  <c r="B75" i="3"/>
  <c r="B69" i="3"/>
  <c r="B68" i="3"/>
  <c r="B64" i="3"/>
  <c r="B63" i="3"/>
  <c r="B57" i="3"/>
  <c r="B56" i="3"/>
  <c r="B55" i="3"/>
  <c r="B51" i="3"/>
  <c r="B49" i="3"/>
  <c r="B47" i="3"/>
  <c r="B42" i="3"/>
  <c r="B41" i="3"/>
  <c r="B35" i="3"/>
  <c r="B33" i="3"/>
  <c r="D27" i="3"/>
  <c r="D22" i="3"/>
  <c r="D23" i="3" s="1"/>
  <c r="D26" i="3"/>
  <c r="B27" i="3"/>
  <c r="B26" i="3"/>
  <c r="B23" i="3"/>
  <c r="B22" i="3"/>
  <c r="B17" i="3"/>
  <c r="B16" i="3"/>
  <c r="K10" i="3"/>
  <c r="K9" i="3"/>
  <c r="J8" i="3"/>
  <c r="I7" i="3"/>
  <c r="I6" i="3"/>
  <c r="J6" i="3"/>
  <c r="K6" i="3"/>
  <c r="H6" i="3"/>
  <c r="H5" i="3"/>
  <c r="I3" i="3"/>
  <c r="J3" i="3"/>
  <c r="K3" i="3"/>
  <c r="L3" i="3"/>
  <c r="H3" i="3"/>
  <c r="B12" i="3"/>
  <c r="B11" i="3"/>
  <c r="F9" i="3"/>
  <c r="F10" i="3" s="1"/>
  <c r="D10" i="3"/>
  <c r="E10" i="3"/>
  <c r="C10" i="3"/>
  <c r="D9" i="3"/>
  <c r="E9" i="3"/>
  <c r="C9" i="3"/>
  <c r="B7" i="3"/>
  <c r="B6" i="3"/>
  <c r="C5" i="3"/>
  <c r="D5" i="3"/>
  <c r="E5" i="3"/>
  <c r="B5" i="3"/>
  <c r="B64" i="1"/>
  <c r="B63" i="1"/>
  <c r="B62" i="1"/>
  <c r="B59" i="1"/>
  <c r="B58" i="1"/>
  <c r="B55" i="1"/>
  <c r="B48" i="1"/>
  <c r="B47" i="1"/>
  <c r="B46" i="1"/>
  <c r="B44" i="1"/>
  <c r="B43" i="1"/>
  <c r="B40" i="1"/>
  <c r="B39" i="1"/>
  <c r="B36" i="1"/>
  <c r="B33" i="1"/>
  <c r="B32" i="1"/>
  <c r="B25" i="1"/>
  <c r="B24" i="1"/>
  <c r="B22" i="1"/>
  <c r="B15" i="1"/>
  <c r="B17" i="1" s="1"/>
  <c r="B16" i="1"/>
  <c r="B10" i="1"/>
  <c r="B9" i="1"/>
  <c r="B6" i="1"/>
  <c r="B7" i="1" s="1"/>
  <c r="B3" i="1"/>
  <c r="B2" i="1"/>
</calcChain>
</file>

<file path=xl/sharedStrings.xml><?xml version="1.0" encoding="utf-8"?>
<sst xmlns="http://schemas.openxmlformats.org/spreadsheetml/2006/main" count="97" uniqueCount="41">
  <si>
    <t>1)</t>
  </si>
  <si>
    <t>2)</t>
  </si>
  <si>
    <t>S_0</t>
  </si>
  <si>
    <t>S_1</t>
  </si>
  <si>
    <t>3)</t>
  </si>
  <si>
    <t>jen urok</t>
  </si>
  <si>
    <t>me vklady</t>
  </si>
  <si>
    <t>UO&gt;PO</t>
  </si>
  <si>
    <t>UO&lt;PO</t>
  </si>
  <si>
    <t>q</t>
  </si>
  <si>
    <t>Ruzne</t>
  </si>
  <si>
    <t>a*…</t>
  </si>
  <si>
    <t>3) (prohozeni UO a PO)</t>
  </si>
  <si>
    <t>4)</t>
  </si>
  <si>
    <t>1.logaritmus</t>
  </si>
  <si>
    <t>2.logaritmus</t>
  </si>
  <si>
    <t>n</t>
  </si>
  <si>
    <t>5)</t>
  </si>
  <si>
    <t>jak často se uklada???</t>
  </si>
  <si>
    <t>zkusmo</t>
  </si>
  <si>
    <t>4x/rok</t>
  </si>
  <si>
    <t>prava strana rovnice</t>
  </si>
  <si>
    <t>Suma_PVś</t>
  </si>
  <si>
    <t>GR</t>
  </si>
  <si>
    <t>D_0</t>
  </si>
  <si>
    <t>D_1</t>
  </si>
  <si>
    <t>Princip duchodu</t>
  </si>
  <si>
    <t>vyplata</t>
  </si>
  <si>
    <t>ILUSTRACE</t>
  </si>
  <si>
    <t>PO=UO</t>
  </si>
  <si>
    <t>a</t>
  </si>
  <si>
    <t>Cil 1000000</t>
  </si>
  <si>
    <t>urok p.q</t>
  </si>
  <si>
    <t>urok p.a.</t>
  </si>
  <si>
    <t>PO&lt;UO</t>
  </si>
  <si>
    <t>UO&lt;OP</t>
  </si>
  <si>
    <t xml:space="preserve">a </t>
  </si>
  <si>
    <t>VECNY DUCHOD</t>
  </si>
  <si>
    <t>UO=PO</t>
  </si>
  <si>
    <t>a*..</t>
  </si>
  <si>
    <t>OU&gt;PO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</si>
</sst>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A4C67-6B3B-4B0F-955E-4992C0FAF2A4}">
  <dimension ref="A1:B64"/>
  <sheetViews>
    <sheetView topLeftCell="A42" zoomScale="175" zoomScaleNormal="175" workbookViewId="0">
      <selection activeCell="B63" sqref="B63"/>
    </sheetView>
  </sheetViews>
  <sheetFormatPr defaultRowHeight="15" x14ac:dyDescent="0.25"/>
  <sheetData>
    <row r="1" spans="1:2" x14ac:dyDescent="0.25">
      <c r="A1" t="s">
        <v>7</v>
      </c>
    </row>
    <row r="2" spans="1:2" x14ac:dyDescent="0.25">
      <c r="A2" t="s">
        <v>0</v>
      </c>
      <c r="B2">
        <f>1000*3*(1+(3+1)/(2*3)*0.025/2)*((1+0.025/2)^(4*10)-1)/(0.025/2)</f>
        <v>155755.91016385696</v>
      </c>
    </row>
    <row r="3" spans="1:2" x14ac:dyDescent="0.25">
      <c r="B3">
        <f>1000*3*(1+(3-11)/(2*3)*0.025/2)*((1+0.025/2)^(4*10)-1)/(0.025/2)</f>
        <v>151894.1933829349</v>
      </c>
    </row>
    <row r="5" spans="1:2" x14ac:dyDescent="0.25">
      <c r="A5" t="s">
        <v>1</v>
      </c>
    </row>
    <row r="6" spans="1:2" x14ac:dyDescent="0.25">
      <c r="B6">
        <f>2*(1+3/4*0.035/2)*((1+0.035/2)^(2*15)-1)/(0.035/2)</f>
        <v>79.058500776554183</v>
      </c>
    </row>
    <row r="7" spans="1:2" x14ac:dyDescent="0.25">
      <c r="A7" t="s">
        <v>2</v>
      </c>
      <c r="B7">
        <f>800000/B6</f>
        <v>10119.088929615147</v>
      </c>
    </row>
    <row r="9" spans="1:2" x14ac:dyDescent="0.25">
      <c r="B9">
        <f>2*(1+1/4*0.035/2)*((1+0.035/2)^(2*15)-1)/(0.035/2)</f>
        <v>78.375700646466726</v>
      </c>
    </row>
    <row r="10" spans="1:2" x14ac:dyDescent="0.25">
      <c r="A10" t="s">
        <v>3</v>
      </c>
      <c r="B10">
        <f>800000/B9</f>
        <v>10207.245273743718</v>
      </c>
    </row>
    <row r="13" spans="1:2" x14ac:dyDescent="0.25">
      <c r="A13" t="s">
        <v>4</v>
      </c>
    </row>
    <row r="15" spans="1:2" x14ac:dyDescent="0.25">
      <c r="A15" t="s">
        <v>3</v>
      </c>
      <c r="B15">
        <f>360*(1+(360-1)/(2*360)*(2*0.031))*((1+0.031*2)^33-1)/(2*0.031)</f>
        <v>37589.535892372536</v>
      </c>
    </row>
    <row r="16" spans="1:2" x14ac:dyDescent="0.25">
      <c r="A16" t="s">
        <v>6</v>
      </c>
      <c r="B16">
        <f>360*33</f>
        <v>11880</v>
      </c>
    </row>
    <row r="17" spans="1:2" x14ac:dyDescent="0.25">
      <c r="A17" t="s">
        <v>5</v>
      </c>
      <c r="B17">
        <f>B15-360*33</f>
        <v>25709.535892372536</v>
      </c>
    </row>
    <row r="20" spans="1:2" x14ac:dyDescent="0.25">
      <c r="A20" t="s">
        <v>8</v>
      </c>
    </row>
    <row r="21" spans="1:2" x14ac:dyDescent="0.25">
      <c r="A21" t="s">
        <v>0</v>
      </c>
    </row>
    <row r="22" spans="1:2" x14ac:dyDescent="0.25">
      <c r="A22" t="s">
        <v>9</v>
      </c>
      <c r="B22">
        <f>(1+0.007/30)^15</f>
        <v>1.0035057224509001</v>
      </c>
    </row>
    <row r="24" spans="1:2" x14ac:dyDescent="0.25">
      <c r="A24" t="s">
        <v>2</v>
      </c>
      <c r="B24">
        <f>1500*B22*(B22^(24*20)-1)/(B22-1)</f>
        <v>1873995.4710340416</v>
      </c>
    </row>
    <row r="25" spans="1:2" x14ac:dyDescent="0.25">
      <c r="A25" t="s">
        <v>3</v>
      </c>
      <c r="B25">
        <f>1500*(B22^(24*20)-1)/(B22-1)</f>
        <v>1867448.714150938</v>
      </c>
    </row>
    <row r="30" spans="1:2" x14ac:dyDescent="0.25">
      <c r="A30" t="s">
        <v>10</v>
      </c>
    </row>
    <row r="31" spans="1:2" x14ac:dyDescent="0.25">
      <c r="A31" t="s">
        <v>0</v>
      </c>
    </row>
    <row r="32" spans="1:2" x14ac:dyDescent="0.25">
      <c r="A32" t="s">
        <v>11</v>
      </c>
      <c r="B32">
        <f>(1+0.015*2)*((1+0.015*2)^(2*27)-1)/(0.015*2)</f>
        <v>135.07161972182854</v>
      </c>
    </row>
    <row r="33" spans="1:2" x14ac:dyDescent="0.25">
      <c r="A33" t="s">
        <v>11</v>
      </c>
      <c r="B33">
        <f>20000000/B32</f>
        <v>148069.59479118363</v>
      </c>
    </row>
    <row r="35" spans="1:2" x14ac:dyDescent="0.25">
      <c r="A35" t="s">
        <v>1</v>
      </c>
    </row>
    <row r="36" spans="1:2" x14ac:dyDescent="0.25">
      <c r="A36" t="s">
        <v>2</v>
      </c>
      <c r="B36">
        <f>500*3*(1+(3+1)/(2*3)*0.03/3)*((1+0.03/3)^(6*6)-1)/(0.03/3)</f>
        <v>65046.086322328731</v>
      </c>
    </row>
    <row r="38" spans="1:2" x14ac:dyDescent="0.25">
      <c r="A38" t="s">
        <v>12</v>
      </c>
    </row>
    <row r="39" spans="1:2" x14ac:dyDescent="0.25">
      <c r="A39" t="s">
        <v>9</v>
      </c>
      <c r="B39">
        <f>(1+0.03/9)^3</f>
        <v>1.0100333703703708</v>
      </c>
    </row>
    <row r="40" spans="1:2" x14ac:dyDescent="0.25">
      <c r="A40" t="s">
        <v>2</v>
      </c>
      <c r="B40">
        <f>500*B39*(B39^(6*6)-1)/(B39-1)</f>
        <v>21767.89610424787</v>
      </c>
    </row>
    <row r="42" spans="1:2" x14ac:dyDescent="0.25">
      <c r="A42" t="s">
        <v>13</v>
      </c>
    </row>
    <row r="43" spans="1:2" x14ac:dyDescent="0.25">
      <c r="A43" t="s">
        <v>11</v>
      </c>
      <c r="B43">
        <f>750*9*(1+10/18*0.033/4)/(0.033/4)</f>
        <v>821931.81818181812</v>
      </c>
    </row>
    <row r="44" spans="1:2" x14ac:dyDescent="0.25">
      <c r="B44">
        <f>568669.2/B43</f>
        <v>0.69186906677727089</v>
      </c>
    </row>
    <row r="46" spans="1:2" x14ac:dyDescent="0.25">
      <c r="A46" t="s">
        <v>14</v>
      </c>
      <c r="B46">
        <f>LN(1+B44)</f>
        <v>0.52583387448838192</v>
      </c>
    </row>
    <row r="47" spans="1:2" x14ac:dyDescent="0.25">
      <c r="A47" t="s">
        <v>15</v>
      </c>
      <c r="B47">
        <f>LN(1+0.033/4)</f>
        <v>8.2161547713405642E-3</v>
      </c>
    </row>
    <row r="48" spans="1:2" x14ac:dyDescent="0.25">
      <c r="A48" t="s">
        <v>16</v>
      </c>
      <c r="B48">
        <f>B46/B47</f>
        <v>63.999996241865567</v>
      </c>
    </row>
    <row r="51" spans="1:2" x14ac:dyDescent="0.25">
      <c r="A51" t="s">
        <v>17</v>
      </c>
    </row>
    <row r="52" spans="1:2" x14ac:dyDescent="0.25">
      <c r="A52" t="s">
        <v>18</v>
      </c>
    </row>
    <row r="54" spans="1:2" x14ac:dyDescent="0.25">
      <c r="A54" t="s">
        <v>19</v>
      </c>
    </row>
    <row r="55" spans="1:2" x14ac:dyDescent="0.25">
      <c r="A55" t="s">
        <v>20</v>
      </c>
      <c r="B55">
        <f>500*(1+0.064/4)*((1+0.064/4)^(4*8)-1)/(0.064/4)</f>
        <v>21014.567656807696</v>
      </c>
    </row>
    <row r="58" spans="1:2" x14ac:dyDescent="0.25">
      <c r="A58" t="s">
        <v>21</v>
      </c>
      <c r="B58">
        <f>500*((1+0.064/4)^(4*8)-1)/(0.064/4)</f>
        <v>20683.629583472139</v>
      </c>
    </row>
    <row r="59" spans="1:2" x14ac:dyDescent="0.25">
      <c r="B59">
        <f>125260.1/B58</f>
        <v>6.0560018972730383</v>
      </c>
    </row>
    <row r="62" spans="1:2" x14ac:dyDescent="0.25">
      <c r="B62">
        <f>6.048/1.08</f>
        <v>5.6</v>
      </c>
    </row>
    <row r="63" spans="1:2" x14ac:dyDescent="0.25">
      <c r="B63">
        <f>B59-0.08</f>
        <v>5.9760018972730382</v>
      </c>
    </row>
    <row r="64" spans="1:2" x14ac:dyDescent="0.25">
      <c r="B64">
        <f>B63/1.08</f>
        <v>5.5333350900676272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7C2EA-436B-4CCD-B08B-D3276668EFC7}">
  <dimension ref="A2:L93"/>
  <sheetViews>
    <sheetView tabSelected="1" topLeftCell="A84" zoomScale="295" zoomScaleNormal="295" workbookViewId="0">
      <selection activeCell="C91" sqref="C91"/>
    </sheetView>
  </sheetViews>
  <sheetFormatPr defaultRowHeight="15" x14ac:dyDescent="0.25"/>
  <cols>
    <col min="2" max="2" width="13.42578125" bestFit="1" customWidth="1"/>
  </cols>
  <sheetData>
    <row r="2" spans="1:12" x14ac:dyDescent="0.25">
      <c r="A2" t="s">
        <v>28</v>
      </c>
    </row>
    <row r="3" spans="1:12" x14ac:dyDescent="0.25">
      <c r="B3">
        <v>0</v>
      </c>
      <c r="C3">
        <v>1</v>
      </c>
      <c r="D3">
        <v>2</v>
      </c>
      <c r="E3">
        <v>3</v>
      </c>
      <c r="F3">
        <v>4</v>
      </c>
      <c r="H3">
        <f>B3</f>
        <v>0</v>
      </c>
      <c r="I3">
        <f>C3</f>
        <v>1</v>
      </c>
      <c r="J3">
        <f>D3</f>
        <v>2</v>
      </c>
      <c r="K3">
        <f>E3</f>
        <v>3</v>
      </c>
      <c r="L3">
        <f>F3</f>
        <v>4</v>
      </c>
    </row>
    <row r="4" spans="1:12" x14ac:dyDescent="0.25">
      <c r="A4" t="s">
        <v>24</v>
      </c>
      <c r="B4">
        <v>1000</v>
      </c>
      <c r="C4">
        <v>1000</v>
      </c>
      <c r="D4">
        <v>1000</v>
      </c>
      <c r="E4">
        <v>1000</v>
      </c>
      <c r="H4" t="s">
        <v>26</v>
      </c>
    </row>
    <row r="5" spans="1:12" x14ac:dyDescent="0.25">
      <c r="B5">
        <f>B4/(1+0.1)^B3</f>
        <v>1000</v>
      </c>
      <c r="C5">
        <f>C4/(1+0.1)^C3</f>
        <v>909.09090909090901</v>
      </c>
      <c r="D5">
        <f>D4/(1+0.1)^D3</f>
        <v>826.44628099173542</v>
      </c>
      <c r="E5">
        <f>E4/(1+0.1)^E3</f>
        <v>751.31480090157754</v>
      </c>
      <c r="H5">
        <f>B6</f>
        <v>3486.8519909842221</v>
      </c>
    </row>
    <row r="6" spans="1:12" x14ac:dyDescent="0.25">
      <c r="A6" t="s">
        <v>22</v>
      </c>
      <c r="B6">
        <f>SUM(B5:E5)</f>
        <v>3486.8519909842221</v>
      </c>
      <c r="G6" t="s">
        <v>27</v>
      </c>
      <c r="H6">
        <f>B4</f>
        <v>1000</v>
      </c>
      <c r="I6">
        <f>C4</f>
        <v>1000</v>
      </c>
      <c r="J6">
        <f>D4</f>
        <v>1000</v>
      </c>
      <c r="K6">
        <f>E4</f>
        <v>1000</v>
      </c>
    </row>
    <row r="7" spans="1:12" x14ac:dyDescent="0.25">
      <c r="A7" t="s">
        <v>23</v>
      </c>
      <c r="B7">
        <f>1000*(1-1/(1+0.1)^4)/(1-1/(1+0.1))</f>
        <v>3486.851990984223</v>
      </c>
      <c r="I7">
        <f>(H5-H6)*1.1</f>
        <v>2735.5371900826444</v>
      </c>
    </row>
    <row r="8" spans="1:12" x14ac:dyDescent="0.25">
      <c r="J8">
        <f>(I7-I6)*1.1</f>
        <v>1909.090909090909</v>
      </c>
    </row>
    <row r="9" spans="1:12" x14ac:dyDescent="0.25">
      <c r="A9" t="s">
        <v>25</v>
      </c>
      <c r="C9">
        <f>C4</f>
        <v>1000</v>
      </c>
      <c r="D9">
        <f>D4</f>
        <v>1000</v>
      </c>
      <c r="E9">
        <f>E4</f>
        <v>1000</v>
      </c>
      <c r="F9">
        <f>E4</f>
        <v>1000</v>
      </c>
      <c r="K9">
        <f>(J8-J6)*1.1</f>
        <v>1000</v>
      </c>
    </row>
    <row r="10" spans="1:12" x14ac:dyDescent="0.25">
      <c r="C10">
        <f>C9/(1+0.1)^C3</f>
        <v>909.09090909090901</v>
      </c>
      <c r="D10">
        <f>D9/(1+0.1)^D3</f>
        <v>826.44628099173542</v>
      </c>
      <c r="E10">
        <f>E9/(1+0.1)^E3</f>
        <v>751.31480090157754</v>
      </c>
      <c r="F10">
        <f>F9/(1+0.1)^F3</f>
        <v>683.01345536507051</v>
      </c>
      <c r="K10">
        <f>K9-K6</f>
        <v>0</v>
      </c>
    </row>
    <row r="11" spans="1:12" x14ac:dyDescent="0.25">
      <c r="A11" t="s">
        <v>22</v>
      </c>
      <c r="B11">
        <f>SUM(C10:F10)</f>
        <v>3169.8654463492926</v>
      </c>
    </row>
    <row r="12" spans="1:12" x14ac:dyDescent="0.25">
      <c r="A12" t="s">
        <v>23</v>
      </c>
      <c r="B12">
        <f>1000*(1-1/(1+0.1)^4)/0.1</f>
        <v>3169.8654463492949</v>
      </c>
    </row>
    <row r="14" spans="1:12" x14ac:dyDescent="0.25">
      <c r="A14" t="s">
        <v>29</v>
      </c>
    </row>
    <row r="15" spans="1:12" x14ac:dyDescent="0.25">
      <c r="A15" t="s">
        <v>0</v>
      </c>
    </row>
    <row r="16" spans="1:12" x14ac:dyDescent="0.25">
      <c r="A16" t="s">
        <v>24</v>
      </c>
      <c r="B16">
        <f>15000*(1-1/(1+0.02/4)^(4*20))/(1-1/(1+0.02/4))</f>
        <v>991969.75367752637</v>
      </c>
    </row>
    <row r="17" spans="1:4" x14ac:dyDescent="0.25">
      <c r="A17" t="s">
        <v>25</v>
      </c>
      <c r="B17">
        <f>15000*(1-1/(1+0.02/4)^(4*20))/(0.02/4)</f>
        <v>987034.58077363158</v>
      </c>
    </row>
    <row r="20" spans="1:4" x14ac:dyDescent="0.25">
      <c r="A20" t="s">
        <v>1</v>
      </c>
      <c r="B20" t="s">
        <v>31</v>
      </c>
    </row>
    <row r="21" spans="1:4" x14ac:dyDescent="0.25">
      <c r="A21" t="s">
        <v>24</v>
      </c>
      <c r="B21" t="s">
        <v>32</v>
      </c>
      <c r="D21" t="s">
        <v>33</v>
      </c>
    </row>
    <row r="22" spans="1:4" x14ac:dyDescent="0.25">
      <c r="A22" t="s">
        <v>11</v>
      </c>
      <c r="B22">
        <f>(1-1/(1+0.018*2)^(2*28))/(1-1/(1+0.018*2))</f>
        <v>24.806676606027857</v>
      </c>
      <c r="D22">
        <f>(1-1/(1+0.018/2)^(2*28))/(1-1/(1+0.018/2))</f>
        <v>44.230874491273248</v>
      </c>
    </row>
    <row r="23" spans="1:4" x14ac:dyDescent="0.25">
      <c r="A23" t="s">
        <v>30</v>
      </c>
      <c r="B23" s="1">
        <f>1000000/B22</f>
        <v>40311.728002976692</v>
      </c>
      <c r="D23" s="1">
        <f>1000000/D22</f>
        <v>22608.641848067011</v>
      </c>
    </row>
    <row r="25" spans="1:4" x14ac:dyDescent="0.25">
      <c r="A25" t="s">
        <v>25</v>
      </c>
    </row>
    <row r="26" spans="1:4" x14ac:dyDescent="0.25">
      <c r="A26" t="s">
        <v>11</v>
      </c>
      <c r="B26">
        <f>(1-1/(1+0.018*2)^(2*28))/(0.018*2)</f>
        <v>23.944668538636957</v>
      </c>
      <c r="D26">
        <f>(1-1/(1+0.018/2)^56)/(0.018/2)</f>
        <v>43.836347364987638</v>
      </c>
    </row>
    <row r="27" spans="1:4" x14ac:dyDescent="0.25">
      <c r="A27" t="s">
        <v>30</v>
      </c>
      <c r="B27" s="1">
        <f>1000000/B26</f>
        <v>41762.9502110838</v>
      </c>
      <c r="D27" s="1">
        <f>1000000/D26</f>
        <v>22812.119624699986</v>
      </c>
    </row>
    <row r="30" spans="1:4" x14ac:dyDescent="0.25">
      <c r="A30" t="s">
        <v>34</v>
      </c>
    </row>
    <row r="32" spans="1:4" x14ac:dyDescent="0.25">
      <c r="A32" t="s">
        <v>0</v>
      </c>
    </row>
    <row r="33" spans="1:2" x14ac:dyDescent="0.25">
      <c r="A33" t="s">
        <v>24</v>
      </c>
      <c r="B33">
        <f>2750*30*(1+(30+1)/(2*30)*0.05/3)*(1-1/(1+0.05/3)^(6*25))/(0.05/3)</f>
        <v>4574273.574633236</v>
      </c>
    </row>
    <row r="35" spans="1:2" x14ac:dyDescent="0.25">
      <c r="A35" t="s">
        <v>25</v>
      </c>
      <c r="B35">
        <f>2750*30*(1+(30-1)/(2*30)*0.05/3)*(1-1/(1+0.05/3)^(6*25))/(0.05/3)</f>
        <v>4571754.0078061167</v>
      </c>
    </row>
    <row r="39" spans="1:2" x14ac:dyDescent="0.25">
      <c r="A39" t="s">
        <v>1</v>
      </c>
    </row>
    <row r="40" spans="1:2" x14ac:dyDescent="0.25">
      <c r="A40" t="s">
        <v>25</v>
      </c>
    </row>
    <row r="41" spans="1:2" x14ac:dyDescent="0.25">
      <c r="A41" t="s">
        <v>11</v>
      </c>
      <c r="B41">
        <f>30*(1+29/(2*30)*0.006*3)*(1-1/(1+0.006*3)^(4*20))/(0.006*3)</f>
        <v>1277.717771607473</v>
      </c>
    </row>
    <row r="42" spans="1:2" x14ac:dyDescent="0.25">
      <c r="B42" s="1">
        <f>2000000/B41</f>
        <v>1565.290899479184</v>
      </c>
    </row>
    <row r="44" spans="1:2" x14ac:dyDescent="0.25">
      <c r="A44" t="s">
        <v>35</v>
      </c>
    </row>
    <row r="46" spans="1:2" x14ac:dyDescent="0.25">
      <c r="A46" t="s">
        <v>0</v>
      </c>
    </row>
    <row r="47" spans="1:2" x14ac:dyDescent="0.25">
      <c r="A47" t="s">
        <v>9</v>
      </c>
      <c r="B47">
        <f>1/(1+0.02/90)^15</f>
        <v>0.99667258513777268</v>
      </c>
    </row>
    <row r="49" spans="1:2" x14ac:dyDescent="0.25">
      <c r="A49" t="s">
        <v>24</v>
      </c>
      <c r="B49">
        <f>500*(1-B47^(6*10))/(1-B47)</f>
        <v>27236.01698358107</v>
      </c>
    </row>
    <row r="51" spans="1:2" x14ac:dyDescent="0.25">
      <c r="A51" t="s">
        <v>25</v>
      </c>
      <c r="B51">
        <f>500*B47*(1-B47^(6*10))/(1-B47)</f>
        <v>27145.391455882025</v>
      </c>
    </row>
    <row r="54" spans="1:2" x14ac:dyDescent="0.25">
      <c r="A54" t="s">
        <v>1</v>
      </c>
    </row>
    <row r="55" spans="1:2" x14ac:dyDescent="0.25">
      <c r="A55" t="s">
        <v>9</v>
      </c>
      <c r="B55">
        <f>1/(1+0.04/180)^45</f>
        <v>0.99005093364220886</v>
      </c>
    </row>
    <row r="56" spans="1:2" x14ac:dyDescent="0.25">
      <c r="A56" t="s">
        <v>11</v>
      </c>
      <c r="B56">
        <f>B55*(1-B55^(4*15))/(1-B55)</f>
        <v>44.894990705397817</v>
      </c>
    </row>
    <row r="57" spans="1:2" x14ac:dyDescent="0.25">
      <c r="A57" t="s">
        <v>36</v>
      </c>
      <c r="B57">
        <f>1000000/B56</f>
        <v>22274.199956115994</v>
      </c>
    </row>
    <row r="60" spans="1:2" x14ac:dyDescent="0.25">
      <c r="A60" t="s">
        <v>37</v>
      </c>
    </row>
    <row r="61" spans="1:2" x14ac:dyDescent="0.25">
      <c r="A61" t="s">
        <v>38</v>
      </c>
    </row>
    <row r="62" spans="1:2" x14ac:dyDescent="0.25">
      <c r="A62" t="s">
        <v>0</v>
      </c>
    </row>
    <row r="63" spans="1:2" x14ac:dyDescent="0.25">
      <c r="A63" t="s">
        <v>24</v>
      </c>
      <c r="B63">
        <f>50000/(1-1/(1+0.045))</f>
        <v>1161111.111111114</v>
      </c>
    </row>
    <row r="64" spans="1:2" x14ac:dyDescent="0.25">
      <c r="A64" t="s">
        <v>25</v>
      </c>
      <c r="B64">
        <f>50000/(0.045)</f>
        <v>1111111.1111111112</v>
      </c>
    </row>
    <row r="66" spans="1:2" x14ac:dyDescent="0.25">
      <c r="A66" t="s">
        <v>1</v>
      </c>
    </row>
    <row r="67" spans="1:2" x14ac:dyDescent="0.25">
      <c r="A67" t="s">
        <v>24</v>
      </c>
    </row>
    <row r="68" spans="1:2" x14ac:dyDescent="0.25">
      <c r="A68" t="s">
        <v>39</v>
      </c>
      <c r="B68">
        <f>1/(1-1/(1+0.079/4))</f>
        <v>51.632911392405347</v>
      </c>
    </row>
    <row r="69" spans="1:2" x14ac:dyDescent="0.25">
      <c r="A69" t="s">
        <v>36</v>
      </c>
      <c r="B69">
        <f>10500000/B68</f>
        <v>203358.66633978803</v>
      </c>
    </row>
    <row r="72" spans="1:2" x14ac:dyDescent="0.25">
      <c r="A72" t="s">
        <v>40</v>
      </c>
    </row>
    <row r="74" spans="1:2" x14ac:dyDescent="0.25">
      <c r="A74" t="s">
        <v>0</v>
      </c>
    </row>
    <row r="75" spans="1:2" x14ac:dyDescent="0.25">
      <c r="A75" t="s">
        <v>39</v>
      </c>
      <c r="B75">
        <f>3*(1+2/6*0.1/2)/(0.1/2)</f>
        <v>60.999999999999993</v>
      </c>
    </row>
    <row r="76" spans="1:2" x14ac:dyDescent="0.25">
      <c r="A76" t="s">
        <v>36</v>
      </c>
      <c r="B76">
        <f>10000/B75</f>
        <v>163.9344262295082</v>
      </c>
    </row>
    <row r="78" spans="1:2" x14ac:dyDescent="0.25">
      <c r="A78" t="s">
        <v>1</v>
      </c>
    </row>
    <row r="79" spans="1:2" x14ac:dyDescent="0.25">
      <c r="A79" t="s">
        <v>24</v>
      </c>
      <c r="B79">
        <f>10000*3*(1+4/6*0.1/2)/(0.1/2)</f>
        <v>620000</v>
      </c>
    </row>
    <row r="82" spans="1:2" x14ac:dyDescent="0.25">
      <c r="A82" t="s">
        <v>8</v>
      </c>
    </row>
    <row r="83" spans="1:2" x14ac:dyDescent="0.25">
      <c r="A83" t="s">
        <v>0</v>
      </c>
    </row>
    <row r="84" spans="1:2" x14ac:dyDescent="0.25">
      <c r="A84" t="s">
        <v>25</v>
      </c>
    </row>
    <row r="85" spans="1:2" x14ac:dyDescent="0.25">
      <c r="A85" t="s">
        <v>9</v>
      </c>
      <c r="B85">
        <f>1/(1+0.0295/12)^8</f>
        <v>0.98054912501127856</v>
      </c>
    </row>
    <row r="86" spans="1:2" x14ac:dyDescent="0.25">
      <c r="A86" t="s">
        <v>25</v>
      </c>
      <c r="B86">
        <f>27703*B85/(1-B85)</f>
        <v>1396551.6937381241</v>
      </c>
    </row>
    <row r="89" spans="1:2" x14ac:dyDescent="0.25">
      <c r="A89" t="s">
        <v>1</v>
      </c>
    </row>
    <row r="90" spans="1:2" x14ac:dyDescent="0.25">
      <c r="A90" t="s">
        <v>30</v>
      </c>
    </row>
    <row r="91" spans="1:2" x14ac:dyDescent="0.25">
      <c r="A91" t="s">
        <v>9</v>
      </c>
      <c r="B91">
        <f>1/(1+0.0276*4)^3</f>
        <v>0.7304014735032659</v>
      </c>
    </row>
    <row r="92" spans="1:2" x14ac:dyDescent="0.25">
      <c r="A92" t="s">
        <v>39</v>
      </c>
      <c r="B92">
        <f>1/(1-B91)</f>
        <v>3.7092190858547363</v>
      </c>
    </row>
    <row r="93" spans="1:2" x14ac:dyDescent="0.25">
      <c r="A93" t="s">
        <v>36</v>
      </c>
      <c r="B93">
        <f>3250000/B92</f>
        <v>876195.21111438586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Sporeni</vt:lpstr>
      <vt:lpstr>Duchody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Benada Ludek</dc:creator>
  <cp:lastModifiedBy>Benada Ludek</cp:lastModifiedBy>
  <dcterms:created xsi:type="dcterms:W3CDTF">2022-05-18T07:58:10Z</dcterms:created>
  <dcterms:modified xsi:type="dcterms:W3CDTF">2022-05-18T13:45:24Z</dcterms:modified>
</cp:coreProperties>
</file>