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TEPO_dist2023\"/>
    </mc:Choice>
  </mc:AlternateContent>
  <xr:revisionPtr revIDLastSave="0" documentId="8_{F5098B8A-3887-45C5-8A1F-E54C2A114A97}" xr6:coauthVersionLast="47" xr6:coauthVersionMax="47" xr10:uidLastSave="{00000000-0000-0000-0000-000000000000}"/>
  <bookViews>
    <workbookView xWindow="-120" yWindow="-120" windowWidth="29040" windowHeight="15840" xr2:uid="{7F246C1A-9863-4074-A43C-1C2CA2B61341}"/>
  </bookViews>
  <sheets>
    <sheet name="Pr01" sheetId="1" r:id="rId1"/>
    <sheet name="Pr02" sheetId="2" r:id="rId2"/>
    <sheet name="Pr03" sheetId="3" r:id="rId3"/>
    <sheet name="Pr04" sheetId="4" r:id="rId4"/>
    <sheet name="Pr05" sheetId="5" r:id="rId5"/>
    <sheet name="Pr06" sheetId="6" r:id="rId6"/>
  </sheets>
  <definedNames>
    <definedName name="OLE_LINK2" localSheetId="2">'Pr03'!$A$1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" l="1"/>
  <c r="C22" i="6"/>
  <c r="D21" i="6"/>
  <c r="C21" i="6"/>
  <c r="B21" i="6"/>
  <c r="B18" i="6"/>
  <c r="C13" i="6"/>
  <c r="D13" i="6"/>
  <c r="C18" i="6"/>
  <c r="B13" i="6"/>
  <c r="C15" i="6"/>
  <c r="D15" i="6"/>
  <c r="B15" i="6"/>
  <c r="C14" i="6"/>
  <c r="D14" i="6"/>
  <c r="B14" i="6"/>
  <c r="G4" i="6"/>
  <c r="H4" i="6"/>
  <c r="G5" i="6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F8" i="6"/>
  <c r="H3" i="6"/>
  <c r="G3" i="6"/>
  <c r="F7" i="6"/>
  <c r="E4" i="6"/>
  <c r="E5" i="6"/>
  <c r="E6" i="6"/>
  <c r="E8" i="6"/>
  <c r="E9" i="6"/>
  <c r="E10" i="6"/>
  <c r="E11" i="6"/>
  <c r="E12" i="6"/>
  <c r="E3" i="6"/>
  <c r="F3" i="6"/>
  <c r="F4" i="6"/>
  <c r="F5" i="6"/>
  <c r="F6" i="6"/>
  <c r="F9" i="6"/>
  <c r="F10" i="6"/>
  <c r="F11" i="6"/>
  <c r="F12" i="6"/>
  <c r="B12" i="5"/>
  <c r="B13" i="5"/>
  <c r="B14" i="5"/>
  <c r="B11" i="5"/>
  <c r="E14" i="4"/>
  <c r="F14" i="4"/>
  <c r="G14" i="4"/>
  <c r="H14" i="4"/>
  <c r="D14" i="4"/>
  <c r="E13" i="4"/>
  <c r="F13" i="4"/>
  <c r="G13" i="4"/>
  <c r="H13" i="4"/>
  <c r="D13" i="4"/>
  <c r="E12" i="4"/>
  <c r="F12" i="4"/>
  <c r="G12" i="4"/>
  <c r="H12" i="4"/>
  <c r="D12" i="4"/>
  <c r="E11" i="4"/>
  <c r="F11" i="4"/>
  <c r="G11" i="4"/>
  <c r="H11" i="4"/>
  <c r="D11" i="4"/>
  <c r="T50" i="3"/>
  <c r="R23" i="3"/>
  <c r="S50" i="3"/>
  <c r="R50" i="3"/>
  <c r="Q38" i="3"/>
  <c r="R38" i="3"/>
  <c r="S38" i="3"/>
  <c r="T38" i="3"/>
  <c r="U38" i="3"/>
  <c r="V38" i="3"/>
  <c r="W38" i="3"/>
  <c r="Q39" i="3"/>
  <c r="R39" i="3"/>
  <c r="S39" i="3"/>
  <c r="T39" i="3"/>
  <c r="U39" i="3"/>
  <c r="V39" i="3"/>
  <c r="W39" i="3"/>
  <c r="Q40" i="3"/>
  <c r="R40" i="3"/>
  <c r="S40" i="3"/>
  <c r="T40" i="3"/>
  <c r="U40" i="3"/>
  <c r="V40" i="3"/>
  <c r="W40" i="3"/>
  <c r="Q41" i="3"/>
  <c r="R41" i="3"/>
  <c r="S41" i="3"/>
  <c r="T41" i="3"/>
  <c r="U41" i="3"/>
  <c r="V41" i="3"/>
  <c r="W41" i="3"/>
  <c r="Q42" i="3"/>
  <c r="R42" i="3"/>
  <c r="S42" i="3"/>
  <c r="T42" i="3"/>
  <c r="U42" i="3"/>
  <c r="V42" i="3"/>
  <c r="W42" i="3"/>
  <c r="Q43" i="3"/>
  <c r="R43" i="3"/>
  <c r="S43" i="3"/>
  <c r="T43" i="3"/>
  <c r="U43" i="3"/>
  <c r="V43" i="3"/>
  <c r="W43" i="3"/>
  <c r="R37" i="3"/>
  <c r="S37" i="3"/>
  <c r="T37" i="3"/>
  <c r="U37" i="3"/>
  <c r="V37" i="3"/>
  <c r="W37" i="3"/>
  <c r="Q37" i="3"/>
  <c r="Q35" i="3" a="1"/>
  <c r="Q35" i="3" s="1"/>
  <c r="T35" i="3"/>
  <c r="Q50" i="3"/>
  <c r="M59" i="3"/>
  <c r="M49" i="3" a="1"/>
  <c r="M50" i="3" s="1"/>
  <c r="M49" i="3"/>
  <c r="M51" i="3"/>
  <c r="M52" i="3"/>
  <c r="M53" i="3"/>
  <c r="M55" i="3"/>
  <c r="M56" i="3"/>
  <c r="M57" i="3"/>
  <c r="B49" i="3" a="1"/>
  <c r="B49" i="3" s="1"/>
  <c r="J45" i="3"/>
  <c r="J46" i="3"/>
  <c r="I46" i="3"/>
  <c r="B46" i="3" a="1"/>
  <c r="C46" i="3" s="1"/>
  <c r="B46" i="3"/>
  <c r="D46" i="3"/>
  <c r="E46" i="3"/>
  <c r="F46" i="3"/>
  <c r="H46" i="3"/>
  <c r="J39" i="3"/>
  <c r="J40" i="3"/>
  <c r="J41" i="3"/>
  <c r="J42" i="3"/>
  <c r="J43" i="3"/>
  <c r="J44" i="3"/>
  <c r="J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C38" i="3"/>
  <c r="D38" i="3"/>
  <c r="E38" i="3"/>
  <c r="F38" i="3"/>
  <c r="G38" i="3"/>
  <c r="H38" i="3"/>
  <c r="I38" i="3"/>
  <c r="B38" i="3"/>
  <c r="Q23" i="3"/>
  <c r="P23" i="3"/>
  <c r="N13" i="3"/>
  <c r="O13" i="3"/>
  <c r="P13" i="3"/>
  <c r="Q13" i="3"/>
  <c r="R13" i="3"/>
  <c r="S13" i="3"/>
  <c r="T13" i="3"/>
  <c r="N8" i="3"/>
  <c r="O8" i="3"/>
  <c r="P8" i="3"/>
  <c r="Q8" i="3"/>
  <c r="R8" i="3"/>
  <c r="S8" i="3"/>
  <c r="T8" i="3"/>
  <c r="N9" i="3"/>
  <c r="O9" i="3"/>
  <c r="P9" i="3"/>
  <c r="Q9" i="3"/>
  <c r="R9" i="3"/>
  <c r="S9" i="3"/>
  <c r="T9" i="3"/>
  <c r="N10" i="3"/>
  <c r="O10" i="3"/>
  <c r="P10" i="3"/>
  <c r="Q10" i="3"/>
  <c r="R10" i="3"/>
  <c r="S10" i="3"/>
  <c r="T10" i="3"/>
  <c r="N11" i="3"/>
  <c r="O11" i="3"/>
  <c r="P11" i="3"/>
  <c r="Q11" i="3"/>
  <c r="R11" i="3"/>
  <c r="S11" i="3"/>
  <c r="T11" i="3"/>
  <c r="N12" i="3"/>
  <c r="O12" i="3"/>
  <c r="P12" i="3"/>
  <c r="Q12" i="3"/>
  <c r="R12" i="3"/>
  <c r="S12" i="3"/>
  <c r="T12" i="3"/>
  <c r="O7" i="3"/>
  <c r="P7" i="3"/>
  <c r="Q7" i="3"/>
  <c r="R7" i="3"/>
  <c r="S7" i="3"/>
  <c r="T7" i="3"/>
  <c r="N7" i="3"/>
  <c r="N4" i="3" a="1"/>
  <c r="N4" i="3" s="1"/>
  <c r="O23" i="3"/>
  <c r="K31" i="3"/>
  <c r="K23" i="3" a="1"/>
  <c r="K24" i="3" s="1"/>
  <c r="B23" i="3" a="1"/>
  <c r="C23" i="3" s="1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C13" i="3"/>
  <c r="D13" i="3"/>
  <c r="E13" i="3"/>
  <c r="F13" i="3"/>
  <c r="G13" i="3"/>
  <c r="H13" i="3"/>
  <c r="B13" i="3"/>
  <c r="M19" i="2"/>
  <c r="N37" i="2"/>
  <c r="M37" i="2"/>
  <c r="H37" i="2" a="1"/>
  <c r="H37" i="2" s="1"/>
  <c r="B37" i="2" a="1"/>
  <c r="B37" i="2" s="1"/>
  <c r="E34" i="2"/>
  <c r="F34" i="2"/>
  <c r="F33" i="2"/>
  <c r="F30" i="2" a="1"/>
  <c r="F31" i="2" s="1"/>
  <c r="C34" i="2"/>
  <c r="D34" i="2"/>
  <c r="B34" i="2"/>
  <c r="B31" i="2"/>
  <c r="C31" i="2"/>
  <c r="D31" i="2"/>
  <c r="E31" i="2"/>
  <c r="B32" i="2"/>
  <c r="C32" i="2"/>
  <c r="D32" i="2"/>
  <c r="E32" i="2"/>
  <c r="B33" i="2"/>
  <c r="C33" i="2"/>
  <c r="D33" i="2"/>
  <c r="E33" i="2"/>
  <c r="C30" i="2"/>
  <c r="D30" i="2"/>
  <c r="E30" i="2"/>
  <c r="B30" i="2"/>
  <c r="L19" i="2"/>
  <c r="K19" i="2"/>
  <c r="J19" i="2"/>
  <c r="G25" i="2"/>
  <c r="G20" i="2" a="1"/>
  <c r="G21" i="2" s="1"/>
  <c r="B20" i="2" a="1"/>
  <c r="B20" i="2" s="1"/>
  <c r="B15" i="2"/>
  <c r="C15" i="2"/>
  <c r="D15" i="2"/>
  <c r="B16" i="2"/>
  <c r="C16" i="2"/>
  <c r="D16" i="2"/>
  <c r="C14" i="2"/>
  <c r="D14" i="2"/>
  <c r="B14" i="2"/>
  <c r="C10" i="2"/>
  <c r="B9" i="2" a="1"/>
  <c r="B10" i="2" s="1"/>
  <c r="D9" i="2"/>
  <c r="D8" i="2"/>
  <c r="C8" i="2"/>
  <c r="D10" i="2"/>
  <c r="C9" i="2"/>
  <c r="B8" i="2"/>
  <c r="M25" i="1" a="1"/>
  <c r="M25" i="1" s="1"/>
  <c r="R19" i="1" a="1"/>
  <c r="R19" i="1" s="1"/>
  <c r="M19" i="1" a="1"/>
  <c r="M19" i="1" s="1"/>
  <c r="M15" i="1" a="1"/>
  <c r="M15" i="1" s="1"/>
  <c r="P13" i="1"/>
  <c r="P12" i="1"/>
  <c r="M13" i="1"/>
  <c r="N13" i="1"/>
  <c r="N12" i="1"/>
  <c r="M12" i="1"/>
  <c r="M4" i="1"/>
  <c r="M5" i="1"/>
  <c r="M3" i="1"/>
  <c r="K5" i="1"/>
  <c r="L5" i="1"/>
  <c r="L4" i="1"/>
  <c r="L3" i="1"/>
  <c r="K4" i="1"/>
  <c r="K3" i="1"/>
  <c r="D51" i="1"/>
  <c r="D54" i="1" s="1"/>
  <c r="D52" i="1"/>
  <c r="D55" i="1" s="1"/>
  <c r="C51" i="1"/>
  <c r="K44" i="1"/>
  <c r="J44" i="1"/>
  <c r="D31" i="1"/>
  <c r="C32" i="1" s="1"/>
  <c r="C35" i="1" s="1"/>
  <c r="D32" i="1"/>
  <c r="D35" i="1" s="1"/>
  <c r="C31" i="1"/>
  <c r="C34" i="1" s="1"/>
  <c r="C54" i="1"/>
  <c r="L24" i="1"/>
  <c r="K24" i="1"/>
  <c r="J24" i="1"/>
  <c r="H23" i="1"/>
  <c r="H19" i="1" a="1"/>
  <c r="H19" i="1" s="1"/>
  <c r="C25" i="1" a="1"/>
  <c r="C25" i="1" s="1"/>
  <c r="C19" i="1" a="1"/>
  <c r="C19" i="1" s="1"/>
  <c r="C15" i="1"/>
  <c r="D15" i="1"/>
  <c r="D14" i="1"/>
  <c r="C14" i="1"/>
  <c r="C12" i="1"/>
  <c r="D11" i="1"/>
  <c r="D12" i="1"/>
  <c r="C11" i="1"/>
  <c r="S35" i="3" l="1"/>
  <c r="V35" i="3"/>
  <c r="R35" i="3"/>
  <c r="W35" i="3"/>
  <c r="U35" i="3"/>
  <c r="M54" i="3"/>
  <c r="D57" i="3"/>
  <c r="E56" i="3"/>
  <c r="F55" i="3"/>
  <c r="G54" i="3"/>
  <c r="H53" i="3"/>
  <c r="I52" i="3"/>
  <c r="J51" i="3"/>
  <c r="F51" i="3"/>
  <c r="B51" i="3"/>
  <c r="G50" i="3"/>
  <c r="C50" i="3"/>
  <c r="D49" i="3"/>
  <c r="G57" i="3"/>
  <c r="C57" i="3"/>
  <c r="H56" i="3"/>
  <c r="D56" i="3"/>
  <c r="I55" i="3"/>
  <c r="E55" i="3"/>
  <c r="J54" i="3"/>
  <c r="F54" i="3"/>
  <c r="B54" i="3"/>
  <c r="G53" i="3"/>
  <c r="C53" i="3"/>
  <c r="H52" i="3"/>
  <c r="D52" i="3"/>
  <c r="I51" i="3"/>
  <c r="E51" i="3"/>
  <c r="J50" i="3"/>
  <c r="F50" i="3"/>
  <c r="B50" i="3"/>
  <c r="G49" i="3"/>
  <c r="C49" i="3"/>
  <c r="I57" i="3"/>
  <c r="E57" i="3"/>
  <c r="J56" i="3"/>
  <c r="F56" i="3"/>
  <c r="B56" i="3"/>
  <c r="G55" i="3"/>
  <c r="C55" i="3"/>
  <c r="H54" i="3"/>
  <c r="D54" i="3"/>
  <c r="I53" i="3"/>
  <c r="E53" i="3"/>
  <c r="J52" i="3"/>
  <c r="F52" i="3"/>
  <c r="B52" i="3"/>
  <c r="G51" i="3"/>
  <c r="C51" i="3"/>
  <c r="H50" i="3"/>
  <c r="D50" i="3"/>
  <c r="I49" i="3"/>
  <c r="E49" i="3"/>
  <c r="H57" i="3"/>
  <c r="I56" i="3"/>
  <c r="J55" i="3"/>
  <c r="B55" i="3"/>
  <c r="C54" i="3"/>
  <c r="D53" i="3"/>
  <c r="E52" i="3"/>
  <c r="H49" i="3"/>
  <c r="J57" i="3"/>
  <c r="F57" i="3"/>
  <c r="B57" i="3"/>
  <c r="G56" i="3"/>
  <c r="C56" i="3"/>
  <c r="H55" i="3"/>
  <c r="D55" i="3"/>
  <c r="I54" i="3"/>
  <c r="E54" i="3"/>
  <c r="J53" i="3"/>
  <c r="F53" i="3"/>
  <c r="B53" i="3"/>
  <c r="G52" i="3"/>
  <c r="C52" i="3"/>
  <c r="H51" i="3"/>
  <c r="D51" i="3"/>
  <c r="I50" i="3"/>
  <c r="E50" i="3"/>
  <c r="J49" i="3"/>
  <c r="F49" i="3"/>
  <c r="G46" i="3"/>
  <c r="Q4" i="3"/>
  <c r="P4" i="3"/>
  <c r="S4" i="3"/>
  <c r="O4" i="3"/>
  <c r="T4" i="3"/>
  <c r="R4" i="3"/>
  <c r="K27" i="3"/>
  <c r="K23" i="3"/>
  <c r="K30" i="3"/>
  <c r="K26" i="3"/>
  <c r="K29" i="3"/>
  <c r="K25" i="3"/>
  <c r="K28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H39" i="2"/>
  <c r="H38" i="2"/>
  <c r="H40" i="2"/>
  <c r="H41" i="2"/>
  <c r="F40" i="2"/>
  <c r="C39" i="2"/>
  <c r="E37" i="2"/>
  <c r="D41" i="2"/>
  <c r="F39" i="2"/>
  <c r="B39" i="2"/>
  <c r="D37" i="2"/>
  <c r="C41" i="2"/>
  <c r="D40" i="2"/>
  <c r="E39" i="2"/>
  <c r="F38" i="2"/>
  <c r="B38" i="2"/>
  <c r="C37" i="2"/>
  <c r="E41" i="2"/>
  <c r="B40" i="2"/>
  <c r="D38" i="2"/>
  <c r="E40" i="2"/>
  <c r="C38" i="2"/>
  <c r="F41" i="2"/>
  <c r="B41" i="2"/>
  <c r="C40" i="2"/>
  <c r="D39" i="2"/>
  <c r="E38" i="2"/>
  <c r="F37" i="2"/>
  <c r="F30" i="2"/>
  <c r="F32" i="2"/>
  <c r="G20" i="2"/>
  <c r="G23" i="2"/>
  <c r="G22" i="2"/>
  <c r="D21" i="2"/>
  <c r="C23" i="2"/>
  <c r="C22" i="2"/>
  <c r="C21" i="2"/>
  <c r="C20" i="2"/>
  <c r="E23" i="2"/>
  <c r="E22" i="2"/>
  <c r="E21" i="2"/>
  <c r="E20" i="2"/>
  <c r="D23" i="2"/>
  <c r="D22" i="2"/>
  <c r="D20" i="2"/>
  <c r="B23" i="2"/>
  <c r="B22" i="2"/>
  <c r="B21" i="2"/>
  <c r="B9" i="2"/>
  <c r="P27" i="1"/>
  <c r="P26" i="1"/>
  <c r="O26" i="1"/>
  <c r="N28" i="1"/>
  <c r="N27" i="1"/>
  <c r="N26" i="1"/>
  <c r="N25" i="1"/>
  <c r="P28" i="1"/>
  <c r="P25" i="1"/>
  <c r="O28" i="1"/>
  <c r="O27" i="1"/>
  <c r="O25" i="1"/>
  <c r="M28" i="1"/>
  <c r="M27" i="1"/>
  <c r="M26" i="1"/>
  <c r="R22" i="1"/>
  <c r="R20" i="1"/>
  <c r="U19" i="1" s="1"/>
  <c r="R21" i="1"/>
  <c r="P21" i="1"/>
  <c r="P20" i="1"/>
  <c r="O22" i="1"/>
  <c r="O20" i="1"/>
  <c r="N22" i="1"/>
  <c r="N21" i="1"/>
  <c r="N20" i="1"/>
  <c r="N19" i="1"/>
  <c r="P22" i="1"/>
  <c r="P19" i="1"/>
  <c r="O21" i="1"/>
  <c r="O19" i="1"/>
  <c r="M22" i="1"/>
  <c r="M21" i="1"/>
  <c r="M20" i="1"/>
  <c r="N15" i="1"/>
  <c r="C52" i="1"/>
  <c r="C55" i="1" s="1"/>
  <c r="C59" i="1" s="1" a="1"/>
  <c r="E59" i="1" s="1"/>
  <c r="D34" i="1"/>
  <c r="C39" i="1" s="1" a="1"/>
  <c r="D39" i="1" s="1"/>
  <c r="H21" i="1"/>
  <c r="H20" i="1"/>
  <c r="D27" i="1"/>
  <c r="C26" i="1"/>
  <c r="D25" i="1"/>
  <c r="C27" i="1"/>
  <c r="E25" i="1"/>
  <c r="E26" i="1"/>
  <c r="E27" i="1"/>
  <c r="D26" i="1"/>
  <c r="E19" i="1"/>
  <c r="D19" i="1"/>
  <c r="D21" i="1"/>
  <c r="C20" i="1"/>
  <c r="C21" i="1"/>
  <c r="E20" i="1"/>
  <c r="E21" i="1"/>
  <c r="D20" i="1"/>
  <c r="K37" i="2" l="1" a="1"/>
  <c r="K37" i="2" s="1"/>
  <c r="L37" i="2"/>
  <c r="H43" i="2"/>
  <c r="V19" i="1"/>
  <c r="W19" i="1"/>
  <c r="X19" i="1" s="1"/>
  <c r="R24" i="1"/>
  <c r="E61" i="1"/>
  <c r="C59" i="1"/>
  <c r="C61" i="1"/>
  <c r="D60" i="1"/>
  <c r="D59" i="1"/>
  <c r="H59" i="1" s="1" a="1"/>
  <c r="C60" i="1"/>
  <c r="E60" i="1"/>
  <c r="D61" i="1"/>
  <c r="D40" i="1"/>
  <c r="E39" i="1"/>
  <c r="C40" i="1"/>
  <c r="E41" i="1"/>
  <c r="C41" i="1"/>
  <c r="C39" i="1"/>
  <c r="E40" i="1"/>
  <c r="D41" i="1"/>
  <c r="C65" i="1" a="1"/>
  <c r="C45" i="1" l="1" a="1"/>
  <c r="C45" i="1" s="1"/>
  <c r="H39" i="1" a="1"/>
  <c r="H39" i="1" s="1"/>
  <c r="H59" i="1"/>
  <c r="H61" i="1"/>
  <c r="H60" i="1"/>
  <c r="E67" i="1"/>
  <c r="D67" i="1"/>
  <c r="C66" i="1"/>
  <c r="D66" i="1"/>
  <c r="C65" i="1"/>
  <c r="C67" i="1"/>
  <c r="E65" i="1"/>
  <c r="E66" i="1"/>
  <c r="D65" i="1"/>
  <c r="K64" i="1" l="1"/>
  <c r="L64" i="1" s="1"/>
  <c r="J64" i="1"/>
  <c r="C47" i="1"/>
  <c r="D46" i="1"/>
  <c r="D45" i="1"/>
  <c r="C46" i="1"/>
  <c r="E47" i="1"/>
  <c r="D47" i="1"/>
  <c r="E46" i="1"/>
  <c r="E45" i="1"/>
  <c r="H41" i="1"/>
  <c r="H40" i="1"/>
  <c r="H63" i="1"/>
  <c r="H43" i="1"/>
  <c r="L44" i="1"/>
</calcChain>
</file>

<file path=xl/sharedStrings.xml><?xml version="1.0" encoding="utf-8"?>
<sst xmlns="http://schemas.openxmlformats.org/spreadsheetml/2006/main" count="164" uniqueCount="79">
  <si>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</si>
  <si>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</si>
  <si>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</si>
  <si>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</si>
  <si>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</si>
  <si>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</si>
  <si>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</si>
  <si>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</si>
  <si>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</si>
  <si>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</si>
  <si>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Trh I</t>
  </si>
  <si>
    <t>CovMatice</t>
  </si>
  <si>
    <t>VPS</t>
  </si>
  <si>
    <t>Zk:</t>
  </si>
  <si>
    <t>wi</t>
  </si>
  <si>
    <t>w_a</t>
  </si>
  <si>
    <t>w_b</t>
  </si>
  <si>
    <t>Zkouska</t>
  </si>
  <si>
    <t>Rp</t>
  </si>
  <si>
    <t>VarP</t>
  </si>
  <si>
    <t>SigmaP</t>
  </si>
  <si>
    <t>Trh II</t>
  </si>
  <si>
    <t>Trh III</t>
  </si>
  <si>
    <t>Rp/SigmaP</t>
  </si>
  <si>
    <t>Požadujeme na každém trhu portfolio s E(Rp)=25%</t>
  </si>
  <si>
    <t>Matice soustavy</t>
  </si>
  <si>
    <t>Inv.Matice</t>
  </si>
  <si>
    <t>Zk</t>
  </si>
  <si>
    <t>lambda1</t>
  </si>
  <si>
    <t>lambda2</t>
  </si>
  <si>
    <t>Firma 1</t>
  </si>
  <si>
    <t>Firma 2</t>
  </si>
  <si>
    <t>Firma 3</t>
  </si>
  <si>
    <t>Kovariance</t>
  </si>
  <si>
    <t>m</t>
  </si>
  <si>
    <r>
      <t>s</t>
    </r>
    <r>
      <rPr>
        <b/>
        <vertAlign val="subscript"/>
        <sz val="10"/>
        <color theme="1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</si>
  <si>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</si>
  <si>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theme="1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</si>
  <si>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theme="1"/>
        <rFont val="Symbol"/>
        <family val="1"/>
        <charset val="2"/>
      </rPr>
      <t>2,3</t>
    </r>
  </si>
  <si>
    <t>Covar Matice</t>
  </si>
  <si>
    <t>vps</t>
  </si>
  <si>
    <t>Inver.M</t>
  </si>
  <si>
    <t>zk</t>
  </si>
  <si>
    <t>Pozadovana vynosnost portfolia: 3,5%</t>
  </si>
  <si>
    <t>Inv.M</t>
  </si>
  <si>
    <t>Emise</t>
  </si>
  <si>
    <r>
      <t>CP</t>
    </r>
    <r>
      <rPr>
        <vertAlign val="subscript"/>
        <sz val="10"/>
        <color theme="1"/>
        <rFont val="Arial"/>
        <family val="2"/>
        <charset val="238"/>
      </rPr>
      <t>1</t>
    </r>
  </si>
  <si>
    <r>
      <t>CP</t>
    </r>
    <r>
      <rPr>
        <vertAlign val="subscript"/>
        <sz val="10"/>
        <color theme="1"/>
        <rFont val="Arial"/>
        <family val="2"/>
        <charset val="238"/>
      </rPr>
      <t>2</t>
    </r>
  </si>
  <si>
    <r>
      <t>CP</t>
    </r>
    <r>
      <rPr>
        <vertAlign val="subscript"/>
        <sz val="10"/>
        <color theme="1"/>
        <rFont val="Arial"/>
        <family val="2"/>
        <charset val="238"/>
      </rPr>
      <t>3</t>
    </r>
  </si>
  <si>
    <r>
      <t>CP</t>
    </r>
    <r>
      <rPr>
        <vertAlign val="subscript"/>
        <sz val="10"/>
        <color theme="1"/>
        <rFont val="Arial"/>
        <family val="2"/>
        <charset val="238"/>
      </rPr>
      <t>4</t>
    </r>
  </si>
  <si>
    <r>
      <t>CP</t>
    </r>
    <r>
      <rPr>
        <vertAlign val="subscript"/>
        <sz val="10"/>
        <color theme="1"/>
        <rFont val="Arial"/>
        <family val="2"/>
        <charset val="238"/>
      </rPr>
      <t>5</t>
    </r>
  </si>
  <si>
    <r>
      <t>CP</t>
    </r>
    <r>
      <rPr>
        <vertAlign val="subscript"/>
        <sz val="10"/>
        <color theme="1"/>
        <rFont val="Arial"/>
        <family val="2"/>
        <charset val="238"/>
      </rPr>
      <t>6</t>
    </r>
  </si>
  <si>
    <r>
      <t>CP</t>
    </r>
    <r>
      <rPr>
        <vertAlign val="subscript"/>
        <sz val="10"/>
        <color theme="1"/>
        <rFont val="Arial"/>
        <family val="2"/>
        <charset val="238"/>
      </rPr>
      <t>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</si>
  <si>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(v %)</t>
    </r>
  </si>
  <si>
    <t>Min.Variance:</t>
  </si>
  <si>
    <t>InvM</t>
  </si>
  <si>
    <t>Vypocet VarP</t>
  </si>
  <si>
    <t>Pozadavek Rp=5%</t>
  </si>
  <si>
    <t>Riziková portfolia</t>
  </si>
  <si>
    <t>C</t>
  </si>
  <si>
    <t>D</t>
  </si>
  <si>
    <t>1.</t>
  </si>
  <si>
    <t>2.</t>
  </si>
  <si>
    <t>3.</t>
  </si>
  <si>
    <t>4.</t>
  </si>
  <si>
    <t>5.</t>
  </si>
  <si>
    <t>Portfolio</t>
  </si>
  <si>
    <t>rf</t>
  </si>
  <si>
    <t>Rm</t>
  </si>
  <si>
    <t>Beta_i</t>
  </si>
  <si>
    <t>ri</t>
  </si>
  <si>
    <t>ROK</t>
  </si>
  <si>
    <t>covar_m,i</t>
  </si>
  <si>
    <t>beta_i</t>
  </si>
  <si>
    <t>E(ri)</t>
  </si>
  <si>
    <t>E ®</t>
  </si>
  <si>
    <t>i</t>
  </si>
  <si>
    <t>j</t>
  </si>
  <si>
    <t>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</si>
</sst>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2" borderId="0" xfId="0" applyFill="1"/>
    <xf numFmtId="0" fontId="7" fillId="0" borderId="0" xfId="0" applyFont="1"/>
    <xf numFmtId="0" fontId="8" fillId="0" borderId="0" xfId="0" applyFont="1"/>
    <xf numFmtId="0" fontId="0" fillId="3" borderId="0" xfId="0" applyFont="1" applyFill="1"/>
    <xf numFmtId="0" fontId="1" fillId="0" borderId="0" xfId="0" applyFont="1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5" borderId="0" xfId="0" applyFill="1"/>
    <xf numFmtId="0" fontId="10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1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'Pr06'!$B$22:$D$22</c:f>
              <c:numCache>
                <c:formatCode>General</c:formatCode>
                <c:ptCount val="3"/>
                <c:pt idx="0">
                  <c:v>0</c:v>
                </c:pt>
                <c:pt idx="1">
                  <c:v>0.58308730493462646</c:v>
                </c:pt>
                <c:pt idx="2">
                  <c:v>1.5788696752425133</c:v>
                </c:pt>
              </c:numCache>
            </c:numRef>
          </c:xVal>
          <c:yVal>
            <c:numRef>
              <c:f>'Pr06'!$B$21:$D$21</c:f>
              <c:numCache>
                <c:formatCode>General</c:formatCode>
                <c:ptCount val="3"/>
                <c:pt idx="0">
                  <c:v>7</c:v>
                </c:pt>
                <c:pt idx="1">
                  <c:v>11.431463517503161</c:v>
                </c:pt>
                <c:pt idx="2">
                  <c:v>18.999409531843099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F-4A71-9D26-D1F2FC39242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'Pr06'!$C$15:$D$15</c:f>
              <c:numCache>
                <c:formatCode>General</c:formatCode>
                <c:ptCount val="2"/>
                <c:pt idx="0">
                  <c:v>0.58308730493462646</c:v>
                </c:pt>
                <c:pt idx="1">
                  <c:v>1.5788696752425133</c:v>
                </c:pt>
              </c:numCache>
            </c:numRef>
          </c:xVal>
          <c:yVal>
            <c:numRef>
              <c:f>'Pr06'!$C$13:$D$13</c:f>
              <c:numCache>
                <c:formatCode>General</c:formatCode>
                <c:ptCount val="2"/>
                <c:pt idx="0">
                  <c:v>10</c:v>
                </c:pt>
                <c:pt idx="1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F-4A71-9D26-D1F2FC39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481167"/>
        <c:axId val="1070479503"/>
      </c:scatterChart>
      <c:valAx>
        <c:axId val="107048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0479503"/>
        <c:crosses val="autoZero"/>
        <c:crossBetween val="midCat"/>
      </c:valAx>
      <c:valAx>
        <c:axId val="10704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048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161925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681C0877-20C5-4071-8CFD-200F35B3A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219075</xdr:colOff>
          <xdr:row>3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2B066F9-9A6B-4F24-BD56-62DC7CFBA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152400</xdr:colOff>
          <xdr:row>8</xdr:row>
          <xdr:rowOff>9525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758385E-FC5E-440B-AD26-E1AC8CE45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200025</xdr:colOff>
          <xdr:row>2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F4F23A14-D5E5-4A21-BFB3-337B639A7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123825</xdr:colOff>
          <xdr:row>2</xdr:row>
          <xdr:rowOff>9525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2651934E-2F79-447C-B0D4-61B8EC8BA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152400</xdr:colOff>
          <xdr:row>2</xdr:row>
          <xdr:rowOff>19050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58D3AF0F-D82E-434C-832D-A1485C0A6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200025</xdr:colOff>
          <xdr:row>2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AE89F9D-B9C5-437E-B32E-3D2C3255A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257175</xdr:colOff>
          <xdr:row>2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AD35020E-61FB-4711-8A77-088695E75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450605</xdr:colOff>
      <xdr:row>13</xdr:row>
      <xdr:rowOff>49824</xdr:rowOff>
    </xdr:from>
    <xdr:to>
      <xdr:col>17</xdr:col>
      <xdr:colOff>157528</xdr:colOff>
      <xdr:row>27</xdr:row>
      <xdr:rowOff>126024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B9164C4-9BDC-4F35-A1D2-1FB005F4F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image" Target="../media/image8.w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wmf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7.wmf"/><Relationship Id="rId5" Type="http://schemas.openxmlformats.org/officeDocument/2006/relationships/image" Target="../media/image4.w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DB1A-8D94-455F-B274-A7E5445E6B94}">
  <dimension ref="A1:X67"/>
  <sheetViews>
    <sheetView tabSelected="1" topLeftCell="H13" zoomScale="160" zoomScaleNormal="160" workbookViewId="0">
      <selection activeCell="M34" sqref="M34"/>
    </sheetView>
  </sheetViews>
  <sheetFormatPr defaultRowHeight="15" x14ac:dyDescent="0.25"/>
  <cols>
    <col min="10" max="10" width="12" bestFit="1" customWidth="1"/>
  </cols>
  <sheetData>
    <row r="1" spans="1:18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8" ht="16.5" thickBot="1" x14ac:dyDescent="0.3">
      <c r="A2" s="5" t="s">
        <v>5</v>
      </c>
      <c r="B2" s="3" t="s">
        <v>6</v>
      </c>
      <c r="C2" s="4">
        <v>0.22</v>
      </c>
      <c r="D2" s="4">
        <v>0.3</v>
      </c>
      <c r="E2" s="7">
        <v>0.15</v>
      </c>
      <c r="J2" s="21" t="s">
        <v>0</v>
      </c>
      <c r="K2" t="s">
        <v>18</v>
      </c>
      <c r="L2" t="s">
        <v>20</v>
      </c>
      <c r="M2" t="s">
        <v>23</v>
      </c>
    </row>
    <row r="3" spans="1:18" ht="16.5" thickBot="1" x14ac:dyDescent="0.3">
      <c r="A3" s="6"/>
      <c r="B3" s="3" t="s">
        <v>7</v>
      </c>
      <c r="C3" s="4">
        <v>0.31</v>
      </c>
      <c r="D3" s="4">
        <v>0.32</v>
      </c>
      <c r="E3" s="8"/>
      <c r="J3" s="20" t="s">
        <v>5</v>
      </c>
      <c r="K3">
        <f>J24</f>
        <v>0.26158924205378975</v>
      </c>
      <c r="L3">
        <f>L24</f>
        <v>0.2346594056815465</v>
      </c>
      <c r="M3">
        <f>K3/L3</f>
        <v>1.1147613763617445</v>
      </c>
    </row>
    <row r="4" spans="1:18" ht="16.5" thickBot="1" x14ac:dyDescent="0.3">
      <c r="A4" s="5" t="s">
        <v>8</v>
      </c>
      <c r="B4" s="3" t="s">
        <v>6</v>
      </c>
      <c r="C4" s="4">
        <v>0.26</v>
      </c>
      <c r="D4" s="4">
        <v>0.28999999999999998</v>
      </c>
      <c r="E4" s="7">
        <v>-0.06</v>
      </c>
      <c r="J4" s="20" t="s">
        <v>8</v>
      </c>
      <c r="K4">
        <f>J44</f>
        <v>0.29514876469552631</v>
      </c>
      <c r="L4">
        <f>L44</f>
        <v>0.2112511740270491</v>
      </c>
      <c r="M4">
        <f t="shared" ref="M4:M5" si="0">K4/L4</f>
        <v>1.3971461510445133</v>
      </c>
    </row>
    <row r="5" spans="1:18" ht="16.5" thickBot="1" x14ac:dyDescent="0.3">
      <c r="A5" s="6"/>
      <c r="B5" s="3" t="s">
        <v>7</v>
      </c>
      <c r="C5" s="4">
        <v>0.34</v>
      </c>
      <c r="D5" s="4">
        <v>0.33</v>
      </c>
      <c r="E5" s="8"/>
      <c r="J5" s="20" t="s">
        <v>9</v>
      </c>
      <c r="K5">
        <f>J64</f>
        <v>0.22467432052483599</v>
      </c>
      <c r="L5">
        <f>L64</f>
        <v>0.18319150743791543</v>
      </c>
      <c r="M5">
        <f t="shared" si="0"/>
        <v>1.2264450665158662</v>
      </c>
    </row>
    <row r="6" spans="1:18" ht="16.5" thickBot="1" x14ac:dyDescent="0.3">
      <c r="A6" s="5" t="s">
        <v>9</v>
      </c>
      <c r="B6" s="3" t="s">
        <v>6</v>
      </c>
      <c r="C6" s="4">
        <v>0.18</v>
      </c>
      <c r="D6" s="4">
        <v>0.2</v>
      </c>
      <c r="E6" s="7">
        <v>0.09</v>
      </c>
    </row>
    <row r="7" spans="1:18" ht="16.5" thickBot="1" x14ac:dyDescent="0.3">
      <c r="A7" s="6"/>
      <c r="B7" s="3" t="s">
        <v>7</v>
      </c>
      <c r="C7" s="4">
        <v>0.41</v>
      </c>
      <c r="D7" s="4">
        <v>0.38</v>
      </c>
      <c r="E7" s="8"/>
    </row>
    <row r="9" spans="1:18" x14ac:dyDescent="0.25">
      <c r="N9" t="s">
        <v>24</v>
      </c>
    </row>
    <row r="10" spans="1:18" ht="15.75" x14ac:dyDescent="0.25">
      <c r="A10" t="s">
        <v>10</v>
      </c>
      <c r="B10" s="9" t="s">
        <v>11</v>
      </c>
    </row>
    <row r="11" spans="1:18" x14ac:dyDescent="0.25">
      <c r="C11">
        <f>$D$2^2</f>
        <v>0.09</v>
      </c>
      <c r="D11">
        <f>$D$2*$D$3*$E$2</f>
        <v>1.44E-2</v>
      </c>
      <c r="M11" t="s">
        <v>25</v>
      </c>
      <c r="R11" t="s">
        <v>12</v>
      </c>
    </row>
    <row r="12" spans="1:18" x14ac:dyDescent="0.25">
      <c r="C12">
        <f>D11</f>
        <v>1.44E-2</v>
      </c>
      <c r="D12">
        <f>$D$3^2</f>
        <v>0.1024</v>
      </c>
      <c r="M12">
        <f>2*C11</f>
        <v>0.18</v>
      </c>
      <c r="N12">
        <f>2*D11</f>
        <v>2.8799999999999999E-2</v>
      </c>
      <c r="O12">
        <v>1</v>
      </c>
      <c r="P12">
        <f>C2</f>
        <v>0.22</v>
      </c>
      <c r="R12">
        <v>0</v>
      </c>
    </row>
    <row r="13" spans="1:18" x14ac:dyDescent="0.25">
      <c r="G13" t="s">
        <v>12</v>
      </c>
      <c r="M13">
        <f>2*C12</f>
        <v>2.8799999999999999E-2</v>
      </c>
      <c r="N13">
        <f>2*D12</f>
        <v>0.20480000000000001</v>
      </c>
      <c r="O13">
        <v>1</v>
      </c>
      <c r="P13">
        <f>C3</f>
        <v>0.31</v>
      </c>
      <c r="R13">
        <v>0</v>
      </c>
    </row>
    <row r="14" spans="1:18" x14ac:dyDescent="0.25">
      <c r="C14">
        <f>2*C11</f>
        <v>0.18</v>
      </c>
      <c r="D14">
        <f>2*D11</f>
        <v>2.8799999999999999E-2</v>
      </c>
      <c r="E14">
        <v>1</v>
      </c>
      <c r="G14">
        <v>0</v>
      </c>
      <c r="M14">
        <v>1</v>
      </c>
      <c r="N14">
        <v>1</v>
      </c>
      <c r="O14">
        <v>0</v>
      </c>
      <c r="P14">
        <v>0</v>
      </c>
      <c r="R14">
        <v>1</v>
      </c>
    </row>
    <row r="15" spans="1:18" x14ac:dyDescent="0.25">
      <c r="C15">
        <f>2*C12</f>
        <v>2.8799999999999999E-2</v>
      </c>
      <c r="D15">
        <f>2*D12</f>
        <v>0.20480000000000001</v>
      </c>
      <c r="E15">
        <v>1</v>
      </c>
      <c r="G15">
        <v>0</v>
      </c>
      <c r="M15">
        <f t="array" ref="M15:N15">TRANSPOSE(P12:P13)</f>
        <v>0.22</v>
      </c>
      <c r="N15">
        <v>0.31</v>
      </c>
      <c r="O15">
        <v>0</v>
      </c>
      <c r="P15">
        <v>0</v>
      </c>
      <c r="R15">
        <v>0.25</v>
      </c>
    </row>
    <row r="16" spans="1:18" x14ac:dyDescent="0.25">
      <c r="C16">
        <v>1</v>
      </c>
      <c r="D16">
        <v>1</v>
      </c>
      <c r="E16">
        <v>0</v>
      </c>
      <c r="G16">
        <v>1</v>
      </c>
    </row>
    <row r="18" spans="1:24" x14ac:dyDescent="0.25">
      <c r="H18" t="s">
        <v>14</v>
      </c>
      <c r="M18" t="s">
        <v>26</v>
      </c>
      <c r="R18" t="s">
        <v>14</v>
      </c>
      <c r="U18" t="s">
        <v>18</v>
      </c>
      <c r="V18" t="s">
        <v>19</v>
      </c>
      <c r="W18" t="s">
        <v>20</v>
      </c>
    </row>
    <row r="19" spans="1:24" x14ac:dyDescent="0.25">
      <c r="C19">
        <f t="array" ref="C19:E21">MINVERSE(C14:E16)</f>
        <v>3.0562347188264058</v>
      </c>
      <c r="D19">
        <v>-3.0562347188264058</v>
      </c>
      <c r="E19">
        <v>0.53789731051344747</v>
      </c>
      <c r="G19" t="s">
        <v>15</v>
      </c>
      <c r="H19">
        <f t="array" ref="H19:H21">MMULT(C19:E21,G14:G16)</f>
        <v>0.53789731051344747</v>
      </c>
      <c r="M19">
        <f t="array" ref="M19:P22">MINVERSE(M12:P15)</f>
        <v>0</v>
      </c>
      <c r="N19">
        <v>2.5232341468753557E-15</v>
      </c>
      <c r="O19">
        <v>3.444444444444446</v>
      </c>
      <c r="P19">
        <v>-11.111111111111111</v>
      </c>
      <c r="R19">
        <f t="array" ref="R19:R22">MMULT(M19:P22,R12:R15)</f>
        <v>0.66666666666666829</v>
      </c>
      <c r="U19">
        <f>SUMPRODUCT(R19:R20,C2:C3)</f>
        <v>0.24999999999999986</v>
      </c>
      <c r="V19">
        <f>R19^2*C11+R20^2*D12+2*R19*R20*D11</f>
        <v>5.7777777777777845E-2</v>
      </c>
      <c r="W19">
        <f>V19^0.5</f>
        <v>0.24037008503093277</v>
      </c>
      <c r="X19">
        <f>U19/W19</f>
        <v>1.0400628679223034</v>
      </c>
    </row>
    <row r="20" spans="1:24" x14ac:dyDescent="0.25">
      <c r="C20">
        <v>-3.0562347188264058</v>
      </c>
      <c r="D20">
        <v>3.0562347188264058</v>
      </c>
      <c r="E20">
        <v>0.46210268948655248</v>
      </c>
      <c r="G20" t="s">
        <v>16</v>
      </c>
      <c r="H20">
        <v>0.46210268948655248</v>
      </c>
      <c r="M20">
        <v>0</v>
      </c>
      <c r="N20">
        <v>-2.5232341468753557E-15</v>
      </c>
      <c r="O20">
        <v>-2.444444444444446</v>
      </c>
      <c r="P20">
        <v>11.111111111111111</v>
      </c>
      <c r="R20">
        <v>0.33333333333333171</v>
      </c>
    </row>
    <row r="21" spans="1:24" x14ac:dyDescent="0.25">
      <c r="C21">
        <v>0.53789731051344747</v>
      </c>
      <c r="D21">
        <v>0.46210268948655259</v>
      </c>
      <c r="E21">
        <v>-0.11013007334963325</v>
      </c>
      <c r="H21">
        <v>-0.11013007334963325</v>
      </c>
      <c r="M21">
        <v>3.4444444444444464</v>
      </c>
      <c r="N21">
        <v>-2.444444444444446</v>
      </c>
      <c r="O21">
        <v>-2.8743209876543232</v>
      </c>
      <c r="P21">
        <v>10.566913580246922</v>
      </c>
      <c r="Q21" t="s">
        <v>28</v>
      </c>
      <c r="R21">
        <v>-0.23259259259259268</v>
      </c>
    </row>
    <row r="22" spans="1:24" x14ac:dyDescent="0.25">
      <c r="M22">
        <v>-11.111111111111118</v>
      </c>
      <c r="N22">
        <v>11.111111111111118</v>
      </c>
      <c r="O22">
        <v>10.566913580246922</v>
      </c>
      <c r="P22">
        <v>-40.395061728395092</v>
      </c>
      <c r="Q22" t="s">
        <v>29</v>
      </c>
      <c r="R22">
        <v>0.46814814814814909</v>
      </c>
    </row>
    <row r="23" spans="1:24" x14ac:dyDescent="0.25">
      <c r="G23" s="11" t="s">
        <v>17</v>
      </c>
      <c r="H23" s="12">
        <f>SUM(H19:H20)</f>
        <v>1</v>
      </c>
      <c r="J23" s="14" t="s">
        <v>18</v>
      </c>
      <c r="K23" s="17" t="s">
        <v>19</v>
      </c>
      <c r="L23" s="19" t="s">
        <v>20</v>
      </c>
    </row>
    <row r="24" spans="1:24" x14ac:dyDescent="0.25">
      <c r="C24" t="s">
        <v>13</v>
      </c>
      <c r="J24" s="15">
        <f>H19*C2+H20*C3</f>
        <v>0.26158924205378975</v>
      </c>
      <c r="K24" s="16">
        <f>H19^2*D2^2+H20^2*$D$3^2+2*H19*H20*D11</f>
        <v>5.5065036674816624E-2</v>
      </c>
      <c r="L24" s="18">
        <f>K24^0.5</f>
        <v>0.2346594056815465</v>
      </c>
      <c r="Q24" t="s">
        <v>27</v>
      </c>
      <c r="R24">
        <f>SUM(R19:R20)</f>
        <v>1</v>
      </c>
    </row>
    <row r="25" spans="1:24" x14ac:dyDescent="0.25">
      <c r="C25" s="13">
        <f t="array" ref="C25:E27">MMULT(C19:E21,C14:E16)</f>
        <v>1</v>
      </c>
      <c r="D25" s="13">
        <v>0</v>
      </c>
      <c r="E25" s="13">
        <v>0</v>
      </c>
      <c r="M25">
        <f t="array" ref="M25:P28">MINVERSE(M12:P15)</f>
        <v>0</v>
      </c>
      <c r="N25">
        <v>2.5232341468753557E-15</v>
      </c>
      <c r="O25">
        <v>3.444444444444446</v>
      </c>
      <c r="P25">
        <v>-11.111111111111111</v>
      </c>
    </row>
    <row r="26" spans="1:24" x14ac:dyDescent="0.25">
      <c r="C26" s="13">
        <v>0</v>
      </c>
      <c r="D26" s="13">
        <v>1</v>
      </c>
      <c r="E26" s="13">
        <v>0</v>
      </c>
      <c r="M26">
        <v>0</v>
      </c>
      <c r="N26">
        <v>-2.5232341468753557E-15</v>
      </c>
      <c r="O26">
        <v>-2.444444444444446</v>
      </c>
      <c r="P26">
        <v>11.111111111111111</v>
      </c>
    </row>
    <row r="27" spans="1:24" x14ac:dyDescent="0.25">
      <c r="C27" s="13">
        <v>0</v>
      </c>
      <c r="D27" s="13">
        <v>1.3877787807814457E-17</v>
      </c>
      <c r="E27" s="13">
        <v>1</v>
      </c>
      <c r="M27">
        <v>3.4444444444444464</v>
      </c>
      <c r="N27">
        <v>-2.444444444444446</v>
      </c>
      <c r="O27">
        <v>-2.8743209876543232</v>
      </c>
      <c r="P27">
        <v>10.566913580246922</v>
      </c>
    </row>
    <row r="28" spans="1:24" x14ac:dyDescent="0.25">
      <c r="M28">
        <v>-11.111111111111118</v>
      </c>
      <c r="N28">
        <v>11.111111111111118</v>
      </c>
      <c r="O28">
        <v>10.566913580246922</v>
      </c>
      <c r="P28">
        <v>-40.395061728395092</v>
      </c>
    </row>
    <row r="30" spans="1:24" ht="15.75" x14ac:dyDescent="0.25">
      <c r="A30" t="s">
        <v>21</v>
      </c>
      <c r="B30" s="9" t="s">
        <v>11</v>
      </c>
    </row>
    <row r="31" spans="1:24" x14ac:dyDescent="0.25">
      <c r="C31">
        <f>$D$4^2</f>
        <v>8.4099999999999994E-2</v>
      </c>
      <c r="D31">
        <f>$D$4*$D$5*$E$4</f>
        <v>-5.7419999999999997E-3</v>
      </c>
    </row>
    <row r="32" spans="1:24" x14ac:dyDescent="0.25">
      <c r="C32">
        <f>D31</f>
        <v>-5.7419999999999997E-3</v>
      </c>
      <c r="D32">
        <f>$D$5^2</f>
        <v>0.10890000000000001</v>
      </c>
    </row>
    <row r="33" spans="3:12" x14ac:dyDescent="0.25">
      <c r="G33" t="s">
        <v>12</v>
      </c>
    </row>
    <row r="34" spans="3:12" x14ac:dyDescent="0.25">
      <c r="C34">
        <f>2*C31</f>
        <v>0.16819999999999999</v>
      </c>
      <c r="D34">
        <f>2*D31</f>
        <v>-1.1483999999999999E-2</v>
      </c>
      <c r="E34">
        <v>1</v>
      </c>
      <c r="G34">
        <v>0</v>
      </c>
    </row>
    <row r="35" spans="3:12" x14ac:dyDescent="0.25">
      <c r="C35">
        <f>2*C32</f>
        <v>-1.1483999999999999E-2</v>
      </c>
      <c r="D35">
        <f>2*D32</f>
        <v>0.21780000000000002</v>
      </c>
      <c r="E35">
        <v>1</v>
      </c>
      <c r="G35">
        <v>0</v>
      </c>
    </row>
    <row r="36" spans="3:12" x14ac:dyDescent="0.25">
      <c r="C36">
        <v>1</v>
      </c>
      <c r="D36">
        <v>1</v>
      </c>
      <c r="E36">
        <v>0</v>
      </c>
      <c r="G36">
        <v>1</v>
      </c>
    </row>
    <row r="38" spans="3:12" x14ac:dyDescent="0.25">
      <c r="H38" t="s">
        <v>14</v>
      </c>
    </row>
    <row r="39" spans="3:12" x14ac:dyDescent="0.25">
      <c r="C39">
        <f t="array" ref="C39:E41">MINVERSE(C34:E36)</f>
        <v>2.4451790849161794</v>
      </c>
      <c r="D39">
        <v>-2.4451790849161794</v>
      </c>
      <c r="E39">
        <v>0.56064044130592128</v>
      </c>
      <c r="G39" t="s">
        <v>15</v>
      </c>
      <c r="H39">
        <f t="array" ref="H39:H41">MMULT(C39:E41,G34:G36)</f>
        <v>0.56064044130592128</v>
      </c>
    </row>
    <row r="40" spans="3:12" x14ac:dyDescent="0.25">
      <c r="C40">
        <v>-2.4451790849161794</v>
      </c>
      <c r="D40">
        <v>2.4451790849161794</v>
      </c>
      <c r="E40">
        <v>0.43935955869407872</v>
      </c>
      <c r="G40" t="s">
        <v>16</v>
      </c>
      <c r="H40">
        <v>0.43935955869407872</v>
      </c>
    </row>
    <row r="41" spans="3:12" x14ac:dyDescent="0.25">
      <c r="C41">
        <v>0.56064044130592128</v>
      </c>
      <c r="D41">
        <v>0.43935955869407872</v>
      </c>
      <c r="E41">
        <v>-8.9254117055613161E-2</v>
      </c>
      <c r="H41">
        <v>-8.9254117055613161E-2</v>
      </c>
    </row>
    <row r="43" spans="3:12" x14ac:dyDescent="0.25">
      <c r="G43" s="11" t="s">
        <v>17</v>
      </c>
      <c r="H43" s="12">
        <f>SUM(H39:H40)</f>
        <v>1</v>
      </c>
      <c r="J43" s="14" t="s">
        <v>18</v>
      </c>
      <c r="K43" s="17" t="s">
        <v>19</v>
      </c>
      <c r="L43" s="19" t="s">
        <v>20</v>
      </c>
    </row>
    <row r="44" spans="3:12" x14ac:dyDescent="0.25">
      <c r="C44" t="s">
        <v>13</v>
      </c>
      <c r="J44" s="15">
        <f>H39*C4+H40*C5</f>
        <v>0.29514876469552631</v>
      </c>
      <c r="K44" s="16">
        <f>H39^2*$D$4^2+H40^2*$D$5^2+2*H39*H40*D31</f>
        <v>4.462705852780658E-2</v>
      </c>
      <c r="L44" s="18">
        <f>K44^0.5</f>
        <v>0.2112511740270491</v>
      </c>
    </row>
    <row r="45" spans="3:12" x14ac:dyDescent="0.25">
      <c r="C45" s="13">
        <f t="array" ref="C45:E47">MMULT(C39:E41,C34:E36)</f>
        <v>1</v>
      </c>
      <c r="D45" s="13">
        <v>-1.1102230246251565E-16</v>
      </c>
      <c r="E45" s="13">
        <v>0</v>
      </c>
    </row>
    <row r="46" spans="3:12" x14ac:dyDescent="0.25">
      <c r="C46" s="13">
        <v>-5.5511151231257827E-17</v>
      </c>
      <c r="D46" s="13">
        <v>1</v>
      </c>
      <c r="E46" s="13">
        <v>0</v>
      </c>
    </row>
    <row r="47" spans="3:12" x14ac:dyDescent="0.25">
      <c r="C47" s="13">
        <v>-1.3877787807814457E-17</v>
      </c>
      <c r="D47" s="13">
        <v>-1.3877787807814457E-17</v>
      </c>
      <c r="E47" s="13">
        <v>1</v>
      </c>
    </row>
    <row r="50" spans="1:12" ht="15.75" x14ac:dyDescent="0.25">
      <c r="A50" t="s">
        <v>22</v>
      </c>
      <c r="B50" s="9" t="s">
        <v>11</v>
      </c>
    </row>
    <row r="51" spans="1:12" x14ac:dyDescent="0.25">
      <c r="C51">
        <f>$D$6^2</f>
        <v>4.0000000000000008E-2</v>
      </c>
      <c r="D51">
        <f>$D$6*$D$7*$E$6</f>
        <v>6.8400000000000006E-3</v>
      </c>
    </row>
    <row r="52" spans="1:12" x14ac:dyDescent="0.25">
      <c r="C52">
        <f>D51</f>
        <v>6.8400000000000006E-3</v>
      </c>
      <c r="D52">
        <f>$D$7^2</f>
        <v>0.1444</v>
      </c>
    </row>
    <row r="53" spans="1:12" x14ac:dyDescent="0.25">
      <c r="G53" t="s">
        <v>12</v>
      </c>
    </row>
    <row r="54" spans="1:12" x14ac:dyDescent="0.25">
      <c r="C54">
        <f>2*C51</f>
        <v>8.0000000000000016E-2</v>
      </c>
      <c r="D54">
        <f>2*D51</f>
        <v>1.3680000000000001E-2</v>
      </c>
      <c r="E54">
        <v>1</v>
      </c>
      <c r="G54">
        <v>0</v>
      </c>
    </row>
    <row r="55" spans="1:12" x14ac:dyDescent="0.25">
      <c r="C55">
        <f>2*C52</f>
        <v>1.3680000000000001E-2</v>
      </c>
      <c r="D55">
        <f>2*D52</f>
        <v>0.2888</v>
      </c>
      <c r="E55">
        <v>1</v>
      </c>
      <c r="G55">
        <v>0</v>
      </c>
    </row>
    <row r="56" spans="1:12" x14ac:dyDescent="0.25">
      <c r="C56">
        <v>1</v>
      </c>
      <c r="D56">
        <v>1</v>
      </c>
      <c r="E56">
        <v>0</v>
      </c>
      <c r="G56">
        <v>1</v>
      </c>
    </row>
    <row r="58" spans="1:12" x14ac:dyDescent="0.25">
      <c r="H58" t="s">
        <v>14</v>
      </c>
    </row>
    <row r="59" spans="1:12" x14ac:dyDescent="0.25">
      <c r="C59">
        <f t="array" ref="C59:E61">MINVERSE(C54:E56)</f>
        <v>2.9287722586691665</v>
      </c>
      <c r="D59">
        <v>-2.928772258669166</v>
      </c>
      <c r="E59">
        <v>0.80576382380506084</v>
      </c>
      <c r="G59" t="s">
        <v>15</v>
      </c>
      <c r="H59">
        <f t="array" ref="H59:H61">MMULT(C59:E61,G54:G56)</f>
        <v>0.80576382380506084</v>
      </c>
    </row>
    <row r="60" spans="1:12" x14ac:dyDescent="0.25">
      <c r="C60">
        <v>-2.9287722586691665</v>
      </c>
      <c r="D60">
        <v>2.928772258669166</v>
      </c>
      <c r="E60">
        <v>0.19423617619493916</v>
      </c>
      <c r="G60" t="s">
        <v>16</v>
      </c>
      <c r="H60">
        <v>0.19423617619493916</v>
      </c>
    </row>
    <row r="61" spans="1:12" x14ac:dyDescent="0.25">
      <c r="C61">
        <v>0.80576382380506095</v>
      </c>
      <c r="D61">
        <v>0.19423617619493916</v>
      </c>
      <c r="E61">
        <v>-6.7118256794751655E-2</v>
      </c>
      <c r="H61">
        <v>-6.7118256794751655E-2</v>
      </c>
    </row>
    <row r="63" spans="1:12" x14ac:dyDescent="0.25">
      <c r="G63" s="11" t="s">
        <v>17</v>
      </c>
      <c r="H63" s="12">
        <f>SUM(H59:H60)</f>
        <v>1</v>
      </c>
      <c r="J63" s="14" t="s">
        <v>18</v>
      </c>
      <c r="K63" s="17" t="s">
        <v>19</v>
      </c>
      <c r="L63" s="19" t="s">
        <v>20</v>
      </c>
    </row>
    <row r="64" spans="1:12" x14ac:dyDescent="0.25">
      <c r="C64" t="s">
        <v>13</v>
      </c>
      <c r="J64" s="15">
        <f>H59*C6+H60*C7</f>
        <v>0.22467432052483599</v>
      </c>
      <c r="K64" s="16">
        <f>H59^2*$D$6^2+H60^2*$D$7^2+2*H59*H60*D51</f>
        <v>3.3559128397375827E-2</v>
      </c>
      <c r="L64" s="18">
        <f>K64^0.5</f>
        <v>0.18319150743791543</v>
      </c>
    </row>
    <row r="65" spans="3:5" x14ac:dyDescent="0.25">
      <c r="C65" s="10">
        <f t="array" ref="C65:E67">MMULT(C59:E61,C54:E56)</f>
        <v>1</v>
      </c>
      <c r="D65" s="10">
        <v>-1.1102230246251565E-16</v>
      </c>
      <c r="E65" s="10">
        <v>4.4408920985006262E-16</v>
      </c>
    </row>
    <row r="66" spans="3:5" x14ac:dyDescent="0.25">
      <c r="C66" s="10">
        <v>0</v>
      </c>
      <c r="D66" s="10">
        <v>1</v>
      </c>
      <c r="E66" s="10">
        <v>-4.4408920985006262E-16</v>
      </c>
    </row>
    <row r="67" spans="3:5" x14ac:dyDescent="0.25">
      <c r="C67" s="10">
        <v>0</v>
      </c>
      <c r="D67" s="10">
        <v>1.3877787807814457E-17</v>
      </c>
      <c r="E67" s="10"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0471-7DBD-40AE-96FA-B76E6721F941}">
  <dimension ref="A1:N43"/>
  <sheetViews>
    <sheetView topLeftCell="A16" zoomScale="160" zoomScaleNormal="160" workbookViewId="0">
      <selection activeCell="H34" sqref="H34"/>
    </sheetView>
  </sheetViews>
  <sheetFormatPr defaultRowHeight="15" x14ac:dyDescent="0.25"/>
  <sheetData>
    <row r="1" spans="1:7" ht="15.75" thickBot="1" x14ac:dyDescent="0.3">
      <c r="A1" s="22"/>
      <c r="B1" s="23" t="s">
        <v>30</v>
      </c>
      <c r="C1" s="23" t="s">
        <v>31</v>
      </c>
      <c r="D1" s="23" t="s">
        <v>32</v>
      </c>
      <c r="E1" s="24"/>
      <c r="F1" s="30" t="s">
        <v>33</v>
      </c>
      <c r="G1" s="31"/>
    </row>
    <row r="2" spans="1:7" ht="15.75" thickBot="1" x14ac:dyDescent="0.3">
      <c r="A2" s="25" t="s">
        <v>34</v>
      </c>
      <c r="B2" s="26">
        <v>0.04</v>
      </c>
      <c r="C2" s="26">
        <v>1.4999999999999999E-2</v>
      </c>
      <c r="D2" s="26">
        <v>0.03</v>
      </c>
      <c r="E2" s="27"/>
      <c r="F2" s="28" t="s">
        <v>35</v>
      </c>
      <c r="G2" s="26">
        <v>2.2999999999999998</v>
      </c>
    </row>
    <row r="3" spans="1:7" ht="15.75" thickBot="1" x14ac:dyDescent="0.3">
      <c r="A3" s="25" t="s">
        <v>36</v>
      </c>
      <c r="B3" s="26">
        <v>0.6</v>
      </c>
      <c r="C3" s="26">
        <v>0.04</v>
      </c>
      <c r="D3" s="26">
        <v>5.5E-2</v>
      </c>
      <c r="E3" s="27"/>
      <c r="F3" s="28" t="s">
        <v>37</v>
      </c>
      <c r="G3" s="26">
        <v>-1.8</v>
      </c>
    </row>
    <row r="4" spans="1:7" ht="15.75" thickBot="1" x14ac:dyDescent="0.3">
      <c r="A4" s="29"/>
      <c r="B4" s="27"/>
      <c r="C4" s="27"/>
      <c r="D4" s="27"/>
      <c r="E4" s="27"/>
      <c r="F4" s="28" t="s">
        <v>38</v>
      </c>
      <c r="G4" s="26">
        <v>0.3</v>
      </c>
    </row>
    <row r="7" spans="1:7" x14ac:dyDescent="0.25">
      <c r="A7" t="s">
        <v>39</v>
      </c>
    </row>
    <row r="8" spans="1:7" x14ac:dyDescent="0.25">
      <c r="B8">
        <f>B3^2</f>
        <v>0.36</v>
      </c>
      <c r="C8">
        <f>G2</f>
        <v>2.2999999999999998</v>
      </c>
      <c r="D8">
        <f>G3</f>
        <v>-1.8</v>
      </c>
    </row>
    <row r="9" spans="1:7" x14ac:dyDescent="0.25">
      <c r="B9">
        <f t="array" ref="B9:B10">TRANSPOSE(C8:D8)</f>
        <v>2.2999999999999998</v>
      </c>
      <c r="C9">
        <f>C3^2</f>
        <v>1.6000000000000001E-3</v>
      </c>
      <c r="D9">
        <f>G4</f>
        <v>0.3</v>
      </c>
    </row>
    <row r="10" spans="1:7" x14ac:dyDescent="0.25">
      <c r="B10">
        <v>-1.8</v>
      </c>
      <c r="C10">
        <f>D9</f>
        <v>0.3</v>
      </c>
      <c r="D10">
        <f>D3^2</f>
        <v>3.0249999999999999E-3</v>
      </c>
    </row>
    <row r="13" spans="1:7" x14ac:dyDescent="0.25">
      <c r="A13" t="s">
        <v>25</v>
      </c>
      <c r="G13" t="s">
        <v>40</v>
      </c>
    </row>
    <row r="14" spans="1:7" x14ac:dyDescent="0.25">
      <c r="B14">
        <f>2*B8</f>
        <v>0.72</v>
      </c>
      <c r="C14">
        <f t="shared" ref="C14:D14" si="0">2*C8</f>
        <v>4.5999999999999996</v>
      </c>
      <c r="D14">
        <f t="shared" si="0"/>
        <v>-3.6</v>
      </c>
      <c r="E14">
        <v>1</v>
      </c>
      <c r="G14">
        <v>0</v>
      </c>
    </row>
    <row r="15" spans="1:7" x14ac:dyDescent="0.25">
      <c r="B15">
        <f t="shared" ref="B15:D15" si="1">2*B9</f>
        <v>4.5999999999999996</v>
      </c>
      <c r="C15">
        <f t="shared" si="1"/>
        <v>3.2000000000000002E-3</v>
      </c>
      <c r="D15">
        <f t="shared" si="1"/>
        <v>0.6</v>
      </c>
      <c r="E15">
        <v>1</v>
      </c>
      <c r="G15">
        <v>0</v>
      </c>
    </row>
    <row r="16" spans="1:7" x14ac:dyDescent="0.25">
      <c r="B16">
        <f t="shared" ref="B16:D16" si="2">2*B10</f>
        <v>-3.6</v>
      </c>
      <c r="C16">
        <f t="shared" si="2"/>
        <v>0.6</v>
      </c>
      <c r="D16">
        <f t="shared" si="2"/>
        <v>6.0499999999999998E-3</v>
      </c>
      <c r="E16">
        <v>1</v>
      </c>
      <c r="G16">
        <v>0</v>
      </c>
    </row>
    <row r="17" spans="1:13" x14ac:dyDescent="0.25">
      <c r="B17">
        <v>1</v>
      </c>
      <c r="C17">
        <v>1</v>
      </c>
      <c r="D17">
        <v>1</v>
      </c>
      <c r="E17">
        <v>0</v>
      </c>
      <c r="G17">
        <v>1</v>
      </c>
    </row>
    <row r="18" spans="1:13" x14ac:dyDescent="0.25">
      <c r="J18" t="s">
        <v>18</v>
      </c>
      <c r="K18" t="s">
        <v>19</v>
      </c>
      <c r="L18" t="s">
        <v>20</v>
      </c>
    </row>
    <row r="19" spans="1:13" x14ac:dyDescent="0.25">
      <c r="A19" t="s">
        <v>41</v>
      </c>
      <c r="G19" t="s">
        <v>14</v>
      </c>
      <c r="J19">
        <f>G20*B2+G21*C2+G22*D2</f>
        <v>2.2803245195432233E-2</v>
      </c>
      <c r="K19">
        <f>G20^2*B8+G21^2*C9+G22^2*D10+2*G20*G21*C8+2*G20*G22*D8+2*G21*G22*D9</f>
        <v>0.15084480583367035</v>
      </c>
      <c r="L19">
        <f>K19^0.5</f>
        <v>0.38838744294025568</v>
      </c>
      <c r="M19">
        <f>J19/L19</f>
        <v>5.871262217645893E-2</v>
      </c>
    </row>
    <row r="20" spans="1:13" x14ac:dyDescent="0.25">
      <c r="B20">
        <f t="array" ref="B20:E23">MINVERSE(B14:E17)</f>
        <v>1.7695809933471213E-2</v>
      </c>
      <c r="C20">
        <v>0.11303398290529387</v>
      </c>
      <c r="D20">
        <v>-0.1307297928387651</v>
      </c>
      <c r="E20">
        <v>-3.3245587360054419E-3</v>
      </c>
      <c r="G20">
        <f t="array" ref="G20:G23">MMULT(B20:E23,G14:G17)</f>
        <v>-3.3245587360054419E-3</v>
      </c>
    </row>
    <row r="21" spans="1:13" x14ac:dyDescent="0.25">
      <c r="B21">
        <v>0.1130339829052939</v>
      </c>
      <c r="C21">
        <v>-0.11778952284122572</v>
      </c>
      <c r="D21">
        <v>4.7555399359317987E-3</v>
      </c>
      <c r="E21">
        <v>0.47756728114718111</v>
      </c>
      <c r="G21">
        <v>0.47756728114718111</v>
      </c>
    </row>
    <row r="22" spans="1:13" x14ac:dyDescent="0.25">
      <c r="B22">
        <v>-0.1307297928387651</v>
      </c>
      <c r="C22">
        <v>4.7555399359318065E-3</v>
      </c>
      <c r="D22">
        <v>0.12597425290283329</v>
      </c>
      <c r="E22">
        <v>0.52575727758882451</v>
      </c>
      <c r="G22">
        <v>0.52575727758882451</v>
      </c>
    </row>
    <row r="23" spans="1:13" x14ac:dyDescent="0.25">
      <c r="B23">
        <v>-3.3245587360054584E-3</v>
      </c>
      <c r="C23">
        <v>0.47756728114718106</v>
      </c>
      <c r="D23">
        <v>0.5257572775888244</v>
      </c>
      <c r="E23">
        <v>-0.3016896116673406</v>
      </c>
      <c r="G23">
        <v>-0.3016896116673406</v>
      </c>
    </row>
    <row r="25" spans="1:13" x14ac:dyDescent="0.25">
      <c r="F25" t="s">
        <v>42</v>
      </c>
      <c r="G25">
        <f>SUM(G20:G22)</f>
        <v>1.0000000000000002</v>
      </c>
    </row>
    <row r="27" spans="1:13" x14ac:dyDescent="0.25">
      <c r="A27" t="s">
        <v>43</v>
      </c>
    </row>
    <row r="29" spans="1:13" x14ac:dyDescent="0.25">
      <c r="A29" t="s">
        <v>25</v>
      </c>
      <c r="H29" t="s">
        <v>40</v>
      </c>
    </row>
    <row r="30" spans="1:13" x14ac:dyDescent="0.25">
      <c r="B30">
        <f>B14</f>
        <v>0.72</v>
      </c>
      <c r="C30">
        <f t="shared" ref="C30:E30" si="3">C14</f>
        <v>4.5999999999999996</v>
      </c>
      <c r="D30">
        <f t="shared" si="3"/>
        <v>-3.6</v>
      </c>
      <c r="E30">
        <f t="shared" si="3"/>
        <v>1</v>
      </c>
      <c r="F30">
        <f t="array" ref="F30:F32">TRANSPOSE(B34:D34)</f>
        <v>0.04</v>
      </c>
      <c r="H30">
        <v>0</v>
      </c>
    </row>
    <row r="31" spans="1:13" x14ac:dyDescent="0.25">
      <c r="B31">
        <f t="shared" ref="B31:E31" si="4">B15</f>
        <v>4.5999999999999996</v>
      </c>
      <c r="C31">
        <f t="shared" si="4"/>
        <v>3.2000000000000002E-3</v>
      </c>
      <c r="D31">
        <f t="shared" si="4"/>
        <v>0.6</v>
      </c>
      <c r="E31">
        <f t="shared" si="4"/>
        <v>1</v>
      </c>
      <c r="F31">
        <v>1.4999999999999999E-2</v>
      </c>
      <c r="H31">
        <v>0</v>
      </c>
    </row>
    <row r="32" spans="1:13" x14ac:dyDescent="0.25">
      <c r="B32">
        <f t="shared" ref="B32:E32" si="5">B16</f>
        <v>-3.6</v>
      </c>
      <c r="C32">
        <f t="shared" si="5"/>
        <v>0.6</v>
      </c>
      <c r="D32">
        <f t="shared" si="5"/>
        <v>6.0499999999999998E-3</v>
      </c>
      <c r="E32">
        <f t="shared" si="5"/>
        <v>1</v>
      </c>
      <c r="F32">
        <v>0.03</v>
      </c>
      <c r="H32">
        <v>0</v>
      </c>
    </row>
    <row r="33" spans="1:14" x14ac:dyDescent="0.25">
      <c r="B33">
        <f t="shared" ref="B33:F34" si="6">B17</f>
        <v>1</v>
      </c>
      <c r="C33">
        <f t="shared" si="6"/>
        <v>1</v>
      </c>
      <c r="D33">
        <f t="shared" si="6"/>
        <v>1</v>
      </c>
      <c r="E33">
        <f t="shared" si="6"/>
        <v>0</v>
      </c>
      <c r="F33">
        <f t="shared" si="6"/>
        <v>0</v>
      </c>
      <c r="H33">
        <v>1</v>
      </c>
    </row>
    <row r="34" spans="1:14" x14ac:dyDescent="0.25">
      <c r="B34">
        <f>B2</f>
        <v>0.04</v>
      </c>
      <c r="C34">
        <f t="shared" ref="C34:D34" si="7">C2</f>
        <v>1.4999999999999999E-2</v>
      </c>
      <c r="D34">
        <f t="shared" si="7"/>
        <v>0.03</v>
      </c>
      <c r="E34">
        <f t="shared" si="6"/>
        <v>0</v>
      </c>
      <c r="F34">
        <f t="shared" si="6"/>
        <v>0</v>
      </c>
      <c r="H34" s="16">
        <v>2.5000000000000001E-2</v>
      </c>
    </row>
    <row r="36" spans="1:14" x14ac:dyDescent="0.25">
      <c r="A36" t="s">
        <v>44</v>
      </c>
      <c r="H36" t="s">
        <v>14</v>
      </c>
      <c r="K36" t="s">
        <v>18</v>
      </c>
      <c r="L36" t="s">
        <v>19</v>
      </c>
      <c r="M36" t="s">
        <v>20</v>
      </c>
    </row>
    <row r="37" spans="1:14" x14ac:dyDescent="0.25">
      <c r="B37">
        <f t="array" ref="B37:F41">MINVERSE(B30:F34)</f>
        <v>5.7018303825833137E-2</v>
      </c>
      <c r="C37">
        <v>3.8012202550555436E-2</v>
      </c>
      <c r="D37">
        <v>-9.503050637638856E-2</v>
      </c>
      <c r="E37">
        <v>-0.59380857244856622</v>
      </c>
      <c r="F37">
        <v>25.894735975160312</v>
      </c>
      <c r="H37" s="32">
        <f t="array" ref="H37:H41">MMULT(B37:F41,H30:H34)</f>
        <v>5.355982693044159E-2</v>
      </c>
      <c r="K37" s="16">
        <f t="array" ref="K37">MMULT(B2:D2,H37:H39)</f>
        <v>2.5000000000000001E-2</v>
      </c>
      <c r="L37">
        <f>H37^2*B8+H38^2*C9+H39^2*D10+2*H37*H38*C8+2*H37*H39*D8+2*H38*H39*D9</f>
        <v>0.10969999261929723</v>
      </c>
      <c r="M37">
        <f>L37^0.5</f>
        <v>0.33120989209155155</v>
      </c>
      <c r="N37">
        <f>K37/M37</f>
        <v>7.5480837369101328E-2</v>
      </c>
    </row>
    <row r="38" spans="1:14" x14ac:dyDescent="0.25">
      <c r="B38">
        <v>3.801220255055545E-2</v>
      </c>
      <c r="C38">
        <v>2.5341468367036952E-2</v>
      </c>
      <c r="D38">
        <v>-6.3353670917592433E-2</v>
      </c>
      <c r="E38">
        <v>1.6041276183676236</v>
      </c>
      <c r="F38">
        <v>-49.40350934989317</v>
      </c>
      <c r="H38" s="32">
        <v>0.36903988462029425</v>
      </c>
    </row>
    <row r="39" spans="1:14" x14ac:dyDescent="0.25">
      <c r="B39">
        <v>-9.5030506376388602E-2</v>
      </c>
      <c r="C39">
        <v>-6.335367091759235E-2</v>
      </c>
      <c r="D39">
        <v>0.15838417729398102</v>
      </c>
      <c r="E39">
        <v>-1.0319045919056771E-2</v>
      </c>
      <c r="F39">
        <v>23.508773374732836</v>
      </c>
      <c r="H39" s="32">
        <v>0.57740028844926417</v>
      </c>
    </row>
    <row r="40" spans="1:14" x14ac:dyDescent="0.25">
      <c r="B40">
        <v>-0.59380857244856522</v>
      </c>
      <c r="C40">
        <v>1.604127618367623</v>
      </c>
      <c r="D40">
        <v>-1.0319045919057782E-2</v>
      </c>
      <c r="E40">
        <v>8.5652803064797212</v>
      </c>
      <c r="F40">
        <v>-388.84684360291072</v>
      </c>
      <c r="H40">
        <v>-1.1558907835930476</v>
      </c>
    </row>
    <row r="41" spans="1:14" x14ac:dyDescent="0.25">
      <c r="B41">
        <v>25.89473597516028</v>
      </c>
      <c r="C41">
        <v>-49.403509349893135</v>
      </c>
      <c r="D41">
        <v>23.508773374732858</v>
      </c>
      <c r="E41">
        <v>-388.84684360291067</v>
      </c>
      <c r="F41">
        <v>17052.259021483551</v>
      </c>
      <c r="H41">
        <v>37.459631934178105</v>
      </c>
    </row>
    <row r="43" spans="1:14" x14ac:dyDescent="0.25">
      <c r="H43">
        <f>SUM(H37:H39)</f>
        <v>1</v>
      </c>
    </row>
  </sheetData>
  <mergeCells count="1"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9447-7AEF-43B3-AD76-AE322FEA51A0}">
  <dimension ref="A1:W59"/>
  <sheetViews>
    <sheetView topLeftCell="A16" workbookViewId="0">
      <selection activeCell="T50" sqref="T50"/>
    </sheetView>
  </sheetViews>
  <sheetFormatPr defaultRowHeight="15" x14ac:dyDescent="0.25"/>
  <sheetData>
    <row r="1" spans="1:20" ht="16.5" thickBot="1" x14ac:dyDescent="0.3">
      <c r="A1" s="33" t="s">
        <v>45</v>
      </c>
      <c r="B1" s="23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3" t="s">
        <v>52</v>
      </c>
      <c r="I1" s="23" t="s">
        <v>53</v>
      </c>
    </row>
    <row r="2" spans="1:20" ht="16.5" thickBot="1" x14ac:dyDescent="0.3">
      <c r="A2" s="29" t="s">
        <v>46</v>
      </c>
      <c r="B2" s="26">
        <v>80.5</v>
      </c>
      <c r="C2" s="26">
        <v>82.7</v>
      </c>
      <c r="D2" s="26">
        <v>85.3</v>
      </c>
      <c r="E2" s="26">
        <v>85.1</v>
      </c>
      <c r="F2" s="26">
        <v>123.9</v>
      </c>
      <c r="G2" s="26">
        <v>22</v>
      </c>
      <c r="H2" s="26">
        <v>3.5</v>
      </c>
      <c r="I2" s="26">
        <v>1.9</v>
      </c>
    </row>
    <row r="3" spans="1:20" ht="16.5" thickBot="1" x14ac:dyDescent="0.3">
      <c r="A3" s="29" t="s">
        <v>47</v>
      </c>
      <c r="B3" s="26">
        <v>82.7</v>
      </c>
      <c r="C3" s="26">
        <v>184.7</v>
      </c>
      <c r="D3" s="26">
        <v>131.5</v>
      </c>
      <c r="E3" s="26">
        <v>69.400000000000006</v>
      </c>
      <c r="F3" s="26">
        <v>49.5</v>
      </c>
      <c r="G3" s="26">
        <v>58</v>
      </c>
      <c r="H3" s="26">
        <v>-9.9</v>
      </c>
      <c r="I3" s="26">
        <v>6.1</v>
      </c>
    </row>
    <row r="4" spans="1:20" ht="16.5" thickBot="1" x14ac:dyDescent="0.3">
      <c r="A4" s="29" t="s">
        <v>48</v>
      </c>
      <c r="B4" s="26">
        <v>85.3</v>
      </c>
      <c r="C4" s="26">
        <v>131.5</v>
      </c>
      <c r="D4" s="26">
        <v>374.2</v>
      </c>
      <c r="E4" s="26">
        <v>384.5</v>
      </c>
      <c r="F4" s="26">
        <v>366.5</v>
      </c>
      <c r="G4" s="26">
        <v>103.8</v>
      </c>
      <c r="H4" s="26">
        <v>343.5</v>
      </c>
      <c r="I4" s="26">
        <v>2.9</v>
      </c>
      <c r="M4" t="s">
        <v>14</v>
      </c>
      <c r="N4">
        <f t="array" ref="N4:T4">TRANSPOSE(K23:K29)</f>
        <v>2.1371997706364434</v>
      </c>
      <c r="O4">
        <v>4.4434719551724663E-2</v>
      </c>
      <c r="P4">
        <v>-0.29066879751558022</v>
      </c>
      <c r="Q4">
        <v>-0.23027284839811862</v>
      </c>
      <c r="R4">
        <v>-0.7733258714631146</v>
      </c>
      <c r="S4">
        <v>-1.1224034096525217</v>
      </c>
      <c r="T4">
        <v>1.2350364368411666</v>
      </c>
    </row>
    <row r="5" spans="1:20" ht="16.5" thickBot="1" x14ac:dyDescent="0.3">
      <c r="A5" s="29" t="s">
        <v>49</v>
      </c>
      <c r="B5" s="26">
        <v>85.1</v>
      </c>
      <c r="C5" s="26">
        <v>69.400000000000006</v>
      </c>
      <c r="D5" s="26">
        <v>384.5</v>
      </c>
      <c r="E5" s="26">
        <v>684.8</v>
      </c>
      <c r="F5" s="26">
        <v>599.1</v>
      </c>
      <c r="G5" s="26">
        <v>51.6</v>
      </c>
      <c r="H5" s="26">
        <v>502.7</v>
      </c>
      <c r="I5" s="26">
        <v>4</v>
      </c>
    </row>
    <row r="6" spans="1:20" ht="16.5" thickBot="1" x14ac:dyDescent="0.3">
      <c r="A6" s="29" t="s">
        <v>50</v>
      </c>
      <c r="B6" s="26">
        <v>123.9</v>
      </c>
      <c r="C6" s="26">
        <v>49.5</v>
      </c>
      <c r="D6" s="26">
        <v>366.5</v>
      </c>
      <c r="E6" s="26">
        <v>599.1</v>
      </c>
      <c r="F6" s="26">
        <v>871.4</v>
      </c>
      <c r="G6" s="26">
        <v>-21.2</v>
      </c>
      <c r="H6" s="26">
        <v>520.4</v>
      </c>
      <c r="I6" s="26">
        <v>5.7</v>
      </c>
      <c r="M6" t="s">
        <v>56</v>
      </c>
    </row>
    <row r="7" spans="1:20" ht="16.5" thickBot="1" x14ac:dyDescent="0.3">
      <c r="A7" s="29" t="s">
        <v>51</v>
      </c>
      <c r="B7" s="26">
        <v>22</v>
      </c>
      <c r="C7" s="26">
        <v>58</v>
      </c>
      <c r="D7" s="26">
        <v>103.8</v>
      </c>
      <c r="E7" s="26">
        <v>51.6</v>
      </c>
      <c r="F7" s="26">
        <v>-21.2</v>
      </c>
      <c r="G7" s="26">
        <v>89.7</v>
      </c>
      <c r="H7" s="26">
        <v>74.400000000000006</v>
      </c>
      <c r="I7" s="26">
        <v>3.4</v>
      </c>
      <c r="N7">
        <f>$K23*B2*N$4</f>
        <v>367.69364019848155</v>
      </c>
      <c r="O7">
        <f t="shared" ref="O7:T7" si="0">$K23*C2*O$4</f>
        <v>7.8536776503117007</v>
      </c>
      <c r="P7">
        <f t="shared" si="0"/>
        <v>-52.989834613639289</v>
      </c>
      <c r="Q7">
        <f t="shared" si="0"/>
        <v>-41.881035604200093</v>
      </c>
      <c r="R7">
        <f t="shared" si="0"/>
        <v>-204.77595732714451</v>
      </c>
      <c r="S7">
        <f t="shared" si="0"/>
        <v>-52.773606812760491</v>
      </c>
      <c r="T7">
        <f t="shared" si="0"/>
        <v>9.2383185634060716</v>
      </c>
    </row>
    <row r="8" spans="1:20" ht="16.5" thickBot="1" x14ac:dyDescent="0.3">
      <c r="A8" s="29" t="s">
        <v>52</v>
      </c>
      <c r="B8" s="26">
        <v>3.5</v>
      </c>
      <c r="C8" s="26">
        <v>-9.9</v>
      </c>
      <c r="D8" s="26">
        <v>343.5</v>
      </c>
      <c r="E8" s="26">
        <v>502.7</v>
      </c>
      <c r="F8" s="26">
        <v>520.4</v>
      </c>
      <c r="G8" s="26">
        <v>74.400000000000006</v>
      </c>
      <c r="H8" s="26">
        <v>574.6</v>
      </c>
      <c r="I8" s="26">
        <v>4.9000000000000004</v>
      </c>
      <c r="N8">
        <f t="shared" ref="N8:N12" si="1">$K24*B3*N$4</f>
        <v>7.8536776503117007</v>
      </c>
      <c r="O8">
        <f t="shared" ref="O8:O13" si="2">$K24*C3*O$4</f>
        <v>0.3646798625129859</v>
      </c>
      <c r="P8">
        <f t="shared" ref="P8:P13" si="3">$K24*D3*P$4</f>
        <v>-1.6984259247555031</v>
      </c>
      <c r="Q8">
        <f t="shared" ref="Q8:Q13" si="4">$K24*E3*Q$4</f>
        <v>-0.71010839506293655</v>
      </c>
      <c r="R8">
        <f t="shared" ref="R8:R13" si="5">$K24*F3*R$4</f>
        <v>-1.7009446519175502</v>
      </c>
      <c r="S8">
        <f t="shared" ref="S8:S13" si="6">$K24*G3*S$4</f>
        <v>-2.8926734824449416</v>
      </c>
      <c r="T8">
        <f t="shared" ref="T8:T13" si="7">$K24*H3*T$4</f>
        <v>-0.54329712730126567</v>
      </c>
    </row>
    <row r="9" spans="1:20" x14ac:dyDescent="0.25">
      <c r="N9">
        <f t="shared" si="1"/>
        <v>-52.989834613639289</v>
      </c>
      <c r="O9">
        <f t="shared" si="2"/>
        <v>-1.6984259247555034</v>
      </c>
      <c r="P9">
        <f t="shared" si="3"/>
        <v>31.615540513553192</v>
      </c>
      <c r="Q9">
        <f t="shared" si="4"/>
        <v>25.735789232609743</v>
      </c>
      <c r="R9">
        <f t="shared" si="5"/>
        <v>82.382493469961972</v>
      </c>
      <c r="S9">
        <f t="shared" si="6"/>
        <v>33.864506008870691</v>
      </c>
      <c r="T9">
        <f t="shared" si="7"/>
        <v>-123.31188198069249</v>
      </c>
    </row>
    <row r="10" spans="1:20" x14ac:dyDescent="0.25">
      <c r="A10" s="34" t="s">
        <v>54</v>
      </c>
      <c r="N10">
        <f t="shared" si="1"/>
        <v>-41.881035604200086</v>
      </c>
      <c r="O10">
        <f t="shared" si="2"/>
        <v>-0.71010839506293655</v>
      </c>
      <c r="P10">
        <f t="shared" si="3"/>
        <v>25.735789232609743</v>
      </c>
      <c r="Q10">
        <f t="shared" si="4"/>
        <v>36.311920408985422</v>
      </c>
      <c r="R10">
        <f t="shared" si="5"/>
        <v>106.68530234101566</v>
      </c>
      <c r="S10">
        <f t="shared" si="6"/>
        <v>13.336485957930243</v>
      </c>
      <c r="T10">
        <f t="shared" si="7"/>
        <v>-142.96554656054386</v>
      </c>
    </row>
    <row r="11" spans="1:20" x14ac:dyDescent="0.25">
      <c r="N11">
        <f t="shared" si="1"/>
        <v>-204.77595732714454</v>
      </c>
      <c r="O11">
        <f t="shared" si="2"/>
        <v>-1.7009446519175502</v>
      </c>
      <c r="P11">
        <f t="shared" si="3"/>
        <v>82.382493469961972</v>
      </c>
      <c r="Q11">
        <f t="shared" si="4"/>
        <v>106.68530234101567</v>
      </c>
      <c r="R11">
        <f t="shared" si="5"/>
        <v>521.12587208740536</v>
      </c>
      <c r="S11">
        <f t="shared" si="6"/>
        <v>-18.4012522119374</v>
      </c>
      <c r="T11">
        <f t="shared" si="7"/>
        <v>-497.02656123214894</v>
      </c>
    </row>
    <row r="12" spans="1:20" x14ac:dyDescent="0.25">
      <c r="A12" s="34" t="s">
        <v>25</v>
      </c>
      <c r="K12" t="s">
        <v>40</v>
      </c>
      <c r="N12">
        <f t="shared" si="1"/>
        <v>-52.773606812760498</v>
      </c>
      <c r="O12">
        <f t="shared" si="2"/>
        <v>-2.8926734824449412</v>
      </c>
      <c r="P12">
        <f t="shared" si="3"/>
        <v>33.864506008870691</v>
      </c>
      <c r="Q12">
        <f t="shared" si="4"/>
        <v>13.336485957930243</v>
      </c>
      <c r="R12">
        <f t="shared" si="5"/>
        <v>-18.4012522119374</v>
      </c>
      <c r="S12">
        <f t="shared" si="6"/>
        <v>113.0031104357647</v>
      </c>
      <c r="T12">
        <f t="shared" si="7"/>
        <v>-103.13395761701864</v>
      </c>
    </row>
    <row r="13" spans="1:20" x14ac:dyDescent="0.25">
      <c r="B13">
        <f>2*B2</f>
        <v>161</v>
      </c>
      <c r="C13">
        <f t="shared" ref="C13:H13" si="8">2*C2</f>
        <v>165.4</v>
      </c>
      <c r="D13">
        <f t="shared" si="8"/>
        <v>170.6</v>
      </c>
      <c r="E13">
        <f t="shared" si="8"/>
        <v>170.2</v>
      </c>
      <c r="F13">
        <f t="shared" si="8"/>
        <v>247.8</v>
      </c>
      <c r="G13">
        <f t="shared" si="8"/>
        <v>44</v>
      </c>
      <c r="H13">
        <f t="shared" si="8"/>
        <v>7</v>
      </c>
      <c r="I13">
        <v>1</v>
      </c>
      <c r="K13">
        <v>0</v>
      </c>
      <c r="N13">
        <f>$K29*B8*N$4</f>
        <v>9.2383185634060698</v>
      </c>
      <c r="O13">
        <f t="shared" si="2"/>
        <v>-0.54329712730126567</v>
      </c>
      <c r="P13">
        <f t="shared" si="3"/>
        <v>-123.31188198069249</v>
      </c>
      <c r="Q13">
        <f t="shared" si="4"/>
        <v>-142.96554656054386</v>
      </c>
      <c r="R13">
        <f t="shared" si="5"/>
        <v>-497.02656123214899</v>
      </c>
      <c r="S13">
        <f t="shared" si="6"/>
        <v>-103.13395761701864</v>
      </c>
      <c r="T13">
        <f t="shared" si="7"/>
        <v>876.44599918693166</v>
      </c>
    </row>
    <row r="14" spans="1:20" x14ac:dyDescent="0.25">
      <c r="B14">
        <f t="shared" ref="B14:H14" si="9">2*B3</f>
        <v>165.4</v>
      </c>
      <c r="C14">
        <f t="shared" si="9"/>
        <v>369.4</v>
      </c>
      <c r="D14">
        <f t="shared" si="9"/>
        <v>263</v>
      </c>
      <c r="E14">
        <f t="shared" si="9"/>
        <v>138.80000000000001</v>
      </c>
      <c r="F14">
        <f t="shared" si="9"/>
        <v>99</v>
      </c>
      <c r="G14">
        <f t="shared" si="9"/>
        <v>116</v>
      </c>
      <c r="H14">
        <f t="shared" si="9"/>
        <v>-19.8</v>
      </c>
      <c r="I14">
        <v>1</v>
      </c>
      <c r="K14">
        <v>0</v>
      </c>
    </row>
    <row r="15" spans="1:20" x14ac:dyDescent="0.25">
      <c r="B15">
        <f t="shared" ref="B15:H15" si="10">2*B4</f>
        <v>170.6</v>
      </c>
      <c r="C15">
        <f t="shared" si="10"/>
        <v>263</v>
      </c>
      <c r="D15">
        <f t="shared" si="10"/>
        <v>748.4</v>
      </c>
      <c r="E15">
        <f t="shared" si="10"/>
        <v>769</v>
      </c>
      <c r="F15">
        <f t="shared" si="10"/>
        <v>733</v>
      </c>
      <c r="G15">
        <f t="shared" si="10"/>
        <v>207.6</v>
      </c>
      <c r="H15">
        <f t="shared" si="10"/>
        <v>687</v>
      </c>
      <c r="I15">
        <v>1</v>
      </c>
      <c r="K15">
        <v>0</v>
      </c>
    </row>
    <row r="16" spans="1:20" x14ac:dyDescent="0.25">
      <c r="B16">
        <f t="shared" ref="B16:H16" si="11">2*B5</f>
        <v>170.2</v>
      </c>
      <c r="C16">
        <f t="shared" si="11"/>
        <v>138.80000000000001</v>
      </c>
      <c r="D16">
        <f t="shared" si="11"/>
        <v>769</v>
      </c>
      <c r="E16">
        <f t="shared" si="11"/>
        <v>1369.6</v>
      </c>
      <c r="F16">
        <f t="shared" si="11"/>
        <v>1198.2</v>
      </c>
      <c r="G16">
        <f t="shared" si="11"/>
        <v>103.2</v>
      </c>
      <c r="H16">
        <f t="shared" si="11"/>
        <v>1005.4</v>
      </c>
      <c r="I16">
        <v>1</v>
      </c>
      <c r="K16">
        <v>0</v>
      </c>
    </row>
    <row r="17" spans="1:18" x14ac:dyDescent="0.25">
      <c r="B17">
        <f t="shared" ref="B17:H17" si="12">2*B6</f>
        <v>247.8</v>
      </c>
      <c r="C17">
        <f t="shared" si="12"/>
        <v>99</v>
      </c>
      <c r="D17">
        <f t="shared" si="12"/>
        <v>733</v>
      </c>
      <c r="E17">
        <f t="shared" si="12"/>
        <v>1198.2</v>
      </c>
      <c r="F17">
        <f t="shared" si="12"/>
        <v>1742.8</v>
      </c>
      <c r="G17">
        <f t="shared" si="12"/>
        <v>-42.4</v>
      </c>
      <c r="H17">
        <f t="shared" si="12"/>
        <v>1040.8</v>
      </c>
      <c r="I17">
        <v>1</v>
      </c>
      <c r="K17">
        <v>0</v>
      </c>
    </row>
    <row r="18" spans="1:18" x14ac:dyDescent="0.25">
      <c r="B18">
        <f t="shared" ref="B18:H18" si="13">2*B7</f>
        <v>44</v>
      </c>
      <c r="C18">
        <f t="shared" si="13"/>
        <v>116</v>
      </c>
      <c r="D18">
        <f t="shared" si="13"/>
        <v>207.6</v>
      </c>
      <c r="E18">
        <f t="shared" si="13"/>
        <v>103.2</v>
      </c>
      <c r="F18">
        <f t="shared" si="13"/>
        <v>-42.4</v>
      </c>
      <c r="G18">
        <f t="shared" si="13"/>
        <v>179.4</v>
      </c>
      <c r="H18">
        <f t="shared" si="13"/>
        <v>148.80000000000001</v>
      </c>
      <c r="I18">
        <v>1</v>
      </c>
      <c r="K18">
        <v>0</v>
      </c>
    </row>
    <row r="19" spans="1:18" x14ac:dyDescent="0.25">
      <c r="B19">
        <f t="shared" ref="B19:H19" si="14">2*B8</f>
        <v>7</v>
      </c>
      <c r="C19">
        <f t="shared" si="14"/>
        <v>-19.8</v>
      </c>
      <c r="D19">
        <f t="shared" si="14"/>
        <v>687</v>
      </c>
      <c r="E19">
        <f t="shared" si="14"/>
        <v>1005.4</v>
      </c>
      <c r="F19">
        <f t="shared" si="14"/>
        <v>1040.8</v>
      </c>
      <c r="G19">
        <f t="shared" si="14"/>
        <v>148.80000000000001</v>
      </c>
      <c r="H19">
        <f t="shared" si="14"/>
        <v>1149.2</v>
      </c>
      <c r="I19">
        <v>1</v>
      </c>
      <c r="K19">
        <v>0</v>
      </c>
    </row>
    <row r="20" spans="1:18" x14ac:dyDescent="0.25"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0</v>
      </c>
      <c r="K20">
        <v>1</v>
      </c>
    </row>
    <row r="22" spans="1:18" x14ac:dyDescent="0.25">
      <c r="A22" t="s">
        <v>55</v>
      </c>
      <c r="K22" t="s">
        <v>14</v>
      </c>
      <c r="O22" t="s">
        <v>18</v>
      </c>
      <c r="P22" t="s">
        <v>19</v>
      </c>
      <c r="Q22" t="s">
        <v>20</v>
      </c>
    </row>
    <row r="23" spans="1:18" x14ac:dyDescent="0.25">
      <c r="B23">
        <f t="array" ref="B23:I30">MINVERSE(B13:I20)</f>
        <v>7.7541972135672932E-2</v>
      </c>
      <c r="C23">
        <v>-6.1867287801396819E-3</v>
      </c>
      <c r="D23">
        <v>8.7884370989865148E-3</v>
      </c>
      <c r="E23">
        <v>-9.7098519637296276E-3</v>
      </c>
      <c r="F23">
        <v>-3.7687458357494111E-2</v>
      </c>
      <c r="G23">
        <v>-7.7748273977969518E-2</v>
      </c>
      <c r="H23">
        <v>4.5001903844673563E-2</v>
      </c>
      <c r="I23">
        <v>2.1371997706364434</v>
      </c>
      <c r="K23">
        <f t="array" ref="K23:K30">MMULT(B23:I30,K13:K20)</f>
        <v>2.1371997706364434</v>
      </c>
      <c r="O23">
        <f>SUMPRODUCT(K23:K29,I2:I8)</f>
        <v>0.3952499274504957</v>
      </c>
      <c r="P23">
        <f>SUM(N7:T13)</f>
        <v>15.143742058711155</v>
      </c>
      <c r="Q23">
        <f>P23^0.5</f>
        <v>3.8914961208654897</v>
      </c>
      <c r="R23">
        <f>O23/Q23</f>
        <v>0.10156760155335579</v>
      </c>
    </row>
    <row r="24" spans="1:18" x14ac:dyDescent="0.25">
      <c r="B24">
        <v>-6.1867287801396758E-3</v>
      </c>
      <c r="C24">
        <v>7.8030964488774862E-3</v>
      </c>
      <c r="D24">
        <v>-3.6166669747582608E-3</v>
      </c>
      <c r="E24">
        <v>1.6749741242662311E-4</v>
      </c>
      <c r="F24">
        <v>1.0562122322255593E-3</v>
      </c>
      <c r="G24">
        <v>-4.7766840729457241E-4</v>
      </c>
      <c r="H24">
        <v>1.2542580686628064E-3</v>
      </c>
      <c r="I24">
        <v>4.4434719551724663E-2</v>
      </c>
      <c r="K24">
        <v>4.4434719551724663E-2</v>
      </c>
    </row>
    <row r="25" spans="1:18" x14ac:dyDescent="0.25">
      <c r="B25">
        <v>8.7884370989864923E-3</v>
      </c>
      <c r="C25">
        <v>-3.6166669747582638E-3</v>
      </c>
      <c r="D25">
        <v>7.5439437839265409E-3</v>
      </c>
      <c r="E25">
        <v>-2.2862793656756196E-3</v>
      </c>
      <c r="F25">
        <v>-4.259006318125153E-3</v>
      </c>
      <c r="G25">
        <v>-8.7937880025464495E-3</v>
      </c>
      <c r="H25">
        <v>2.6233597781924281E-3</v>
      </c>
      <c r="I25">
        <v>-0.29066879751558022</v>
      </c>
      <c r="K25">
        <v>-0.29066879751558022</v>
      </c>
    </row>
    <row r="26" spans="1:18" x14ac:dyDescent="0.25">
      <c r="B26">
        <v>-9.7098519637296172E-3</v>
      </c>
      <c r="C26">
        <v>1.6749741242662834E-4</v>
      </c>
      <c r="D26">
        <v>-2.28627936567562E-3</v>
      </c>
      <c r="E26">
        <v>4.2780444048604272E-3</v>
      </c>
      <c r="F26">
        <v>4.0717684774882702E-3</v>
      </c>
      <c r="G26">
        <v>1.0660407260979341E-2</v>
      </c>
      <c r="H26">
        <v>-7.1815862263494264E-3</v>
      </c>
      <c r="I26">
        <v>-0.23027284839811862</v>
      </c>
      <c r="K26">
        <v>-0.23027284839811862</v>
      </c>
    </row>
    <row r="27" spans="1:18" x14ac:dyDescent="0.25">
      <c r="B27">
        <v>-3.7687458357494166E-2</v>
      </c>
      <c r="C27">
        <v>1.0562122322255671E-3</v>
      </c>
      <c r="D27">
        <v>-4.2590063181251513E-3</v>
      </c>
      <c r="E27">
        <v>4.071768477488278E-3</v>
      </c>
      <c r="F27">
        <v>2.0580109972797054E-2</v>
      </c>
      <c r="G27">
        <v>4.0174615610874098E-2</v>
      </c>
      <c r="H27">
        <v>-2.3936241617765686E-2</v>
      </c>
      <c r="I27">
        <v>-0.7733258714631146</v>
      </c>
      <c r="K27">
        <v>-0.7733258714631146</v>
      </c>
    </row>
    <row r="28" spans="1:18" x14ac:dyDescent="0.25">
      <c r="B28">
        <v>-7.7748273977969531E-2</v>
      </c>
      <c r="C28">
        <v>-4.7766840729452932E-4</v>
      </c>
      <c r="D28">
        <v>-8.7937880025464755E-3</v>
      </c>
      <c r="E28">
        <v>1.0660407260979351E-2</v>
      </c>
      <c r="F28">
        <v>4.017461561087407E-2</v>
      </c>
      <c r="G28">
        <v>8.6382110570312823E-2</v>
      </c>
      <c r="H28">
        <v>-5.0197403054355737E-2</v>
      </c>
      <c r="I28">
        <v>-1.1224034096525217</v>
      </c>
      <c r="K28">
        <v>-1.1224034096525217</v>
      </c>
    </row>
    <row r="29" spans="1:18" x14ac:dyDescent="0.25">
      <c r="B29">
        <v>4.5001903844673612E-2</v>
      </c>
      <c r="C29">
        <v>1.2542580686627908E-3</v>
      </c>
      <c r="D29">
        <v>2.6233597781924545E-3</v>
      </c>
      <c r="E29">
        <v>-7.1815862263494403E-3</v>
      </c>
      <c r="F29">
        <v>-2.3936241617765686E-2</v>
      </c>
      <c r="G29">
        <v>-5.0197403054355771E-2</v>
      </c>
      <c r="H29">
        <v>3.2435709206942061E-2</v>
      </c>
      <c r="I29">
        <v>1.2350364368411666</v>
      </c>
      <c r="K29">
        <v>1.2350364368411666</v>
      </c>
    </row>
    <row r="30" spans="1:18" x14ac:dyDescent="0.25">
      <c r="B30">
        <v>2.1371997706364412</v>
      </c>
      <c r="C30">
        <v>4.4434719551724261E-2</v>
      </c>
      <c r="D30">
        <v>-0.29066879751558017</v>
      </c>
      <c r="E30">
        <v>-0.23027284839811846</v>
      </c>
      <c r="F30">
        <v>-0.77332587146311238</v>
      </c>
      <c r="G30">
        <v>-1.1224034096525184</v>
      </c>
      <c r="H30">
        <v>1.2350364368411642</v>
      </c>
      <c r="I30">
        <v>-30.287484117422572</v>
      </c>
      <c r="J30" t="s">
        <v>28</v>
      </c>
      <c r="K30">
        <v>-30.287484117422572</v>
      </c>
    </row>
    <row r="31" spans="1:18" x14ac:dyDescent="0.25">
      <c r="J31" t="s">
        <v>42</v>
      </c>
      <c r="K31">
        <f>SUM(K23:K29)</f>
        <v>0.99999999999999956</v>
      </c>
    </row>
    <row r="34" spans="1:23" x14ac:dyDescent="0.25">
      <c r="A34" t="s">
        <v>57</v>
      </c>
    </row>
    <row r="35" spans="1:23" x14ac:dyDescent="0.25">
      <c r="P35" t="s">
        <v>14</v>
      </c>
      <c r="Q35">
        <f t="array" ref="Q35:W35">TRANSPOSE(M49:M55)</f>
        <v>0.39350039050604058</v>
      </c>
      <c r="R35">
        <v>0.43702969517304963</v>
      </c>
      <c r="S35">
        <v>-0.65517948269339199</v>
      </c>
      <c r="T35">
        <v>-4.4328173925622744E-2</v>
      </c>
      <c r="U35">
        <v>3.6014728320210798E-2</v>
      </c>
      <c r="V35">
        <v>0.41533371151037213</v>
      </c>
      <c r="W35">
        <v>0.41762913110934397</v>
      </c>
    </row>
    <row r="37" spans="1:23" x14ac:dyDescent="0.25">
      <c r="A37" t="s">
        <v>25</v>
      </c>
      <c r="M37" t="s">
        <v>40</v>
      </c>
      <c r="Q37">
        <f>$M49*B2*Q$35</f>
        <v>12.464825864936717</v>
      </c>
      <c r="R37">
        <f t="shared" ref="R37:W37" si="15">$M49*C2*R$35</f>
        <v>14.222031117492467</v>
      </c>
      <c r="S37">
        <f t="shared" si="15"/>
        <v>-21.991481509456026</v>
      </c>
      <c r="T37">
        <f t="shared" si="15"/>
        <v>-1.4844123841379553</v>
      </c>
      <c r="U37">
        <f t="shared" si="15"/>
        <v>1.7558872166227195</v>
      </c>
      <c r="V37">
        <f t="shared" si="15"/>
        <v>3.5955475087324023</v>
      </c>
      <c r="W37">
        <f t="shared" si="15"/>
        <v>0.57518029162378848</v>
      </c>
    </row>
    <row r="38" spans="1:23" x14ac:dyDescent="0.25">
      <c r="B38">
        <f>B13</f>
        <v>161</v>
      </c>
      <c r="C38">
        <f t="shared" ref="C38:I38" si="16">C13</f>
        <v>165.4</v>
      </c>
      <c r="D38">
        <f t="shared" si="16"/>
        <v>170.6</v>
      </c>
      <c r="E38">
        <f t="shared" si="16"/>
        <v>170.2</v>
      </c>
      <c r="F38">
        <f t="shared" si="16"/>
        <v>247.8</v>
      </c>
      <c r="G38">
        <f t="shared" si="16"/>
        <v>44</v>
      </c>
      <c r="H38">
        <f t="shared" si="16"/>
        <v>7</v>
      </c>
      <c r="I38">
        <f t="shared" si="16"/>
        <v>1</v>
      </c>
      <c r="J38">
        <f>I2</f>
        <v>1.9</v>
      </c>
      <c r="M38">
        <v>0</v>
      </c>
      <c r="Q38">
        <f t="shared" ref="Q38:Q43" si="17">$M50*B3*Q$35</f>
        <v>14.222031117492467</v>
      </c>
      <c r="R38">
        <f t="shared" ref="R38:R43" si="18">$M50*C3*R$35</f>
        <v>35.276768089325088</v>
      </c>
      <c r="S38">
        <f t="shared" ref="S38:S43" si="19">$M50*D3*S$35</f>
        <v>-37.652774983074522</v>
      </c>
      <c r="T38">
        <f t="shared" ref="T38:T43" si="20">$M50*E3*T$35</f>
        <v>-1.3444673466775228</v>
      </c>
      <c r="U38">
        <f t="shared" ref="U38:U43" si="21">$M50*F3*U$35</f>
        <v>0.77910553410633521</v>
      </c>
      <c r="V38">
        <f t="shared" ref="V38:V43" si="22">$M50*G3*V$35</f>
        <v>10.527763589515217</v>
      </c>
      <c r="W38">
        <f t="shared" ref="W38:W43" si="23">$M50*H3*W$35</f>
        <v>-1.8069116854546117</v>
      </c>
    </row>
    <row r="39" spans="1:23" x14ac:dyDescent="0.25">
      <c r="B39">
        <f t="shared" ref="B39:I39" si="24">B14</f>
        <v>165.4</v>
      </c>
      <c r="C39">
        <f t="shared" si="24"/>
        <v>369.4</v>
      </c>
      <c r="D39">
        <f t="shared" si="24"/>
        <v>263</v>
      </c>
      <c r="E39">
        <f t="shared" si="24"/>
        <v>138.80000000000001</v>
      </c>
      <c r="F39">
        <f t="shared" si="24"/>
        <v>99</v>
      </c>
      <c r="G39">
        <f t="shared" si="24"/>
        <v>116</v>
      </c>
      <c r="H39">
        <f t="shared" si="24"/>
        <v>-19.8</v>
      </c>
      <c r="I39">
        <f t="shared" si="24"/>
        <v>1</v>
      </c>
      <c r="J39">
        <f t="shared" ref="J39:J44" si="25">I3</f>
        <v>6.1</v>
      </c>
      <c r="M39">
        <v>0</v>
      </c>
      <c r="Q39">
        <f t="shared" si="17"/>
        <v>-21.991481509456026</v>
      </c>
      <c r="R39">
        <f t="shared" si="18"/>
        <v>-37.652774983074522</v>
      </c>
      <c r="S39">
        <f t="shared" si="19"/>
        <v>160.62914982975886</v>
      </c>
      <c r="T39">
        <f t="shared" si="20"/>
        <v>11.166998918582237</v>
      </c>
      <c r="U39">
        <f t="shared" si="21"/>
        <v>-8.6479747072205182</v>
      </c>
      <c r="V39">
        <f t="shared" si="22"/>
        <v>-28.245861505008683</v>
      </c>
      <c r="W39">
        <f t="shared" si="23"/>
        <v>-93.989170079762346</v>
      </c>
    </row>
    <row r="40" spans="1:23" x14ac:dyDescent="0.25">
      <c r="B40">
        <f t="shared" ref="B40:I40" si="26">B15</f>
        <v>170.6</v>
      </c>
      <c r="C40">
        <f t="shared" si="26"/>
        <v>263</v>
      </c>
      <c r="D40">
        <f t="shared" si="26"/>
        <v>748.4</v>
      </c>
      <c r="E40">
        <f t="shared" si="26"/>
        <v>769</v>
      </c>
      <c r="F40">
        <f t="shared" si="26"/>
        <v>733</v>
      </c>
      <c r="G40">
        <f t="shared" si="26"/>
        <v>207.6</v>
      </c>
      <c r="H40">
        <f t="shared" si="26"/>
        <v>687</v>
      </c>
      <c r="I40">
        <f t="shared" si="26"/>
        <v>1</v>
      </c>
      <c r="J40">
        <f t="shared" si="25"/>
        <v>2.9</v>
      </c>
      <c r="M40">
        <v>0</v>
      </c>
      <c r="Q40">
        <f t="shared" si="17"/>
        <v>-1.4844123841379551</v>
      </c>
      <c r="R40">
        <f t="shared" si="18"/>
        <v>-1.3444673466775228</v>
      </c>
      <c r="S40">
        <f t="shared" si="19"/>
        <v>11.166998918582237</v>
      </c>
      <c r="T40">
        <f t="shared" si="20"/>
        <v>1.345623100051762</v>
      </c>
      <c r="U40">
        <f t="shared" si="21"/>
        <v>-0.95644346409063707</v>
      </c>
      <c r="V40">
        <f t="shared" si="22"/>
        <v>-0.95000682605191988</v>
      </c>
      <c r="W40">
        <f t="shared" si="23"/>
        <v>-9.3063527693634516</v>
      </c>
    </row>
    <row r="41" spans="1:23" x14ac:dyDescent="0.25">
      <c r="B41">
        <f t="shared" ref="B41:I41" si="27">B16</f>
        <v>170.2</v>
      </c>
      <c r="C41">
        <f t="shared" si="27"/>
        <v>138.80000000000001</v>
      </c>
      <c r="D41">
        <f t="shared" si="27"/>
        <v>769</v>
      </c>
      <c r="E41">
        <f t="shared" si="27"/>
        <v>1369.6</v>
      </c>
      <c r="F41">
        <f t="shared" si="27"/>
        <v>1198.2</v>
      </c>
      <c r="G41">
        <f t="shared" si="27"/>
        <v>103.2</v>
      </c>
      <c r="H41">
        <f t="shared" si="27"/>
        <v>1005.4</v>
      </c>
      <c r="I41">
        <f t="shared" si="27"/>
        <v>1</v>
      </c>
      <c r="J41">
        <f t="shared" si="25"/>
        <v>4</v>
      </c>
      <c r="M41">
        <v>0</v>
      </c>
      <c r="Q41">
        <f t="shared" si="17"/>
        <v>1.7558872166227193</v>
      </c>
      <c r="R41">
        <f t="shared" si="18"/>
        <v>0.7791055341063351</v>
      </c>
      <c r="S41">
        <f t="shared" si="19"/>
        <v>-8.6479747072205164</v>
      </c>
      <c r="T41">
        <f t="shared" si="20"/>
        <v>-0.95644346409063707</v>
      </c>
      <c r="U41">
        <f t="shared" si="21"/>
        <v>1.1302586556197465</v>
      </c>
      <c r="V41">
        <f t="shared" si="22"/>
        <v>-0.31711237258414221</v>
      </c>
      <c r="W41">
        <f t="shared" si="23"/>
        <v>7.8272321615427369</v>
      </c>
    </row>
    <row r="42" spans="1:23" x14ac:dyDescent="0.25">
      <c r="B42">
        <f t="shared" ref="B42:I42" si="28">B17</f>
        <v>247.8</v>
      </c>
      <c r="C42">
        <f t="shared" si="28"/>
        <v>99</v>
      </c>
      <c r="D42">
        <f t="shared" si="28"/>
        <v>733</v>
      </c>
      <c r="E42">
        <f t="shared" si="28"/>
        <v>1198.2</v>
      </c>
      <c r="F42">
        <f t="shared" si="28"/>
        <v>1742.8</v>
      </c>
      <c r="G42">
        <f t="shared" si="28"/>
        <v>-42.4</v>
      </c>
      <c r="H42">
        <f t="shared" si="28"/>
        <v>1040.8</v>
      </c>
      <c r="I42">
        <f t="shared" si="28"/>
        <v>1</v>
      </c>
      <c r="J42">
        <f t="shared" si="25"/>
        <v>5.7</v>
      </c>
      <c r="M42">
        <v>0</v>
      </c>
      <c r="Q42">
        <f t="shared" si="17"/>
        <v>3.5955475087324023</v>
      </c>
      <c r="R42">
        <f t="shared" si="18"/>
        <v>10.527763589515217</v>
      </c>
      <c r="S42">
        <f t="shared" si="19"/>
        <v>-28.245861505008683</v>
      </c>
      <c r="T42">
        <f t="shared" si="20"/>
        <v>-0.95000682605191966</v>
      </c>
      <c r="U42">
        <f t="shared" si="21"/>
        <v>-0.31711237258414227</v>
      </c>
      <c r="V42">
        <f t="shared" si="22"/>
        <v>15.473437644953197</v>
      </c>
      <c r="W42">
        <f t="shared" si="23"/>
        <v>12.905086005152077</v>
      </c>
    </row>
    <row r="43" spans="1:23" x14ac:dyDescent="0.25">
      <c r="B43">
        <f t="shared" ref="B43:I43" si="29">B18</f>
        <v>44</v>
      </c>
      <c r="C43">
        <f t="shared" si="29"/>
        <v>116</v>
      </c>
      <c r="D43">
        <f t="shared" si="29"/>
        <v>207.6</v>
      </c>
      <c r="E43">
        <f t="shared" si="29"/>
        <v>103.2</v>
      </c>
      <c r="F43">
        <f t="shared" si="29"/>
        <v>-42.4</v>
      </c>
      <c r="G43">
        <f t="shared" si="29"/>
        <v>179.4</v>
      </c>
      <c r="H43">
        <f t="shared" si="29"/>
        <v>148.80000000000001</v>
      </c>
      <c r="I43">
        <f t="shared" si="29"/>
        <v>1</v>
      </c>
      <c r="J43">
        <f t="shared" si="25"/>
        <v>3.4</v>
      </c>
      <c r="M43">
        <v>0</v>
      </c>
      <c r="Q43">
        <f t="shared" si="17"/>
        <v>0.57518029162378836</v>
      </c>
      <c r="R43">
        <f t="shared" si="18"/>
        <v>-1.8069116854546114</v>
      </c>
      <c r="S43">
        <f t="shared" si="19"/>
        <v>-93.989170079762346</v>
      </c>
      <c r="T43">
        <f t="shared" si="20"/>
        <v>-9.3063527693634498</v>
      </c>
      <c r="U43">
        <f t="shared" si="21"/>
        <v>7.827232161542736</v>
      </c>
      <c r="V43">
        <f t="shared" si="22"/>
        <v>12.905086005152077</v>
      </c>
      <c r="W43">
        <f t="shared" si="23"/>
        <v>100.21833677544828</v>
      </c>
    </row>
    <row r="44" spans="1:23" x14ac:dyDescent="0.25">
      <c r="B44">
        <f t="shared" ref="B44:I44" si="30">B19</f>
        <v>7</v>
      </c>
      <c r="C44">
        <f t="shared" si="30"/>
        <v>-19.8</v>
      </c>
      <c r="D44">
        <f t="shared" si="30"/>
        <v>687</v>
      </c>
      <c r="E44">
        <f t="shared" si="30"/>
        <v>1005.4</v>
      </c>
      <c r="F44">
        <f t="shared" si="30"/>
        <v>1040.8</v>
      </c>
      <c r="G44">
        <f t="shared" si="30"/>
        <v>148.80000000000001</v>
      </c>
      <c r="H44">
        <f t="shared" si="30"/>
        <v>1149.2</v>
      </c>
      <c r="I44">
        <f t="shared" si="30"/>
        <v>1</v>
      </c>
      <c r="J44">
        <f t="shared" si="25"/>
        <v>4.9000000000000004</v>
      </c>
      <c r="M44">
        <v>0</v>
      </c>
    </row>
    <row r="45" spans="1:23" x14ac:dyDescent="0.25">
      <c r="B45">
        <f t="shared" ref="B45:I46" si="31">B20</f>
        <v>1</v>
      </c>
      <c r="C45">
        <f t="shared" si="31"/>
        <v>1</v>
      </c>
      <c r="D45">
        <f t="shared" si="31"/>
        <v>1</v>
      </c>
      <c r="E45">
        <f t="shared" si="31"/>
        <v>1</v>
      </c>
      <c r="F45">
        <f t="shared" si="31"/>
        <v>1</v>
      </c>
      <c r="G45">
        <f t="shared" si="31"/>
        <v>1</v>
      </c>
      <c r="H45">
        <f t="shared" si="31"/>
        <v>1</v>
      </c>
      <c r="I45">
        <f t="shared" si="31"/>
        <v>0</v>
      </c>
      <c r="J45">
        <f t="shared" ref="J45" si="32">J20</f>
        <v>0</v>
      </c>
      <c r="M45">
        <v>1</v>
      </c>
    </row>
    <row r="46" spans="1:23" x14ac:dyDescent="0.25">
      <c r="B46">
        <f t="array" ref="B46:H46">TRANSPOSE(J38:J44)</f>
        <v>1.9</v>
      </c>
      <c r="C46">
        <v>6.1</v>
      </c>
      <c r="D46">
        <v>2.9</v>
      </c>
      <c r="E46">
        <v>4</v>
      </c>
      <c r="F46">
        <v>5.7</v>
      </c>
      <c r="G46">
        <v>3.4</v>
      </c>
      <c r="H46">
        <v>4.9000000000000004</v>
      </c>
      <c r="I46">
        <f t="shared" si="31"/>
        <v>0</v>
      </c>
      <c r="J46">
        <f t="shared" ref="J46" si="33">J21</f>
        <v>0</v>
      </c>
      <c r="M46">
        <v>5</v>
      </c>
    </row>
    <row r="48" spans="1:23" x14ac:dyDescent="0.25">
      <c r="M48" t="s">
        <v>14</v>
      </c>
    </row>
    <row r="49" spans="1:20" x14ac:dyDescent="0.25">
      <c r="A49" t="s">
        <v>55</v>
      </c>
      <c r="B49">
        <f t="array" ref="B49:J57">MINVERSE(B38:J46)</f>
        <v>1.6039415746455687E-2</v>
      </c>
      <c r="C49">
        <v>7.6606091850020732E-3</v>
      </c>
      <c r="D49">
        <v>-4.0683312322288834E-3</v>
      </c>
      <c r="E49">
        <v>-3.1513402401296326E-3</v>
      </c>
      <c r="F49">
        <v>-9.1409574850019066E-3</v>
      </c>
      <c r="G49">
        <v>-2.351027568319447E-2</v>
      </c>
      <c r="H49">
        <v>1.61708797090971E-2</v>
      </c>
      <c r="I49">
        <v>2.2868706632220293</v>
      </c>
      <c r="J49">
        <v>-0.37867405454319775</v>
      </c>
      <c r="L49">
        <v>1</v>
      </c>
      <c r="M49">
        <f t="array" ref="M49:M57">MMULT(B49:J57,M38:M46)</f>
        <v>0.39350039050604058</v>
      </c>
      <c r="Q49" t="s">
        <v>18</v>
      </c>
      <c r="R49" t="s">
        <v>19</v>
      </c>
      <c r="S49" t="s">
        <v>20</v>
      </c>
    </row>
    <row r="50" spans="1:20" x14ac:dyDescent="0.25">
      <c r="B50">
        <v>7.6606091850020576E-3</v>
      </c>
      <c r="C50">
        <v>4.6853598867193386E-3</v>
      </c>
      <c r="D50">
        <v>-7.2195776795390832E-4</v>
      </c>
      <c r="E50">
        <v>-1.3091554897762462E-3</v>
      </c>
      <c r="F50">
        <v>-5.3710497957462945E-3</v>
      </c>
      <c r="G50">
        <v>-1.2689386700555723E-2</v>
      </c>
      <c r="H50">
        <v>7.7455806823107818E-3</v>
      </c>
      <c r="I50">
        <v>1.0736227084827217E-2</v>
      </c>
      <c r="J50">
        <v>8.5258693617644474E-2</v>
      </c>
      <c r="L50">
        <v>2</v>
      </c>
      <c r="M50">
        <v>0.43702969517304963</v>
      </c>
      <c r="Q50">
        <f>SUMPRODUCT(M49:M55,J38:J44)</f>
        <v>5.0000000000000053</v>
      </c>
      <c r="R50">
        <f>SUM(Q37:W43)</f>
        <v>39.862125381068914</v>
      </c>
      <c r="S50">
        <f>R50^0.5</f>
        <v>6.3136459657688215</v>
      </c>
      <c r="T50">
        <f>Q50/S50</f>
        <v>0.79193544064853949</v>
      </c>
    </row>
    <row r="51" spans="1:20" x14ac:dyDescent="0.25">
      <c r="B51">
        <v>-4.0683312322288799E-3</v>
      </c>
      <c r="C51">
        <v>-7.2195776795390919E-4</v>
      </c>
      <c r="D51">
        <v>4.8563076655761287E-3</v>
      </c>
      <c r="E51">
        <v>-9.1525886216580474E-4</v>
      </c>
      <c r="F51">
        <v>1.7084813755866655E-3</v>
      </c>
      <c r="G51">
        <v>2.5443647469388462E-3</v>
      </c>
      <c r="H51">
        <v>-3.4036059257530481E-3</v>
      </c>
      <c r="I51">
        <v>-0.25938092746801222</v>
      </c>
      <c r="J51">
        <v>-7.9159711045075951E-2</v>
      </c>
      <c r="L51">
        <v>3</v>
      </c>
      <c r="M51">
        <v>-0.65517948269339199</v>
      </c>
    </row>
    <row r="52" spans="1:20" x14ac:dyDescent="0.25">
      <c r="B52">
        <v>-3.1513402401296231E-3</v>
      </c>
      <c r="C52">
        <v>-1.3091554897762454E-3</v>
      </c>
      <c r="D52">
        <v>-9.152588621658055E-4</v>
      </c>
      <c r="E52">
        <v>3.57865760610063E-3</v>
      </c>
      <c r="F52">
        <v>1.0276257355969424E-3</v>
      </c>
      <c r="G52">
        <v>4.8765737333173204E-3</v>
      </c>
      <c r="H52">
        <v>-4.1071024829432137E-3</v>
      </c>
      <c r="I52">
        <v>-0.24623345818955697</v>
      </c>
      <c r="J52">
        <v>4.0381056852786847E-2</v>
      </c>
      <c r="L52">
        <v>4</v>
      </c>
      <c r="M52">
        <v>-4.4328173925622744E-2</v>
      </c>
    </row>
    <row r="53" spans="1:20" x14ac:dyDescent="0.25">
      <c r="B53">
        <v>-9.1409574850019135E-3</v>
      </c>
      <c r="C53">
        <v>-5.3710497957462989E-3</v>
      </c>
      <c r="D53">
        <v>1.7084813755866735E-3</v>
      </c>
      <c r="E53">
        <v>1.0276257355969457E-3</v>
      </c>
      <c r="F53">
        <v>7.3302101327625858E-3</v>
      </c>
      <c r="G53">
        <v>1.4999969928739787E-2</v>
      </c>
      <c r="H53">
        <v>-1.0554279891937763E-2</v>
      </c>
      <c r="I53">
        <v>-0.84279583363415322</v>
      </c>
      <c r="J53">
        <v>0.1757621123908728</v>
      </c>
      <c r="L53">
        <v>5</v>
      </c>
      <c r="M53">
        <v>3.6014728320210798E-2</v>
      </c>
    </row>
    <row r="54" spans="1:20" x14ac:dyDescent="0.25">
      <c r="B54">
        <v>-2.3510275683194422E-2</v>
      </c>
      <c r="C54">
        <v>-1.2689386700555746E-2</v>
      </c>
      <c r="D54">
        <v>2.5443647469388553E-3</v>
      </c>
      <c r="E54">
        <v>4.8765737333173213E-3</v>
      </c>
      <c r="F54">
        <v>1.4999969928739762E-2</v>
      </c>
      <c r="G54">
        <v>3.855059539869661E-2</v>
      </c>
      <c r="H54">
        <v>-2.4771841423942363E-2</v>
      </c>
      <c r="I54">
        <v>-1.2543954778433273</v>
      </c>
      <c r="J54">
        <v>0.33394583787073989</v>
      </c>
      <c r="L54">
        <v>6</v>
      </c>
      <c r="M54">
        <v>0.41533371151037213</v>
      </c>
    </row>
    <row r="55" spans="1:20" x14ac:dyDescent="0.25">
      <c r="B55">
        <v>1.6170879709097093E-2</v>
      </c>
      <c r="C55">
        <v>7.7455806823107896E-3</v>
      </c>
      <c r="D55">
        <v>-3.4036059257530572E-3</v>
      </c>
      <c r="E55">
        <v>-4.1071024829432163E-3</v>
      </c>
      <c r="F55">
        <v>-1.0554279891937756E-2</v>
      </c>
      <c r="G55">
        <v>-2.4771841423942384E-2</v>
      </c>
      <c r="H55">
        <v>1.8920369333168513E-2</v>
      </c>
      <c r="I55">
        <v>1.3051988068281941</v>
      </c>
      <c r="J55">
        <v>-0.17751393514377004</v>
      </c>
      <c r="L55">
        <v>7</v>
      </c>
      <c r="M55">
        <v>0.41762913110934397</v>
      </c>
    </row>
    <row r="56" spans="1:20" x14ac:dyDescent="0.25">
      <c r="B56">
        <v>2.286870663222027</v>
      </c>
      <c r="C56">
        <v>1.0736227084825831E-2</v>
      </c>
      <c r="D56">
        <v>-0.25938092746801139</v>
      </c>
      <c r="E56">
        <v>-0.24623345818955694</v>
      </c>
      <c r="F56">
        <v>-0.84279583363415123</v>
      </c>
      <c r="G56">
        <v>-1.2543954778433242</v>
      </c>
      <c r="H56">
        <v>1.3051988068281917</v>
      </c>
      <c r="I56">
        <v>-30.651718994841318</v>
      </c>
      <c r="J56">
        <v>0.92153053580094491</v>
      </c>
      <c r="L56" t="s">
        <v>28</v>
      </c>
      <c r="M56">
        <v>-26.044066315836595</v>
      </c>
    </row>
    <row r="57" spans="1:20" x14ac:dyDescent="0.25">
      <c r="B57">
        <v>-0.37867405454319786</v>
      </c>
      <c r="C57">
        <v>8.525869361764471E-2</v>
      </c>
      <c r="D57">
        <v>-7.9159711045075937E-2</v>
      </c>
      <c r="E57">
        <v>4.0381056852786854E-2</v>
      </c>
      <c r="F57">
        <v>0.1757621123908725</v>
      </c>
      <c r="G57">
        <v>0.33394583787073939</v>
      </c>
      <c r="H57">
        <v>-0.17751393514376965</v>
      </c>
      <c r="I57">
        <v>0.92153053580093713</v>
      </c>
      <c r="J57">
        <v>-2.3315134850122301</v>
      </c>
      <c r="L57" t="s">
        <v>29</v>
      </c>
      <c r="M57">
        <v>-10.736036889260214</v>
      </c>
    </row>
    <row r="59" spans="1:20" x14ac:dyDescent="0.25">
      <c r="M59">
        <f>SUM(M49:M55)</f>
        <v>1.0000000000000024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1960-64AB-42E7-9694-A0253979A001}">
  <dimension ref="A1:H14"/>
  <sheetViews>
    <sheetView workbookViewId="0">
      <selection activeCell="D11" sqref="D11"/>
    </sheetView>
  </sheetViews>
  <sheetFormatPr defaultRowHeight="15" x14ac:dyDescent="0.25"/>
  <sheetData>
    <row r="1" spans="1:8" ht="26.25" thickBot="1" x14ac:dyDescent="0.3">
      <c r="C1" s="35" t="s">
        <v>58</v>
      </c>
      <c r="D1" s="36" t="s">
        <v>6</v>
      </c>
      <c r="E1" s="36" t="s">
        <v>7</v>
      </c>
      <c r="F1" s="36" t="s">
        <v>59</v>
      </c>
      <c r="G1" s="36" t="s">
        <v>60</v>
      </c>
    </row>
    <row r="2" spans="1:8" ht="16.5" thickBot="1" x14ac:dyDescent="0.3">
      <c r="C2" s="37"/>
      <c r="D2" s="38">
        <v>6.2E-2</v>
      </c>
      <c r="E2" s="39">
        <v>0.04</v>
      </c>
      <c r="F2" s="38">
        <v>7.4999999999999997E-2</v>
      </c>
      <c r="G2" s="38">
        <v>8.4000000000000005E-2</v>
      </c>
    </row>
    <row r="3" spans="1:8" ht="16.5" thickBot="1" x14ac:dyDescent="0.3">
      <c r="C3" s="37"/>
      <c r="D3" s="38">
        <v>0.14499999999999999</v>
      </c>
      <c r="E3" s="38">
        <v>9.7000000000000003E-2</v>
      </c>
      <c r="F3" s="39">
        <v>0.17</v>
      </c>
      <c r="G3" s="39">
        <v>0.2</v>
      </c>
    </row>
    <row r="5" spans="1:8" x14ac:dyDescent="0.25">
      <c r="A5" t="s">
        <v>67</v>
      </c>
      <c r="B5">
        <v>3.5000000000000003E-2</v>
      </c>
    </row>
    <row r="6" spans="1:8" ht="15.75" thickBot="1" x14ac:dyDescent="0.3"/>
    <row r="7" spans="1:8" ht="16.5" thickBot="1" x14ac:dyDescent="0.3">
      <c r="C7" s="40"/>
      <c r="D7" s="36" t="s">
        <v>61</v>
      </c>
      <c r="E7" s="36" t="s">
        <v>62</v>
      </c>
      <c r="F7" s="36" t="s">
        <v>63</v>
      </c>
      <c r="G7" s="36" t="s">
        <v>64</v>
      </c>
      <c r="H7" s="36" t="s">
        <v>65</v>
      </c>
    </row>
    <row r="8" spans="1:8" ht="16.5" thickBot="1" x14ac:dyDescent="0.3">
      <c r="C8" s="37"/>
      <c r="D8" s="41">
        <v>0.2</v>
      </c>
      <c r="E8" s="41">
        <v>0.4</v>
      </c>
      <c r="F8" s="41">
        <v>0.5</v>
      </c>
      <c r="G8" s="41">
        <v>0.6</v>
      </c>
      <c r="H8" s="41">
        <v>0.8</v>
      </c>
    </row>
    <row r="9" spans="1:8" ht="16.5" thickBot="1" x14ac:dyDescent="0.3">
      <c r="C9" s="42" t="s">
        <v>66</v>
      </c>
      <c r="D9" s="41">
        <v>0.8</v>
      </c>
      <c r="E9" s="41">
        <v>0.6</v>
      </c>
      <c r="F9" s="41">
        <v>0.5</v>
      </c>
      <c r="G9" s="41">
        <v>0.4</v>
      </c>
      <c r="H9" s="41">
        <v>0.2</v>
      </c>
    </row>
    <row r="11" spans="1:8" x14ac:dyDescent="0.25">
      <c r="B11" s="43" t="s">
        <v>18</v>
      </c>
      <c r="C11" t="s">
        <v>6</v>
      </c>
      <c r="D11">
        <f>D$8*$B$5+$D$2*D$9</f>
        <v>5.6600000000000004E-2</v>
      </c>
      <c r="E11">
        <f t="shared" ref="E11:H11" si="0">E$8*$B$5+$D$2*E$9</f>
        <v>5.1199999999999996E-2</v>
      </c>
      <c r="F11">
        <f t="shared" si="0"/>
        <v>4.8500000000000001E-2</v>
      </c>
      <c r="G11">
        <f t="shared" si="0"/>
        <v>4.5800000000000007E-2</v>
      </c>
      <c r="H11">
        <f t="shared" si="0"/>
        <v>4.0400000000000005E-2</v>
      </c>
    </row>
    <row r="12" spans="1:8" x14ac:dyDescent="0.25">
      <c r="C12" t="s">
        <v>7</v>
      </c>
      <c r="D12">
        <f>D$8*$B$5+$E$2*D$9</f>
        <v>3.9E-2</v>
      </c>
      <c r="E12">
        <f t="shared" ref="E12:H12" si="1">E$8*$B$5+$E$2*E$9</f>
        <v>3.8000000000000006E-2</v>
      </c>
      <c r="F12">
        <f t="shared" si="1"/>
        <v>3.7500000000000006E-2</v>
      </c>
      <c r="G12">
        <f t="shared" si="1"/>
        <v>3.7000000000000005E-2</v>
      </c>
      <c r="H12">
        <f t="shared" si="1"/>
        <v>3.6000000000000004E-2</v>
      </c>
    </row>
    <row r="13" spans="1:8" x14ac:dyDescent="0.25">
      <c r="C13" t="s">
        <v>59</v>
      </c>
      <c r="D13">
        <f>D$8*$B$5+$F$2*D$9</f>
        <v>6.7000000000000004E-2</v>
      </c>
      <c r="E13">
        <f t="shared" ref="E13:H13" si="2">E$8*$B$5+$F$2*E$9</f>
        <v>5.8999999999999997E-2</v>
      </c>
      <c r="F13">
        <f t="shared" si="2"/>
        <v>5.5E-2</v>
      </c>
      <c r="G13">
        <f t="shared" si="2"/>
        <v>5.1000000000000004E-2</v>
      </c>
      <c r="H13">
        <f t="shared" si="2"/>
        <v>4.3000000000000003E-2</v>
      </c>
    </row>
    <row r="14" spans="1:8" x14ac:dyDescent="0.25">
      <c r="C14" t="s">
        <v>60</v>
      </c>
      <c r="D14">
        <f>D$8*$B$5+$G$2*D$9</f>
        <v>7.4200000000000016E-2</v>
      </c>
      <c r="E14">
        <f t="shared" ref="E14:H14" si="3">E$8*$B$5+$G$2*E$9</f>
        <v>6.4399999999999999E-2</v>
      </c>
      <c r="F14">
        <f t="shared" si="3"/>
        <v>5.9500000000000004E-2</v>
      </c>
      <c r="G14">
        <f t="shared" si="3"/>
        <v>5.460000000000001E-2</v>
      </c>
      <c r="H14">
        <f t="shared" si="3"/>
        <v>4.4800000000000006E-2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161925</xdr:colOff>
                <xdr:row>2</xdr:row>
                <xdr:rowOff>28575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219075</xdr:colOff>
                <xdr:row>3</xdr:row>
                <xdr:rowOff>28575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152400</xdr:colOff>
                <xdr:row>8</xdr:row>
                <xdr:rowOff>9525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686F-AAC7-489F-8F69-A509B2341827}">
  <dimension ref="A1:B14"/>
  <sheetViews>
    <sheetView workbookViewId="0">
      <selection activeCell="B11" sqref="B11:B14"/>
    </sheetView>
  </sheetViews>
  <sheetFormatPr defaultRowHeight="15" x14ac:dyDescent="0.25"/>
  <sheetData>
    <row r="1" spans="1:2" x14ac:dyDescent="0.25">
      <c r="A1" t="s">
        <v>68</v>
      </c>
      <c r="B1">
        <v>0.14000000000000001</v>
      </c>
    </row>
    <row r="2" spans="1:2" x14ac:dyDescent="0.25">
      <c r="A2" t="s">
        <v>67</v>
      </c>
      <c r="B2">
        <v>0.06</v>
      </c>
    </row>
    <row r="4" spans="1:2" x14ac:dyDescent="0.25">
      <c r="A4" t="s">
        <v>69</v>
      </c>
    </row>
    <row r="5" spans="1:2" x14ac:dyDescent="0.25">
      <c r="A5">
        <v>1</v>
      </c>
      <c r="B5">
        <v>1.2350000000000001</v>
      </c>
    </row>
    <row r="6" spans="1:2" x14ac:dyDescent="0.25">
      <c r="A6">
        <v>2</v>
      </c>
      <c r="B6">
        <v>0.26800000000000002</v>
      </c>
    </row>
    <row r="7" spans="1:2" x14ac:dyDescent="0.25">
      <c r="A7">
        <v>3</v>
      </c>
      <c r="B7">
        <v>1.9970000000000001</v>
      </c>
    </row>
    <row r="8" spans="1:2" x14ac:dyDescent="0.25">
      <c r="A8">
        <v>4</v>
      </c>
      <c r="B8">
        <v>2.4500000000000002</v>
      </c>
    </row>
    <row r="10" spans="1:2" x14ac:dyDescent="0.25">
      <c r="A10" t="s">
        <v>70</v>
      </c>
    </row>
    <row r="11" spans="1:2" x14ac:dyDescent="0.25">
      <c r="A11">
        <v>1</v>
      </c>
      <c r="B11">
        <f>$B$2+B5*($B$1-$B$2)</f>
        <v>0.15880000000000002</v>
      </c>
    </row>
    <row r="12" spans="1:2" x14ac:dyDescent="0.25">
      <c r="A12">
        <v>2</v>
      </c>
      <c r="B12">
        <f t="shared" ref="B12:B14" si="0">$B$2+B6*($B$1-$B$2)</f>
        <v>8.1439999999999999E-2</v>
      </c>
    </row>
    <row r="13" spans="1:2" x14ac:dyDescent="0.25">
      <c r="A13">
        <v>3</v>
      </c>
      <c r="B13">
        <f t="shared" si="0"/>
        <v>0.21976000000000004</v>
      </c>
    </row>
    <row r="14" spans="1:2" x14ac:dyDescent="0.25">
      <c r="A14">
        <v>4</v>
      </c>
      <c r="B14">
        <f t="shared" si="0"/>
        <v>0.25600000000000006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161C-5593-4E8B-ACEA-3071E79657FF}">
  <dimension ref="A1:I22"/>
  <sheetViews>
    <sheetView zoomScale="130" zoomScaleNormal="130" workbookViewId="0">
      <selection activeCell="L26" sqref="L26"/>
    </sheetView>
  </sheetViews>
  <sheetFormatPr defaultRowHeight="15" x14ac:dyDescent="0.25"/>
  <cols>
    <col min="5" max="6" width="13.140625" bestFit="1" customWidth="1"/>
  </cols>
  <sheetData>
    <row r="1" spans="1:9" ht="15.75" thickBot="1" x14ac:dyDescent="0.3">
      <c r="H1" t="s">
        <v>67</v>
      </c>
      <c r="I1">
        <v>7</v>
      </c>
    </row>
    <row r="2" spans="1:9" ht="17.25" thickTop="1" thickBot="1" x14ac:dyDescent="0.3">
      <c r="A2" s="44" t="s">
        <v>71</v>
      </c>
      <c r="B2" s="45"/>
      <c r="C2" s="45"/>
      <c r="D2" s="45"/>
      <c r="E2" s="45"/>
      <c r="F2" s="46"/>
    </row>
    <row r="3" spans="1:9" ht="16.5" thickBot="1" x14ac:dyDescent="0.3">
      <c r="A3" s="47">
        <v>1</v>
      </c>
      <c r="B3" s="41">
        <v>10</v>
      </c>
      <c r="C3" s="41">
        <v>9</v>
      </c>
      <c r="D3" s="41">
        <v>22</v>
      </c>
      <c r="E3" s="49">
        <f t="shared" ref="E3:E12" si="0">(C3-$I$1)/($B3-$I$1)</f>
        <v>0.66666666666666663</v>
      </c>
      <c r="F3" s="49">
        <f t="shared" ref="F3" si="1">(D3-$I$1)/($B3-$I$1)</f>
        <v>5</v>
      </c>
      <c r="G3" t="str">
        <f t="shared" ref="G3:H6" si="2">IF(ABS(E3)&lt;1,"defensivni",IF(E3=1,"neutralni","agresivni"))</f>
        <v>defensivni</v>
      </c>
      <c r="H3" t="str">
        <f t="shared" si="2"/>
        <v>agresivni</v>
      </c>
    </row>
    <row r="4" spans="1:9" ht="16.5" thickBot="1" x14ac:dyDescent="0.3">
      <c r="A4" s="47">
        <v>2</v>
      </c>
      <c r="B4" s="41">
        <v>32</v>
      </c>
      <c r="C4" s="41">
        <v>24</v>
      </c>
      <c r="D4" s="41">
        <v>48</v>
      </c>
      <c r="E4" s="49">
        <f t="shared" ref="E4:E11" si="3">(C4-$I$1)/($B4-$I$1)</f>
        <v>0.68</v>
      </c>
      <c r="F4" s="49">
        <f t="shared" ref="F4:F11" si="4">(D4-$I$1)/($B4-$I$1)</f>
        <v>1.64</v>
      </c>
      <c r="G4" t="str">
        <f t="shared" si="2"/>
        <v>defensivni</v>
      </c>
      <c r="H4" t="str">
        <f t="shared" ref="H4:H12" si="5">IF(ABS(F4)&lt;1,"defensivni","agresivni")</f>
        <v>agresivni</v>
      </c>
    </row>
    <row r="5" spans="1:9" ht="16.5" thickBot="1" x14ac:dyDescent="0.3">
      <c r="A5" s="47">
        <v>3</v>
      </c>
      <c r="B5" s="41">
        <v>20</v>
      </c>
      <c r="C5" s="41">
        <v>14</v>
      </c>
      <c r="D5" s="41">
        <v>30</v>
      </c>
      <c r="E5" s="49">
        <f t="shared" si="3"/>
        <v>0.53846153846153844</v>
      </c>
      <c r="F5" s="49">
        <f t="shared" si="4"/>
        <v>1.7692307692307692</v>
      </c>
      <c r="G5" t="str">
        <f t="shared" si="2"/>
        <v>defensivni</v>
      </c>
      <c r="H5" t="str">
        <f t="shared" si="5"/>
        <v>agresivni</v>
      </c>
    </row>
    <row r="6" spans="1:9" ht="16.5" thickBot="1" x14ac:dyDescent="0.3">
      <c r="A6" s="47">
        <v>4</v>
      </c>
      <c r="B6" s="41">
        <v>18</v>
      </c>
      <c r="C6" s="41">
        <v>-2</v>
      </c>
      <c r="D6" s="41">
        <v>-20</v>
      </c>
      <c r="E6" s="49">
        <f t="shared" si="3"/>
        <v>-0.81818181818181823</v>
      </c>
      <c r="F6" s="49">
        <f t="shared" si="4"/>
        <v>-2.4545454545454546</v>
      </c>
      <c r="G6" t="str">
        <f t="shared" si="2"/>
        <v>defensivni</v>
      </c>
      <c r="H6" t="str">
        <f t="shared" si="5"/>
        <v>agresivni</v>
      </c>
    </row>
    <row r="7" spans="1:9" ht="16.5" thickBot="1" x14ac:dyDescent="0.3">
      <c r="A7" s="47">
        <v>5</v>
      </c>
      <c r="B7" s="41">
        <v>17</v>
      </c>
      <c r="C7" s="41">
        <v>16</v>
      </c>
      <c r="D7" s="41">
        <v>29</v>
      </c>
      <c r="E7" s="49">
        <v>0.9</v>
      </c>
      <c r="F7" s="49">
        <f t="shared" si="4"/>
        <v>2.2000000000000002</v>
      </c>
      <c r="G7" t="str">
        <f>IF(ABS(E7)&lt;1,"defensivni",IF(E7=1,"neutralni","agresivni"))</f>
        <v>defensivni</v>
      </c>
      <c r="H7" t="str">
        <f t="shared" si="5"/>
        <v>agresivni</v>
      </c>
    </row>
    <row r="8" spans="1:9" ht="16.5" thickBot="1" x14ac:dyDescent="0.3">
      <c r="A8" s="47">
        <v>6</v>
      </c>
      <c r="B8" s="41">
        <v>3</v>
      </c>
      <c r="C8" s="41">
        <v>4</v>
      </c>
      <c r="D8" s="41">
        <v>-3</v>
      </c>
      <c r="E8" s="49">
        <f t="shared" si="3"/>
        <v>0.75</v>
      </c>
      <c r="F8" s="49">
        <f t="shared" si="4"/>
        <v>2.5</v>
      </c>
      <c r="G8" t="str">
        <f t="shared" ref="G8:G12" si="6">IF(ABS(E8)&lt;1,IF(E8=1,"neutralni","defensivni"),"agresivni")</f>
        <v>defensivni</v>
      </c>
      <c r="H8" t="str">
        <f t="shared" si="5"/>
        <v>agresivni</v>
      </c>
    </row>
    <row r="9" spans="1:9" ht="16.5" thickBot="1" x14ac:dyDescent="0.3">
      <c r="A9" s="47">
        <v>7</v>
      </c>
      <c r="B9" s="41">
        <v>12</v>
      </c>
      <c r="C9" s="41">
        <v>8</v>
      </c>
      <c r="D9" s="41">
        <v>21</v>
      </c>
      <c r="E9" s="49">
        <f t="shared" si="3"/>
        <v>0.2</v>
      </c>
      <c r="F9" s="49">
        <f t="shared" si="4"/>
        <v>2.8</v>
      </c>
      <c r="G9" t="str">
        <f t="shared" si="6"/>
        <v>defensivni</v>
      </c>
      <c r="H9" t="str">
        <f t="shared" si="5"/>
        <v>agresivni</v>
      </c>
    </row>
    <row r="10" spans="1:9" ht="16.5" thickBot="1" x14ac:dyDescent="0.3">
      <c r="A10" s="47">
        <v>8</v>
      </c>
      <c r="B10" s="41">
        <v>-5</v>
      </c>
      <c r="C10" s="41">
        <v>0</v>
      </c>
      <c r="D10" s="41">
        <v>-15</v>
      </c>
      <c r="E10" s="49">
        <f t="shared" si="3"/>
        <v>0.58333333333333337</v>
      </c>
      <c r="F10" s="49">
        <f t="shared" si="4"/>
        <v>1.8333333333333333</v>
      </c>
      <c r="G10" t="str">
        <f t="shared" si="6"/>
        <v>defensivni</v>
      </c>
      <c r="H10" t="str">
        <f t="shared" si="5"/>
        <v>agresivni</v>
      </c>
    </row>
    <row r="11" spans="1:9" ht="16.5" thickBot="1" x14ac:dyDescent="0.3">
      <c r="A11" s="47">
        <v>9</v>
      </c>
      <c r="B11" s="41">
        <v>18</v>
      </c>
      <c r="C11" s="41">
        <v>12</v>
      </c>
      <c r="D11" s="41">
        <v>28</v>
      </c>
      <c r="E11" s="49">
        <f t="shared" si="3"/>
        <v>0.45454545454545453</v>
      </c>
      <c r="F11" s="49">
        <f t="shared" si="4"/>
        <v>1.9090909090909092</v>
      </c>
      <c r="G11" t="str">
        <f t="shared" si="6"/>
        <v>defensivni</v>
      </c>
      <c r="H11" t="str">
        <f t="shared" si="5"/>
        <v>agresivni</v>
      </c>
    </row>
    <row r="12" spans="1:9" ht="16.5" thickBot="1" x14ac:dyDescent="0.3">
      <c r="A12" s="48">
        <v>10</v>
      </c>
      <c r="B12" s="49">
        <v>21</v>
      </c>
      <c r="C12" s="49">
        <v>15</v>
      </c>
      <c r="D12" s="49">
        <v>36</v>
      </c>
      <c r="E12" s="49">
        <f>(C12-$I$1)/($B12-$I$1)</f>
        <v>0.5714285714285714</v>
      </c>
      <c r="F12" s="49">
        <f>(D12-$I$1)/($B12-$I$1)</f>
        <v>2.0714285714285716</v>
      </c>
      <c r="G12" t="str">
        <f t="shared" si="6"/>
        <v>defensivni</v>
      </c>
      <c r="H12" t="str">
        <f t="shared" si="5"/>
        <v>agresivni</v>
      </c>
    </row>
    <row r="13" spans="1:9" ht="15.75" thickTop="1" x14ac:dyDescent="0.25">
      <c r="A13" t="s">
        <v>75</v>
      </c>
      <c r="B13">
        <f>AVERAGE(B3:B12)</f>
        <v>14.6</v>
      </c>
      <c r="C13">
        <f t="shared" ref="C13:D13" si="7">AVERAGE(C3:C12)</f>
        <v>10</v>
      </c>
      <c r="D13">
        <f t="shared" si="7"/>
        <v>17.600000000000001</v>
      </c>
    </row>
    <row r="14" spans="1:9" x14ac:dyDescent="0.25">
      <c r="A14" t="s">
        <v>72</v>
      </c>
      <c r="B14">
        <f>_xlfn.COVARIANCE.S($B$3:$B$12,B3:B12)</f>
        <v>105.37777777777779</v>
      </c>
      <c r="C14">
        <f t="shared" ref="C14:D14" si="8">_xlfn.COVARIANCE.S($B$3:$B$12,C3:C12)</f>
        <v>61.444444444444429</v>
      </c>
      <c r="D14">
        <f t="shared" si="8"/>
        <v>166.37777777777777</v>
      </c>
    </row>
    <row r="15" spans="1:9" x14ac:dyDescent="0.25">
      <c r="A15" t="s">
        <v>73</v>
      </c>
      <c r="B15">
        <f>B14/$B$14</f>
        <v>1</v>
      </c>
      <c r="C15">
        <f t="shared" ref="C15:D15" si="9">C14/$B$14</f>
        <v>0.58308730493462646</v>
      </c>
      <c r="D15">
        <f t="shared" si="9"/>
        <v>1.5788696752425133</v>
      </c>
    </row>
    <row r="17" spans="1:4" x14ac:dyDescent="0.25">
      <c r="B17" t="s">
        <v>76</v>
      </c>
      <c r="C17" t="s">
        <v>77</v>
      </c>
    </row>
    <row r="18" spans="1:4" x14ac:dyDescent="0.25">
      <c r="A18" t="s">
        <v>74</v>
      </c>
      <c r="B18">
        <f>$I$1+C15*($B$13-$I$1)</f>
        <v>11.431463517503161</v>
      </c>
      <c r="C18">
        <f>$I$1+D15*($B$13-$I$1)</f>
        <v>18.999409531843099</v>
      </c>
    </row>
    <row r="20" spans="1:4" x14ac:dyDescent="0.25">
      <c r="B20" t="s">
        <v>67</v>
      </c>
      <c r="C20" t="s">
        <v>76</v>
      </c>
      <c r="D20" t="s">
        <v>77</v>
      </c>
    </row>
    <row r="21" spans="1:4" x14ac:dyDescent="0.25">
      <c r="A21" t="s">
        <v>78</v>
      </c>
      <c r="B21">
        <f>I1</f>
        <v>7</v>
      </c>
      <c r="C21">
        <f>B18</f>
        <v>11.431463517503161</v>
      </c>
      <c r="D21">
        <f>C18</f>
        <v>18.999409531843099</v>
      </c>
    </row>
    <row r="22" spans="1:4" x14ac:dyDescent="0.25">
      <c r="A22" t="s">
        <v>73</v>
      </c>
      <c r="B22">
        <v>0</v>
      </c>
      <c r="C22">
        <f>C15</f>
        <v>0.58308730493462646</v>
      </c>
      <c r="D22">
        <f>D15</f>
        <v>1.5788696752425133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51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200025</xdr:colOff>
                <xdr:row>2</xdr:row>
                <xdr:rowOff>0</xdr:rowOff>
              </to>
            </anchor>
          </objectPr>
        </oleObject>
      </mc:Choice>
      <mc:Fallback>
        <oleObject progId="Equation.3" shapeId="5125" r:id="rId4"/>
      </mc:Fallback>
    </mc:AlternateContent>
    <mc:AlternateContent xmlns:mc="http://schemas.openxmlformats.org/markup-compatibility/2006">
      <mc:Choice Requires="x14">
        <oleObject progId="Equation.3" shapeId="5124" r:id="rId6">
          <objectPr defaultSize="0" autoPict="0" r:id="rId7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123825</xdr:colOff>
                <xdr:row>2</xdr:row>
                <xdr:rowOff>9525</xdr:rowOff>
              </to>
            </anchor>
          </objectPr>
        </oleObject>
      </mc:Choice>
      <mc:Fallback>
        <oleObject progId="Equation.3" shapeId="5124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152400</xdr:colOff>
                <xdr:row>2</xdr:row>
                <xdr:rowOff>19050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2" r:id="rId10">
          <objectPr defaultSize="0" autoPict="0" r:id="rId11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200025</xdr:colOff>
                <xdr:row>2</xdr:row>
                <xdr:rowOff>47625</xdr:rowOff>
              </to>
            </anchor>
          </objectPr>
        </oleObject>
      </mc:Choice>
      <mc:Fallback>
        <oleObject progId="Equation.3" shapeId="5122" r:id="rId10"/>
      </mc:Fallback>
    </mc:AlternateContent>
    <mc:AlternateContent xmlns:mc="http://schemas.openxmlformats.org/markup-compatibility/2006">
      <mc:Choice Requires="x14">
        <oleObject progId="Equation.3" shapeId="5121" r:id="rId12">
          <objectPr defaultSize="0" autoPict="0" r:id="rId13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Equation.3" shapeId="512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Pr01</vt:lpstr>
      <vt:lpstr>Pr02</vt:lpstr>
      <vt:lpstr>Pr03</vt:lpstr>
      <vt:lpstr>Pr04</vt:lpstr>
      <vt:lpstr>Pr05</vt:lpstr>
      <vt:lpstr>Pr06</vt:lpstr>
      <vt:lpstr>'Pr03'!OLE_LINK2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2023-03-03T15:17:11Z</dcterms:created>
  <dcterms:modified xsi:type="dcterms:W3CDTF">2023-03-03T17:22:05Z</dcterms:modified>
</cp:coreProperties>
</file>