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TEPO_dist2023\"/>
    </mc:Choice>
  </mc:AlternateContent>
  <xr:revisionPtr revIDLastSave="0" documentId="8_{188EF817-3655-49C1-A595-6052232784FA}" xr6:coauthVersionLast="47" xr6:coauthVersionMax="47" xr10:uidLastSave="{00000000-0000-0000-0000-000000000000}"/>
  <bookViews>
    <workbookView xWindow="-120" yWindow="-120" windowWidth="29040" windowHeight="15840" activeTab="1" xr2:uid="{0343EDF1-753A-4D44-9FD0-BCA865B6EB29}"/>
  </bookViews>
  <sheets>
    <sheet name="Pr01" sheetId="1" r:id="rId1"/>
    <sheet name="Pr02" sheetId="2" r:id="rId2"/>
    <sheet name="Pr03" sheetId="3" r:id="rId3"/>
    <sheet name="Pr04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4" l="1" a="1"/>
  <c r="N5" i="4" s="1"/>
  <c r="H18" i="4" a="1"/>
  <c r="H19" i="4" s="1"/>
  <c r="H18" i="4"/>
  <c r="E18" i="4" a="1"/>
  <c r="E18" i="4" s="1"/>
  <c r="H15" i="4"/>
  <c r="H14" i="4"/>
  <c r="F15" i="4"/>
  <c r="E15" i="4"/>
  <c r="F14" i="4"/>
  <c r="E14" i="4"/>
  <c r="G5" i="3"/>
  <c r="G6" i="3"/>
  <c r="G7" i="3"/>
  <c r="G4" i="3"/>
  <c r="F5" i="3"/>
  <c r="F6" i="3"/>
  <c r="F7" i="3"/>
  <c r="F4" i="3"/>
  <c r="E5" i="3"/>
  <c r="E6" i="3"/>
  <c r="E7" i="3"/>
  <c r="E4" i="3"/>
  <c r="U68" i="2"/>
  <c r="U67" i="2"/>
  <c r="U65" i="2"/>
  <c r="V46" i="2"/>
  <c r="V63" i="2"/>
  <c r="U63" i="2"/>
  <c r="T63" i="2"/>
  <c r="T56" i="2"/>
  <c r="U56" i="2"/>
  <c r="V56" i="2"/>
  <c r="W56" i="2"/>
  <c r="X56" i="2"/>
  <c r="T57" i="2"/>
  <c r="U57" i="2"/>
  <c r="V57" i="2"/>
  <c r="W57" i="2"/>
  <c r="X57" i="2"/>
  <c r="T58" i="2"/>
  <c r="U58" i="2"/>
  <c r="V58" i="2"/>
  <c r="W58" i="2"/>
  <c r="X58" i="2"/>
  <c r="T59" i="2"/>
  <c r="U59" i="2"/>
  <c r="V59" i="2"/>
  <c r="W59" i="2"/>
  <c r="X59" i="2"/>
  <c r="U55" i="2"/>
  <c r="V55" i="2"/>
  <c r="W55" i="2"/>
  <c r="X55" i="2"/>
  <c r="T55" i="2"/>
  <c r="T54" i="2" a="1"/>
  <c r="T54" i="2" s="1"/>
  <c r="V54" i="2"/>
  <c r="W54" i="2"/>
  <c r="S63" i="2" a="1"/>
  <c r="S63" i="2" s="1"/>
  <c r="H63" i="2" a="1"/>
  <c r="K63" i="2" s="1"/>
  <c r="H61" i="2" a="1"/>
  <c r="K61" i="2" s="1"/>
  <c r="H57" i="2"/>
  <c r="I57" i="2"/>
  <c r="J57" i="2"/>
  <c r="K57" i="2"/>
  <c r="L57" i="2"/>
  <c r="H58" i="2"/>
  <c r="I58" i="2"/>
  <c r="J58" i="2"/>
  <c r="K58" i="2"/>
  <c r="L58" i="2"/>
  <c r="H59" i="2"/>
  <c r="I59" i="2"/>
  <c r="J59" i="2"/>
  <c r="K59" i="2"/>
  <c r="L59" i="2"/>
  <c r="H60" i="2"/>
  <c r="I60" i="2"/>
  <c r="J60" i="2"/>
  <c r="K60" i="2"/>
  <c r="L60" i="2"/>
  <c r="I56" i="2"/>
  <c r="J56" i="2"/>
  <c r="K56" i="2"/>
  <c r="L56" i="2"/>
  <c r="H56" i="2"/>
  <c r="U51" i="2"/>
  <c r="V52" i="2"/>
  <c r="V51" i="2"/>
  <c r="U52" i="2"/>
  <c r="U49" i="2"/>
  <c r="U48" i="2" a="1"/>
  <c r="U48" i="2"/>
  <c r="U46" i="2"/>
  <c r="T46" i="2"/>
  <c r="T37" i="2"/>
  <c r="U37" i="2"/>
  <c r="V37" i="2"/>
  <c r="W37" i="2"/>
  <c r="X37" i="2"/>
  <c r="T38" i="2"/>
  <c r="U38" i="2"/>
  <c r="V38" i="2"/>
  <c r="W38" i="2"/>
  <c r="X38" i="2"/>
  <c r="T39" i="2"/>
  <c r="U39" i="2"/>
  <c r="V39" i="2"/>
  <c r="W39" i="2"/>
  <c r="X39" i="2"/>
  <c r="T40" i="2"/>
  <c r="U40" i="2"/>
  <c r="V40" i="2"/>
  <c r="W40" i="2"/>
  <c r="X40" i="2"/>
  <c r="U36" i="2"/>
  <c r="V36" i="2"/>
  <c r="W36" i="2"/>
  <c r="X36" i="2"/>
  <c r="T36" i="2"/>
  <c r="T35" i="2" a="1"/>
  <c r="U35" i="2" s="1"/>
  <c r="T35" i="2"/>
  <c r="V35" i="2"/>
  <c r="W35" i="2"/>
  <c r="X35" i="2"/>
  <c r="S46" i="2"/>
  <c r="P51" i="2"/>
  <c r="P47" i="2"/>
  <c r="P48" i="2"/>
  <c r="P49" i="2"/>
  <c r="P50" i="2"/>
  <c r="P46" i="2"/>
  <c r="O51" i="2"/>
  <c r="O46" i="2" a="1"/>
  <c r="O46" i="2" s="1"/>
  <c r="O48" i="2"/>
  <c r="O49" i="2"/>
  <c r="H46" i="2" a="1"/>
  <c r="H46" i="2" s="1"/>
  <c r="O40" i="2"/>
  <c r="O41" i="2"/>
  <c r="O42" i="2"/>
  <c r="O43" i="2"/>
  <c r="O39" i="2"/>
  <c r="Q39" i="2" a="1"/>
  <c r="Q39" i="2" s="1"/>
  <c r="I40" i="2"/>
  <c r="J40" i="2"/>
  <c r="K40" i="2"/>
  <c r="L40" i="2"/>
  <c r="I41" i="2"/>
  <c r="J41" i="2"/>
  <c r="K41" i="2"/>
  <c r="L41" i="2"/>
  <c r="I42" i="2"/>
  <c r="J42" i="2"/>
  <c r="K42" i="2"/>
  <c r="L42" i="2"/>
  <c r="I43" i="2"/>
  <c r="J43" i="2"/>
  <c r="K43" i="2"/>
  <c r="L43" i="2"/>
  <c r="H43" i="2"/>
  <c r="H42" i="2"/>
  <c r="H41" i="2"/>
  <c r="H40" i="2"/>
  <c r="I39" i="2"/>
  <c r="J39" i="2"/>
  <c r="K39" i="2"/>
  <c r="L39" i="2"/>
  <c r="H39" i="2"/>
  <c r="P9" i="2" a="1"/>
  <c r="P9" i="2" s="1"/>
  <c r="X31" i="2" a="1"/>
  <c r="X31" i="2" s="1"/>
  <c r="X29" i="2"/>
  <c r="X28" i="2"/>
  <c r="U29" i="2"/>
  <c r="V29" i="2"/>
  <c r="V28" i="2"/>
  <c r="U28" i="2"/>
  <c r="S31" i="2" a="1"/>
  <c r="S32" i="2" s="1"/>
  <c r="S31" i="2"/>
  <c r="P31" i="2" a="1"/>
  <c r="Q31" i="2" s="1"/>
  <c r="P31" i="2"/>
  <c r="S29" i="2"/>
  <c r="S28" i="2"/>
  <c r="Q29" i="2"/>
  <c r="P29" i="2"/>
  <c r="Q28" i="2"/>
  <c r="P28" i="2"/>
  <c r="I28" i="2"/>
  <c r="J28" i="2"/>
  <c r="K28" i="2"/>
  <c r="L28" i="2"/>
  <c r="M28" i="2"/>
  <c r="H28" i="2"/>
  <c r="I26" i="2"/>
  <c r="J26" i="2"/>
  <c r="K26" i="2"/>
  <c r="L26" i="2"/>
  <c r="M26" i="2"/>
  <c r="H26" i="2"/>
  <c r="B25" i="2"/>
  <c r="I24" i="2"/>
  <c r="J24" i="2"/>
  <c r="K24" i="2"/>
  <c r="L24" i="2"/>
  <c r="M24" i="2"/>
  <c r="H24" i="2"/>
  <c r="I23" i="2"/>
  <c r="J23" i="2"/>
  <c r="K23" i="2"/>
  <c r="L23" i="2"/>
  <c r="M23" i="2"/>
  <c r="H23" i="2"/>
  <c r="I22" i="2"/>
  <c r="J22" i="2"/>
  <c r="K22" i="2"/>
  <c r="L22" i="2"/>
  <c r="M22" i="2"/>
  <c r="H22" i="2"/>
  <c r="H4" i="2"/>
  <c r="I4" i="2"/>
  <c r="J4" i="2"/>
  <c r="K4" i="2"/>
  <c r="L4" i="2"/>
  <c r="M4" i="2"/>
  <c r="H5" i="2"/>
  <c r="I5" i="2"/>
  <c r="J5" i="2"/>
  <c r="K5" i="2"/>
  <c r="L5" i="2"/>
  <c r="M5" i="2"/>
  <c r="H6" i="2"/>
  <c r="I6" i="2"/>
  <c r="J6" i="2"/>
  <c r="K6" i="2"/>
  <c r="L6" i="2"/>
  <c r="M6" i="2"/>
  <c r="H7" i="2"/>
  <c r="I7" i="2"/>
  <c r="J7" i="2"/>
  <c r="K7" i="2"/>
  <c r="L7" i="2"/>
  <c r="M7" i="2"/>
  <c r="H8" i="2"/>
  <c r="I8" i="2"/>
  <c r="J8" i="2"/>
  <c r="K8" i="2"/>
  <c r="L8" i="2"/>
  <c r="M8" i="2"/>
  <c r="H9" i="2"/>
  <c r="I9" i="2"/>
  <c r="J9" i="2"/>
  <c r="K9" i="2"/>
  <c r="L9" i="2"/>
  <c r="M9" i="2"/>
  <c r="H10" i="2"/>
  <c r="I10" i="2"/>
  <c r="J10" i="2"/>
  <c r="K10" i="2"/>
  <c r="L10" i="2"/>
  <c r="M10" i="2"/>
  <c r="H11" i="2"/>
  <c r="I11" i="2"/>
  <c r="J11" i="2"/>
  <c r="K11" i="2"/>
  <c r="L11" i="2"/>
  <c r="M11" i="2"/>
  <c r="H12" i="2"/>
  <c r="I12" i="2"/>
  <c r="J12" i="2"/>
  <c r="K12" i="2"/>
  <c r="L12" i="2"/>
  <c r="M12" i="2"/>
  <c r="H13" i="2"/>
  <c r="I13" i="2"/>
  <c r="J13" i="2"/>
  <c r="K13" i="2"/>
  <c r="L13" i="2"/>
  <c r="M13" i="2"/>
  <c r="H14" i="2"/>
  <c r="I14" i="2"/>
  <c r="J14" i="2"/>
  <c r="K14" i="2"/>
  <c r="L14" i="2"/>
  <c r="M14" i="2"/>
  <c r="H15" i="2"/>
  <c r="I15" i="2"/>
  <c r="J15" i="2"/>
  <c r="K15" i="2"/>
  <c r="L15" i="2"/>
  <c r="M15" i="2"/>
  <c r="H16" i="2"/>
  <c r="I16" i="2"/>
  <c r="J16" i="2"/>
  <c r="K16" i="2"/>
  <c r="L16" i="2"/>
  <c r="M16" i="2"/>
  <c r="H17" i="2"/>
  <c r="I17" i="2"/>
  <c r="J17" i="2"/>
  <c r="K17" i="2"/>
  <c r="L17" i="2"/>
  <c r="M17" i="2"/>
  <c r="H18" i="2"/>
  <c r="I18" i="2"/>
  <c r="J18" i="2"/>
  <c r="K18" i="2"/>
  <c r="L18" i="2"/>
  <c r="M18" i="2"/>
  <c r="H19" i="2"/>
  <c r="I19" i="2"/>
  <c r="J19" i="2"/>
  <c r="K19" i="2"/>
  <c r="L19" i="2"/>
  <c r="M19" i="2"/>
  <c r="H20" i="2"/>
  <c r="I20" i="2"/>
  <c r="J20" i="2"/>
  <c r="K20" i="2"/>
  <c r="L20" i="2"/>
  <c r="M20" i="2"/>
  <c r="H21" i="2"/>
  <c r="I21" i="2"/>
  <c r="J21" i="2"/>
  <c r="K21" i="2"/>
  <c r="L21" i="2"/>
  <c r="M21" i="2"/>
  <c r="I1" i="2"/>
  <c r="J1" i="2"/>
  <c r="K1" i="2"/>
  <c r="L1" i="2"/>
  <c r="M1" i="2"/>
  <c r="H1" i="2"/>
  <c r="I3" i="2"/>
  <c r="J3" i="2"/>
  <c r="K3" i="2"/>
  <c r="L3" i="2"/>
  <c r="M3" i="2"/>
  <c r="H3" i="2"/>
  <c r="G6" i="1"/>
  <c r="H6" i="1" s="1"/>
  <c r="H3" i="1"/>
  <c r="H4" i="1"/>
  <c r="H5" i="1"/>
  <c r="H2" i="1"/>
  <c r="F2" i="1"/>
  <c r="G3" i="1"/>
  <c r="G4" i="1"/>
  <c r="G5" i="1"/>
  <c r="G2" i="1"/>
  <c r="F6" i="1"/>
  <c r="F3" i="1"/>
  <c r="F4" i="1"/>
  <c r="F5" i="1"/>
  <c r="E3" i="1"/>
  <c r="E4" i="1"/>
  <c r="E5" i="1"/>
  <c r="E6" i="1"/>
  <c r="E2" i="1"/>
  <c r="N8" i="4" l="1"/>
  <c r="N6" i="4"/>
  <c r="O6" i="4"/>
  <c r="O9" i="4"/>
  <c r="O7" i="4"/>
  <c r="O5" i="4"/>
  <c r="O8" i="4"/>
  <c r="N9" i="4"/>
  <c r="N7" i="4"/>
  <c r="E19" i="4"/>
  <c r="F18" i="4"/>
  <c r="F19" i="4"/>
  <c r="U54" i="2"/>
  <c r="X54" i="2"/>
  <c r="L68" i="2"/>
  <c r="H68" i="2"/>
  <c r="J67" i="2"/>
  <c r="L66" i="2"/>
  <c r="H66" i="2"/>
  <c r="J65" i="2"/>
  <c r="L64" i="2"/>
  <c r="H64" i="2"/>
  <c r="J63" i="2"/>
  <c r="K68" i="2"/>
  <c r="M67" i="2"/>
  <c r="I67" i="2"/>
  <c r="K66" i="2"/>
  <c r="M65" i="2"/>
  <c r="I65" i="2"/>
  <c r="K64" i="2"/>
  <c r="M63" i="2"/>
  <c r="I63" i="2"/>
  <c r="J68" i="2"/>
  <c r="L67" i="2"/>
  <c r="H67" i="2"/>
  <c r="J66" i="2"/>
  <c r="L65" i="2"/>
  <c r="H65" i="2"/>
  <c r="J64" i="2"/>
  <c r="L63" i="2"/>
  <c r="H63" i="2"/>
  <c r="M68" i="2"/>
  <c r="I68" i="2"/>
  <c r="K67" i="2"/>
  <c r="M66" i="2"/>
  <c r="I66" i="2"/>
  <c r="K65" i="2"/>
  <c r="M64" i="2"/>
  <c r="I64" i="2"/>
  <c r="J61" i="2"/>
  <c r="I61" i="2"/>
  <c r="L61" i="2"/>
  <c r="H61" i="2"/>
  <c r="O47" i="2"/>
  <c r="O50" i="2"/>
  <c r="L49" i="2"/>
  <c r="I48" i="2"/>
  <c r="J47" i="2"/>
  <c r="J50" i="2"/>
  <c r="L48" i="2"/>
  <c r="H48" i="2"/>
  <c r="J46" i="2"/>
  <c r="I50" i="2"/>
  <c r="J49" i="2"/>
  <c r="K48" i="2"/>
  <c r="L47" i="2"/>
  <c r="H47" i="2"/>
  <c r="I46" i="2"/>
  <c r="K50" i="2"/>
  <c r="H49" i="2"/>
  <c r="K46" i="2"/>
  <c r="K49" i="2"/>
  <c r="I47" i="2"/>
  <c r="L50" i="2"/>
  <c r="H50" i="2"/>
  <c r="I49" i="2"/>
  <c r="J48" i="2"/>
  <c r="K47" i="2"/>
  <c r="L46" i="2"/>
  <c r="Q42" i="2"/>
  <c r="Q41" i="2"/>
  <c r="Q40" i="2"/>
  <c r="Q43" i="2"/>
  <c r="Q12" i="2"/>
  <c r="Q10" i="2"/>
  <c r="P12" i="2"/>
  <c r="P10" i="2"/>
  <c r="Q13" i="2"/>
  <c r="Q11" i="2"/>
  <c r="Q9" i="2"/>
  <c r="P13" i="2"/>
  <c r="P11" i="2"/>
  <c r="X32" i="2"/>
  <c r="Q32" i="2"/>
  <c r="P32" i="2"/>
</calcChain>
</file>

<file path=xl/sharedStrings.xml><?xml version="1.0" encoding="utf-8"?>
<sst xmlns="http://schemas.openxmlformats.org/spreadsheetml/2006/main" count="86" uniqueCount="60">
  <si>
    <r>
      <t>r</t>
    </r>
    <r>
      <rPr>
        <b/>
        <sz val="8"/>
        <color theme="1"/>
        <rFont val="Arial"/>
        <family val="2"/>
        <charset val="238"/>
      </rPr>
      <t>i</t>
    </r>
  </si>
  <si>
    <r>
      <t>korelace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i a M</t>
    </r>
  </si>
  <si>
    <t>sigma i</t>
  </si>
  <si>
    <r>
      <t>C</t>
    </r>
    <r>
      <rPr>
        <b/>
        <sz val="8"/>
        <color theme="1"/>
        <rFont val="Arial"/>
        <family val="2"/>
        <charset val="238"/>
      </rPr>
      <t>1</t>
    </r>
  </si>
  <si>
    <r>
      <t>C</t>
    </r>
    <r>
      <rPr>
        <b/>
        <sz val="8"/>
        <color theme="1"/>
        <rFont val="Arial"/>
        <family val="2"/>
        <charset val="238"/>
      </rPr>
      <t>2</t>
    </r>
  </si>
  <si>
    <r>
      <t>C</t>
    </r>
    <r>
      <rPr>
        <b/>
        <sz val="8"/>
        <color theme="1"/>
        <rFont val="Arial"/>
        <family val="2"/>
        <charset val="238"/>
      </rPr>
      <t>3</t>
    </r>
  </si>
  <si>
    <t>TP</t>
  </si>
  <si>
    <r>
      <t>r</t>
    </r>
    <r>
      <rPr>
        <b/>
        <sz val="8"/>
        <color theme="1"/>
        <rFont val="Arial"/>
        <family val="2"/>
        <charset val="238"/>
      </rPr>
      <t>f</t>
    </r>
  </si>
  <si>
    <t>covar_i</t>
  </si>
  <si>
    <t>beta_i</t>
  </si>
  <si>
    <t>re_i</t>
  </si>
  <si>
    <t>Valuace</t>
  </si>
  <si>
    <t>den</t>
  </si>
  <si>
    <t>Český Telecom</t>
  </si>
  <si>
    <t>ČEZ</t>
  </si>
  <si>
    <t>Komerční banka</t>
  </si>
  <si>
    <t>UNIPETROL</t>
  </si>
  <si>
    <t>IPB</t>
  </si>
  <si>
    <t>PX50</t>
  </si>
  <si>
    <t>E (ri)</t>
  </si>
  <si>
    <t>covar_i,m</t>
  </si>
  <si>
    <t>rf</t>
  </si>
  <si>
    <t>p.a.</t>
  </si>
  <si>
    <t>počet ob.dnu</t>
  </si>
  <si>
    <t>p.d.</t>
  </si>
  <si>
    <t>delta</t>
  </si>
  <si>
    <t>OLS-min.ctv.</t>
  </si>
  <si>
    <t>n</t>
  </si>
  <si>
    <t>sum_X</t>
  </si>
  <si>
    <t>Sum_X^2</t>
  </si>
  <si>
    <t>sum_Y</t>
  </si>
  <si>
    <t>sum_Y*X</t>
  </si>
  <si>
    <t>vps</t>
  </si>
  <si>
    <t>alfa</t>
  </si>
  <si>
    <t>beta</t>
  </si>
  <si>
    <t>Český telecom</t>
  </si>
  <si>
    <t>CEZ</t>
  </si>
  <si>
    <t>Tg_portfolio</t>
  </si>
  <si>
    <t>CovM</t>
  </si>
  <si>
    <t>VPS</t>
  </si>
  <si>
    <t>InvM</t>
  </si>
  <si>
    <t>Zi</t>
  </si>
  <si>
    <t>sum_z_i</t>
  </si>
  <si>
    <t>wi</t>
  </si>
  <si>
    <t>Rp</t>
  </si>
  <si>
    <t>VarP</t>
  </si>
  <si>
    <t>SigmaP</t>
  </si>
  <si>
    <t>Beta_P</t>
  </si>
  <si>
    <t>SystVarP</t>
  </si>
  <si>
    <t>NesVarP</t>
  </si>
  <si>
    <t>MinVariance</t>
  </si>
  <si>
    <t>ratio</t>
  </si>
  <si>
    <t>Ci</t>
  </si>
  <si>
    <t>r_i</t>
  </si>
  <si>
    <t>rm</t>
  </si>
  <si>
    <t>delta_i</t>
  </si>
  <si>
    <t>valCP</t>
  </si>
  <si>
    <t>Rok</t>
  </si>
  <si>
    <t>Tržní portfolio</t>
  </si>
  <si>
    <r>
      <t>Společnost S</t>
    </r>
    <r>
      <rPr>
        <b/>
        <vertAlign val="subscript"/>
        <sz val="12"/>
        <color theme="1"/>
        <rFont val="Times New Roman"/>
        <family val="1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</si>
</sst>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'Pr01'!$F$2:$F$6</c:f>
              <c:numCache>
                <c:formatCode>General</c:formatCode>
                <c:ptCount val="5"/>
                <c:pt idx="0">
                  <c:v>1.5</c:v>
                </c:pt>
                <c:pt idx="1">
                  <c:v>0.60000000000000009</c:v>
                </c:pt>
                <c:pt idx="2">
                  <c:v>0.625</c:v>
                </c:pt>
                <c:pt idx="3">
                  <c:v>1</c:v>
                </c:pt>
                <c:pt idx="4">
                  <c:v>0</c:v>
                </c:pt>
              </c:numCache>
            </c:numRef>
          </c:xVal>
          <c:yVal>
            <c:numRef>
              <c:f>'Pr01'!$G$2:$G$6</c:f>
              <c:numCache>
                <c:formatCode>General</c:formatCode>
                <c:ptCount val="5"/>
                <c:pt idx="0">
                  <c:v>15.5</c:v>
                </c:pt>
                <c:pt idx="1">
                  <c:v>9.2000000000000011</c:v>
                </c:pt>
                <c:pt idx="2">
                  <c:v>9.375</c:v>
                </c:pt>
                <c:pt idx="3">
                  <c:v>12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EA-4D2A-BA9E-86274F7AF98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'Pr01'!$F$2:$F$6</c:f>
              <c:numCache>
                <c:formatCode>General</c:formatCode>
                <c:ptCount val="5"/>
                <c:pt idx="0">
                  <c:v>1.5</c:v>
                </c:pt>
                <c:pt idx="1">
                  <c:v>0.60000000000000009</c:v>
                </c:pt>
                <c:pt idx="2">
                  <c:v>0.625</c:v>
                </c:pt>
                <c:pt idx="3">
                  <c:v>1</c:v>
                </c:pt>
                <c:pt idx="4">
                  <c:v>0</c:v>
                </c:pt>
              </c:numCache>
            </c:numRef>
          </c:xVal>
          <c:yVal>
            <c:numRef>
              <c:f>'Pr01'!$B$2:$B$6</c:f>
              <c:numCache>
                <c:formatCode>General</c:formatCode>
                <c:ptCount val="5"/>
                <c:pt idx="0">
                  <c:v>15.5</c:v>
                </c:pt>
                <c:pt idx="1">
                  <c:v>9.1999999999999993</c:v>
                </c:pt>
                <c:pt idx="2">
                  <c:v>11.2</c:v>
                </c:pt>
                <c:pt idx="3">
                  <c:v>12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EA-4D2A-BA9E-86274F7AF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259295"/>
        <c:axId val="1098243487"/>
      </c:scatterChart>
      <c:valAx>
        <c:axId val="109825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98243487"/>
        <c:crosses val="autoZero"/>
        <c:crossBetween val="midCat"/>
      </c:valAx>
      <c:valAx>
        <c:axId val="1098243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98259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backward val="1"/>
            <c:dispRSqr val="0"/>
            <c:dispEq val="0"/>
          </c:trendline>
          <c:xVal>
            <c:numRef>
              <c:f>'Pr03'!$C$4:$C$7</c:f>
              <c:numCache>
                <c:formatCode>General</c:formatCode>
                <c:ptCount val="4"/>
                <c:pt idx="0">
                  <c:v>1.75</c:v>
                </c:pt>
                <c:pt idx="1">
                  <c:v>1.2</c:v>
                </c:pt>
                <c:pt idx="2">
                  <c:v>1.3</c:v>
                </c:pt>
                <c:pt idx="3">
                  <c:v>0.75</c:v>
                </c:pt>
              </c:numCache>
            </c:numRef>
          </c:xVal>
          <c:yVal>
            <c:numRef>
              <c:f>'Pr03'!$E$4:$E$7</c:f>
              <c:numCache>
                <c:formatCode>General</c:formatCode>
                <c:ptCount val="4"/>
                <c:pt idx="0">
                  <c:v>21</c:v>
                </c:pt>
                <c:pt idx="1">
                  <c:v>16.600000000000001</c:v>
                </c:pt>
                <c:pt idx="2">
                  <c:v>17.399999999999999</c:v>
                </c:pt>
                <c:pt idx="3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F5-450A-ABE0-668B14C5FCD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'Pr03'!$C$4:$C$7</c:f>
              <c:numCache>
                <c:formatCode>General</c:formatCode>
                <c:ptCount val="4"/>
                <c:pt idx="0">
                  <c:v>1.75</c:v>
                </c:pt>
                <c:pt idx="1">
                  <c:v>1.2</c:v>
                </c:pt>
                <c:pt idx="2">
                  <c:v>1.3</c:v>
                </c:pt>
                <c:pt idx="3">
                  <c:v>0.75</c:v>
                </c:pt>
              </c:numCache>
            </c:numRef>
          </c:xVal>
          <c:yVal>
            <c:numRef>
              <c:f>'Pr03'!$D$4:$D$7</c:f>
              <c:numCache>
                <c:formatCode>General</c:formatCode>
                <c:ptCount val="4"/>
                <c:pt idx="0">
                  <c:v>16.7</c:v>
                </c:pt>
                <c:pt idx="1">
                  <c:v>24</c:v>
                </c:pt>
                <c:pt idx="2">
                  <c:v>17.399999999999999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F5-450A-ABE0-668B14C5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267615"/>
        <c:axId val="1098266367"/>
      </c:scatterChart>
      <c:valAx>
        <c:axId val="1098267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98266367"/>
        <c:crosses val="autoZero"/>
        <c:crossBetween val="midCat"/>
      </c:valAx>
      <c:valAx>
        <c:axId val="1098266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98267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0914041994750656E-2"/>
                  <c:y val="-0.299019028871391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'Pr04'!$B$2:$B$11</c:f>
              <c:numCache>
                <c:formatCode>General</c:formatCode>
                <c:ptCount val="10"/>
                <c:pt idx="0">
                  <c:v>8</c:v>
                </c:pt>
                <c:pt idx="1">
                  <c:v>0</c:v>
                </c:pt>
                <c:pt idx="2">
                  <c:v>14.9</c:v>
                </c:pt>
                <c:pt idx="3">
                  <c:v>5</c:v>
                </c:pt>
                <c:pt idx="4">
                  <c:v>4.0999999999999996</c:v>
                </c:pt>
                <c:pt idx="5">
                  <c:v>8.9</c:v>
                </c:pt>
                <c:pt idx="6">
                  <c:v>10.1</c:v>
                </c:pt>
                <c:pt idx="7">
                  <c:v>5</c:v>
                </c:pt>
                <c:pt idx="8">
                  <c:v>1.5</c:v>
                </c:pt>
                <c:pt idx="9">
                  <c:v>2.4</c:v>
                </c:pt>
              </c:numCache>
            </c:numRef>
          </c:xVal>
          <c:yVal>
            <c:numRef>
              <c:f>'Pr04'!$C$2:$C$11</c:f>
              <c:numCache>
                <c:formatCode>General</c:formatCode>
                <c:ptCount val="10"/>
                <c:pt idx="0">
                  <c:v>8.1</c:v>
                </c:pt>
                <c:pt idx="1">
                  <c:v>3</c:v>
                </c:pt>
                <c:pt idx="2">
                  <c:v>5.3</c:v>
                </c:pt>
                <c:pt idx="3">
                  <c:v>1</c:v>
                </c:pt>
                <c:pt idx="4">
                  <c:v>3.1</c:v>
                </c:pt>
                <c:pt idx="5">
                  <c:v>3</c:v>
                </c:pt>
                <c:pt idx="6">
                  <c:v>5</c:v>
                </c:pt>
                <c:pt idx="7">
                  <c:v>3.2</c:v>
                </c:pt>
                <c:pt idx="8">
                  <c:v>1.2</c:v>
                </c:pt>
                <c:pt idx="9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E1-415E-A430-BBEDAFF3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273231"/>
        <c:axId val="1301267407"/>
      </c:scatterChart>
      <c:valAx>
        <c:axId val="1301273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1267407"/>
        <c:crosses val="autoZero"/>
        <c:crossBetween val="midCat"/>
      </c:valAx>
      <c:valAx>
        <c:axId val="130126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1273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10</xdr:row>
      <xdr:rowOff>185737</xdr:rowOff>
    </xdr:from>
    <xdr:to>
      <xdr:col>18</xdr:col>
      <xdr:colOff>228600</xdr:colOff>
      <xdr:row>25</xdr:row>
      <xdr:rowOff>71437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2BFD580-74EE-4B3D-93F9-2D9600229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11</xdr:row>
      <xdr:rowOff>166687</xdr:rowOff>
    </xdr:from>
    <xdr:to>
      <xdr:col>15</xdr:col>
      <xdr:colOff>581025</xdr:colOff>
      <xdr:row>26</xdr:row>
      <xdr:rowOff>52387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DFDB8CF-8FB4-4DEB-822C-2D03D8CC4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12</xdr:row>
      <xdr:rowOff>138112</xdr:rowOff>
    </xdr:from>
    <xdr:to>
      <xdr:col>17</xdr:col>
      <xdr:colOff>209550</xdr:colOff>
      <xdr:row>27</xdr:row>
      <xdr:rowOff>23812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7B7AB53-4E36-49F0-B66A-8FD816BEB8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4C94-FB11-4C9B-A028-E8DE6B253DEB}">
  <dimension ref="A1:H6"/>
  <sheetViews>
    <sheetView workbookViewId="0">
      <selection activeCell="G7" sqref="G7"/>
    </sheetView>
  </sheetViews>
  <sheetFormatPr defaultRowHeight="15" x14ac:dyDescent="0.25"/>
  <sheetData>
    <row r="1" spans="1:8" ht="27.75" thickBot="1" x14ac:dyDescent="0.3">
      <c r="A1" s="1"/>
      <c r="B1" s="2" t="s">
        <v>0</v>
      </c>
      <c r="C1" s="3" t="s">
        <v>1</v>
      </c>
      <c r="D1" s="4" t="s">
        <v>2</v>
      </c>
      <c r="E1" t="s">
        <v>8</v>
      </c>
      <c r="F1" t="s">
        <v>9</v>
      </c>
      <c r="G1" t="s">
        <v>10</v>
      </c>
      <c r="H1" t="s">
        <v>11</v>
      </c>
    </row>
    <row r="2" spans="1:8" x14ac:dyDescent="0.25">
      <c r="A2" s="5" t="s">
        <v>3</v>
      </c>
      <c r="B2" s="6">
        <v>15.5</v>
      </c>
      <c r="C2" s="6">
        <v>0.9</v>
      </c>
      <c r="D2" s="7">
        <v>20</v>
      </c>
      <c r="E2">
        <f>C2*D2*$D$5</f>
        <v>216</v>
      </c>
      <c r="F2">
        <f>E2/$E$5</f>
        <v>1.5</v>
      </c>
      <c r="G2">
        <f>$B$6+F2*($B$5-$B$6)</f>
        <v>15.5</v>
      </c>
      <c r="H2" t="str">
        <f>IF(B2&gt;G2,"podhodnocen",IF(G2=B2,"spravna hodnota","nadhodnocen"))</f>
        <v>spravna hodnota</v>
      </c>
    </row>
    <row r="3" spans="1:8" x14ac:dyDescent="0.25">
      <c r="A3" s="8" t="s">
        <v>4</v>
      </c>
      <c r="B3" s="6">
        <v>9.1999999999999993</v>
      </c>
      <c r="C3" s="6">
        <v>0.8</v>
      </c>
      <c r="D3" s="7">
        <v>9</v>
      </c>
      <c r="E3">
        <f t="shared" ref="E3:E6" si="0">C3*D3*$D$5</f>
        <v>86.4</v>
      </c>
      <c r="F3">
        <f t="shared" ref="F3:F5" si="1">E3/$E$5</f>
        <v>0.60000000000000009</v>
      </c>
      <c r="G3">
        <f t="shared" ref="G3:G5" si="2">$B$6+F3*($B$5-$B$6)</f>
        <v>9.2000000000000011</v>
      </c>
      <c r="H3" t="str">
        <f t="shared" ref="H3:H6" si="3">IF(B3&gt;G3,"podhodnocen",IF(G3=B3,"spravna hodnota","nadhodnocen"))</f>
        <v>spravna hodnota</v>
      </c>
    </row>
    <row r="4" spans="1:8" x14ac:dyDescent="0.25">
      <c r="A4" s="5" t="s">
        <v>5</v>
      </c>
      <c r="B4" s="6">
        <v>11.2</v>
      </c>
      <c r="C4" s="6">
        <v>0.5</v>
      </c>
      <c r="D4" s="7">
        <v>15</v>
      </c>
      <c r="E4">
        <f t="shared" si="0"/>
        <v>90</v>
      </c>
      <c r="F4">
        <f t="shared" si="1"/>
        <v>0.625</v>
      </c>
      <c r="G4">
        <f t="shared" si="2"/>
        <v>9.375</v>
      </c>
      <c r="H4" t="str">
        <f t="shared" si="3"/>
        <v>podhodnocen</v>
      </c>
    </row>
    <row r="5" spans="1:8" x14ac:dyDescent="0.25">
      <c r="A5" s="8" t="s">
        <v>6</v>
      </c>
      <c r="B5" s="6">
        <v>12</v>
      </c>
      <c r="C5" s="6">
        <v>1</v>
      </c>
      <c r="D5" s="7">
        <v>12</v>
      </c>
      <c r="E5">
        <f t="shared" si="0"/>
        <v>144</v>
      </c>
      <c r="F5">
        <f t="shared" si="1"/>
        <v>1</v>
      </c>
      <c r="G5">
        <f t="shared" si="2"/>
        <v>12</v>
      </c>
      <c r="H5" t="str">
        <f t="shared" si="3"/>
        <v>spravna hodnota</v>
      </c>
    </row>
    <row r="6" spans="1:8" ht="15.75" thickBot="1" x14ac:dyDescent="0.3">
      <c r="A6" s="9" t="s">
        <v>7</v>
      </c>
      <c r="B6" s="10">
        <v>5</v>
      </c>
      <c r="C6" s="10">
        <v>0</v>
      </c>
      <c r="D6" s="11">
        <v>0</v>
      </c>
      <c r="E6">
        <f t="shared" si="0"/>
        <v>0</v>
      </c>
      <c r="F6">
        <f>E6/$E$5</f>
        <v>0</v>
      </c>
      <c r="G6">
        <f>B6</f>
        <v>5</v>
      </c>
      <c r="H6" t="str">
        <f t="shared" si="3"/>
        <v>spravna hodnota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0A2A-0991-4267-AD3B-73E9AC1AFC5D}">
  <dimension ref="A1:X68"/>
  <sheetViews>
    <sheetView tabSelected="1" workbookViewId="0">
      <selection activeCell="A21" sqref="A2:A21"/>
    </sheetView>
  </sheetViews>
  <sheetFormatPr defaultRowHeight="15" x14ac:dyDescent="0.25"/>
  <cols>
    <col min="8" max="8" width="14.28515625" bestFit="1" customWidth="1"/>
    <col min="9" max="9" width="12.7109375" bestFit="1" customWidth="1"/>
    <col min="20" max="21" width="12" bestFit="1" customWidth="1"/>
  </cols>
  <sheetData>
    <row r="1" spans="1:17" ht="15.75" thickBot="1" x14ac:dyDescent="0.3">
      <c r="A1" s="1" t="s">
        <v>12</v>
      </c>
      <c r="B1" s="12" t="s">
        <v>13</v>
      </c>
      <c r="C1" s="12" t="s">
        <v>14</v>
      </c>
      <c r="D1" s="12" t="s">
        <v>15</v>
      </c>
      <c r="E1" s="12" t="s">
        <v>16</v>
      </c>
      <c r="F1" s="12" t="s">
        <v>17</v>
      </c>
      <c r="G1" s="12" t="s">
        <v>18</v>
      </c>
      <c r="H1" t="str">
        <f>B1</f>
        <v>Český Telecom</v>
      </c>
      <c r="I1" t="str">
        <f t="shared" ref="I1:N1" si="0">C1</f>
        <v>ČEZ</v>
      </c>
      <c r="J1" t="str">
        <f t="shared" si="0"/>
        <v>Komerční banka</v>
      </c>
      <c r="K1" t="str">
        <f t="shared" si="0"/>
        <v>UNIPETROL</v>
      </c>
      <c r="L1" t="str">
        <f t="shared" si="0"/>
        <v>IPB</v>
      </c>
      <c r="M1" t="str">
        <f t="shared" si="0"/>
        <v>PX50</v>
      </c>
    </row>
    <row r="2" spans="1:17" ht="15.75" thickBot="1" x14ac:dyDescent="0.3">
      <c r="A2" s="13">
        <v>1</v>
      </c>
      <c r="B2" s="14">
        <v>570</v>
      </c>
      <c r="C2" s="14">
        <v>98.4</v>
      </c>
      <c r="D2" s="14">
        <v>669.1</v>
      </c>
      <c r="E2" s="14">
        <v>53.9</v>
      </c>
      <c r="F2" s="14">
        <v>103.5</v>
      </c>
      <c r="G2" s="14">
        <v>333.4</v>
      </c>
    </row>
    <row r="3" spans="1:17" ht="15.75" thickBot="1" x14ac:dyDescent="0.3">
      <c r="A3" s="13">
        <v>2</v>
      </c>
      <c r="B3" s="14">
        <v>569</v>
      </c>
      <c r="C3" s="14">
        <v>98.2</v>
      </c>
      <c r="D3" s="14">
        <v>715</v>
      </c>
      <c r="E3" s="14">
        <v>53.8</v>
      </c>
      <c r="F3" s="14">
        <v>103</v>
      </c>
      <c r="G3" s="14">
        <v>338.9</v>
      </c>
      <c r="H3">
        <f>LN(B3/B2)</f>
        <v>-1.7559267022649199E-3</v>
      </c>
      <c r="I3">
        <f t="shared" ref="I3:N3" si="1">LN(C3/C2)</f>
        <v>-2.0345886977875742E-3</v>
      </c>
      <c r="J3">
        <f t="shared" si="1"/>
        <v>6.6349016905236424E-2</v>
      </c>
      <c r="K3">
        <f t="shared" si="1"/>
        <v>-1.8570107472127711E-3</v>
      </c>
      <c r="L3">
        <f t="shared" si="1"/>
        <v>-4.8426244757880151E-3</v>
      </c>
      <c r="M3">
        <f t="shared" si="1"/>
        <v>1.6362108296311968E-2</v>
      </c>
    </row>
    <row r="4" spans="1:17" ht="15.75" thickBot="1" x14ac:dyDescent="0.3">
      <c r="A4" s="13">
        <v>3</v>
      </c>
      <c r="B4" s="14">
        <v>563.79999999999995</v>
      </c>
      <c r="C4" s="14">
        <v>96.6</v>
      </c>
      <c r="D4" s="14">
        <v>725</v>
      </c>
      <c r="E4" s="14">
        <v>53.2</v>
      </c>
      <c r="F4" s="14">
        <v>101.9</v>
      </c>
      <c r="G4" s="14">
        <v>346.8</v>
      </c>
      <c r="H4">
        <f t="shared" ref="H4:H21" si="2">LN(B4/B3)</f>
        <v>-9.180855446318836E-3</v>
      </c>
      <c r="I4">
        <f t="shared" ref="I4:I21" si="3">LN(C4/C3)</f>
        <v>-1.642747414194793E-2</v>
      </c>
      <c r="J4">
        <f t="shared" ref="J4:J21" si="4">LN(D4/D3)</f>
        <v>1.3889112160667093E-2</v>
      </c>
      <c r="K4">
        <f t="shared" ref="K4:K21" si="5">LN(E4/E3)</f>
        <v>-1.1215070820139957E-2</v>
      </c>
      <c r="L4">
        <f t="shared" ref="L4:L21" si="6">LN(F4/F3)</f>
        <v>-1.0737048000956569E-2</v>
      </c>
      <c r="M4">
        <f t="shared" ref="M4:M21" si="7">LN(G4/G3)</f>
        <v>2.3043166293381146E-2</v>
      </c>
    </row>
    <row r="5" spans="1:17" ht="15.75" thickBot="1" x14ac:dyDescent="0.3">
      <c r="A5" s="13">
        <v>4</v>
      </c>
      <c r="B5" s="14">
        <v>575.29999999999995</v>
      </c>
      <c r="C5" s="14">
        <v>96.5</v>
      </c>
      <c r="D5" s="14">
        <v>716</v>
      </c>
      <c r="E5" s="14">
        <v>53.9</v>
      </c>
      <c r="F5" s="14">
        <v>100</v>
      </c>
      <c r="G5" s="14">
        <v>347.8</v>
      </c>
      <c r="H5">
        <f t="shared" si="2"/>
        <v>2.0192065189235622E-2</v>
      </c>
      <c r="I5">
        <f t="shared" si="3"/>
        <v>-1.0357328735319795E-3</v>
      </c>
      <c r="J5">
        <f t="shared" si="4"/>
        <v>-1.2491487894029141E-2</v>
      </c>
      <c r="K5">
        <f t="shared" si="5"/>
        <v>1.3072081567352701E-2</v>
      </c>
      <c r="L5">
        <f t="shared" si="6"/>
        <v>-1.8821754240587858E-2</v>
      </c>
      <c r="M5">
        <f t="shared" si="7"/>
        <v>2.8793570137959509E-3</v>
      </c>
    </row>
    <row r="6" spans="1:17" ht="15.75" thickBot="1" x14ac:dyDescent="0.3">
      <c r="A6" s="13">
        <v>5</v>
      </c>
      <c r="B6" s="14">
        <v>595.1</v>
      </c>
      <c r="C6" s="14">
        <v>97</v>
      </c>
      <c r="D6" s="14">
        <v>725</v>
      </c>
      <c r="E6" s="14">
        <v>55.6</v>
      </c>
      <c r="F6" s="14">
        <v>101.6</v>
      </c>
      <c r="G6" s="14">
        <v>350.9</v>
      </c>
      <c r="H6">
        <f t="shared" si="2"/>
        <v>3.3837814781558756E-2</v>
      </c>
      <c r="I6">
        <f t="shared" si="3"/>
        <v>5.1679701584425976E-3</v>
      </c>
      <c r="J6">
        <f t="shared" si="4"/>
        <v>1.2491487894029053E-2</v>
      </c>
      <c r="K6">
        <f t="shared" si="5"/>
        <v>3.1052723341585216E-2</v>
      </c>
      <c r="L6">
        <f t="shared" si="6"/>
        <v>1.5873349156290163E-2</v>
      </c>
      <c r="M6">
        <f t="shared" si="7"/>
        <v>8.8736806689866613E-3</v>
      </c>
    </row>
    <row r="7" spans="1:17" ht="15.75" thickBot="1" x14ac:dyDescent="0.3">
      <c r="A7" s="13">
        <v>6</v>
      </c>
      <c r="B7" s="14">
        <v>602.79999999999995</v>
      </c>
      <c r="C7" s="14">
        <v>98.4</v>
      </c>
      <c r="D7" s="14">
        <v>727.5</v>
      </c>
      <c r="E7" s="14">
        <v>57</v>
      </c>
      <c r="F7" s="14">
        <v>101.2</v>
      </c>
      <c r="G7" s="14">
        <v>348.1</v>
      </c>
      <c r="H7">
        <f t="shared" si="2"/>
        <v>1.2856008101533955E-2</v>
      </c>
      <c r="I7">
        <f t="shared" si="3"/>
        <v>1.4329825554824868E-2</v>
      </c>
      <c r="J7">
        <f t="shared" si="4"/>
        <v>3.4423441909726986E-3</v>
      </c>
      <c r="K7">
        <f t="shared" si="5"/>
        <v>2.4868066578013524E-2</v>
      </c>
      <c r="L7">
        <f t="shared" si="6"/>
        <v>-3.9447782910162288E-3</v>
      </c>
      <c r="M7">
        <f t="shared" si="7"/>
        <v>-8.0114877717760834E-3</v>
      </c>
    </row>
    <row r="8" spans="1:17" ht="15.75" thickBot="1" x14ac:dyDescent="0.3">
      <c r="A8" s="13">
        <v>7</v>
      </c>
      <c r="B8" s="14">
        <v>601.79999999999995</v>
      </c>
      <c r="C8" s="14">
        <v>99</v>
      </c>
      <c r="D8" s="14">
        <v>716.6</v>
      </c>
      <c r="E8" s="14">
        <v>54.7</v>
      </c>
      <c r="F8" s="14">
        <v>102</v>
      </c>
      <c r="G8" s="14">
        <v>349.4</v>
      </c>
      <c r="H8">
        <f t="shared" si="2"/>
        <v>-1.6603025563955596E-3</v>
      </c>
      <c r="I8">
        <f t="shared" si="3"/>
        <v>6.0790460763821925E-3</v>
      </c>
      <c r="J8">
        <f t="shared" si="4"/>
        <v>-1.5096194174794133E-2</v>
      </c>
      <c r="K8">
        <f t="shared" si="5"/>
        <v>-4.1187558406614526E-2</v>
      </c>
      <c r="L8">
        <f t="shared" si="6"/>
        <v>7.8740564309058656E-3</v>
      </c>
      <c r="M8">
        <f t="shared" si="7"/>
        <v>3.7276028825627906E-3</v>
      </c>
      <c r="P8" s="16" t="s">
        <v>34</v>
      </c>
      <c r="Q8" s="18" t="s">
        <v>33</v>
      </c>
    </row>
    <row r="9" spans="1:17" ht="15.75" thickBot="1" x14ac:dyDescent="0.3">
      <c r="A9" s="13">
        <v>8</v>
      </c>
      <c r="B9" s="14">
        <v>601.29999999999995</v>
      </c>
      <c r="C9" s="14">
        <v>105.4</v>
      </c>
      <c r="D9" s="14">
        <v>721.5</v>
      </c>
      <c r="E9" s="14">
        <v>55.6</v>
      </c>
      <c r="F9" s="14">
        <v>101.6</v>
      </c>
      <c r="G9" s="14">
        <v>354.2</v>
      </c>
      <c r="H9">
        <f t="shared" si="2"/>
        <v>-8.3118615042190316E-4</v>
      </c>
      <c r="I9">
        <f t="shared" si="3"/>
        <v>6.2642785972672005E-2</v>
      </c>
      <c r="J9">
        <f t="shared" si="4"/>
        <v>6.8145733430721106E-3</v>
      </c>
      <c r="K9">
        <f t="shared" si="5"/>
        <v>1.6319491828601186E-2</v>
      </c>
      <c r="L9">
        <f t="shared" si="6"/>
        <v>-3.9292781398896611E-3</v>
      </c>
      <c r="M9">
        <f t="shared" si="7"/>
        <v>1.3644327648777061E-2</v>
      </c>
      <c r="P9" s="16">
        <f t="array" ref="P9:Q13">LINEST(H3:H21,M3:M21,1,1)</f>
        <v>-0.24623112718264459</v>
      </c>
      <c r="Q9" s="18">
        <v>1.3806733697076797E-2</v>
      </c>
    </row>
    <row r="10" spans="1:17" ht="15.75" thickBot="1" x14ac:dyDescent="0.3">
      <c r="A10" s="13">
        <v>9</v>
      </c>
      <c r="B10" s="14">
        <v>614.79999999999995</v>
      </c>
      <c r="C10" s="14">
        <v>116.9</v>
      </c>
      <c r="D10" s="14">
        <v>718.6</v>
      </c>
      <c r="E10" s="14">
        <v>55.9</v>
      </c>
      <c r="F10" s="14">
        <v>101.7</v>
      </c>
      <c r="G10" s="14">
        <v>361.1</v>
      </c>
      <c r="H10">
        <f t="shared" si="2"/>
        <v>2.2203033618917754E-2</v>
      </c>
      <c r="I10">
        <f t="shared" si="3"/>
        <v>0.1035562323707608</v>
      </c>
      <c r="J10">
        <f t="shared" si="4"/>
        <v>-4.0275035345072258E-3</v>
      </c>
      <c r="K10">
        <f t="shared" si="5"/>
        <v>5.38117890451675E-3</v>
      </c>
      <c r="L10">
        <f t="shared" si="6"/>
        <v>9.8376791013274822E-4</v>
      </c>
      <c r="M10">
        <f t="shared" si="7"/>
        <v>1.9293202934679069E-2</v>
      </c>
      <c r="P10">
        <v>0.21660732994349199</v>
      </c>
      <c r="Q10">
        <v>4.2750578494209343E-3</v>
      </c>
    </row>
    <row r="11" spans="1:17" ht="15.75" thickBot="1" x14ac:dyDescent="0.3">
      <c r="A11" s="13">
        <v>10</v>
      </c>
      <c r="B11" s="14">
        <v>628.1</v>
      </c>
      <c r="C11" s="14">
        <v>119.6</v>
      </c>
      <c r="D11" s="14">
        <v>717.8</v>
      </c>
      <c r="E11" s="14">
        <v>56.5</v>
      </c>
      <c r="F11" s="14">
        <v>100.5</v>
      </c>
      <c r="G11" s="14">
        <v>372.7</v>
      </c>
      <c r="H11">
        <f t="shared" si="2"/>
        <v>2.1402377795894375E-2</v>
      </c>
      <c r="I11">
        <f t="shared" si="3"/>
        <v>2.2833973038508516E-2</v>
      </c>
      <c r="J11">
        <f t="shared" si="4"/>
        <v>-1.1138959659115725E-3</v>
      </c>
      <c r="K11">
        <f t="shared" si="5"/>
        <v>1.0676257991341854E-2</v>
      </c>
      <c r="L11">
        <f t="shared" si="6"/>
        <v>-1.1869575555383882E-2</v>
      </c>
      <c r="M11">
        <f t="shared" si="7"/>
        <v>3.1618878201800558E-2</v>
      </c>
      <c r="P11">
        <v>7.0643623931720106E-2</v>
      </c>
      <c r="Q11">
        <v>1.6212697400732331E-2</v>
      </c>
    </row>
    <row r="12" spans="1:17" ht="15.75" thickBot="1" x14ac:dyDescent="0.3">
      <c r="A12" s="13">
        <v>11</v>
      </c>
      <c r="B12" s="14">
        <v>629</v>
      </c>
      <c r="C12" s="14">
        <v>113.2</v>
      </c>
      <c r="D12" s="14">
        <v>729.5</v>
      </c>
      <c r="E12" s="14">
        <v>56.4</v>
      </c>
      <c r="F12" s="14">
        <v>103.4</v>
      </c>
      <c r="G12" s="14">
        <v>371.6</v>
      </c>
      <c r="H12">
        <f t="shared" si="2"/>
        <v>1.43186724010532E-3</v>
      </c>
      <c r="I12">
        <f t="shared" si="3"/>
        <v>-5.4996675747448764E-2</v>
      </c>
      <c r="J12">
        <f t="shared" si="4"/>
        <v>1.616838924933349E-2</v>
      </c>
      <c r="K12">
        <f t="shared" si="5"/>
        <v>-1.7714796483821156E-3</v>
      </c>
      <c r="L12">
        <f t="shared" si="6"/>
        <v>2.8447234575198425E-2</v>
      </c>
      <c r="M12">
        <f t="shared" si="7"/>
        <v>-2.9557995455292171E-3</v>
      </c>
      <c r="P12">
        <v>1.2922293726760945</v>
      </c>
      <c r="Q12">
        <v>17</v>
      </c>
    </row>
    <row r="13" spans="1:17" ht="15.75" thickBot="1" x14ac:dyDescent="0.3">
      <c r="A13" s="13">
        <v>12</v>
      </c>
      <c r="B13" s="14">
        <v>618.6</v>
      </c>
      <c r="C13" s="14">
        <v>109.5</v>
      </c>
      <c r="D13" s="14">
        <v>702.6</v>
      </c>
      <c r="E13" s="14">
        <v>54.9</v>
      </c>
      <c r="F13" s="14">
        <v>102.3</v>
      </c>
      <c r="G13" s="14">
        <v>395.9</v>
      </c>
      <c r="H13">
        <f t="shared" si="2"/>
        <v>-1.6672396449471251E-2</v>
      </c>
      <c r="I13">
        <f t="shared" si="3"/>
        <v>-3.3231616512527061E-2</v>
      </c>
      <c r="J13">
        <f t="shared" si="4"/>
        <v>-3.7571628131113623E-2</v>
      </c>
      <c r="K13">
        <f t="shared" si="5"/>
        <v>-2.6955809988528218E-2</v>
      </c>
      <c r="L13">
        <f t="shared" si="6"/>
        <v>-1.069528911674803E-2</v>
      </c>
      <c r="M13">
        <f t="shared" si="7"/>
        <v>6.3343647172401457E-2</v>
      </c>
      <c r="P13">
        <v>3.3966450261901145E-4</v>
      </c>
      <c r="Q13">
        <v>4.4684764691311184E-3</v>
      </c>
    </row>
    <row r="14" spans="1:17" ht="15.75" thickBot="1" x14ac:dyDescent="0.3">
      <c r="A14" s="13">
        <v>13</v>
      </c>
      <c r="B14" s="14">
        <v>638</v>
      </c>
      <c r="C14" s="14">
        <v>105</v>
      </c>
      <c r="D14" s="14">
        <v>750.8</v>
      </c>
      <c r="E14" s="14">
        <v>55</v>
      </c>
      <c r="F14" s="14">
        <v>102.8</v>
      </c>
      <c r="G14" s="14">
        <v>397.6</v>
      </c>
      <c r="H14">
        <f t="shared" si="2"/>
        <v>3.0879423093820642E-2</v>
      </c>
      <c r="I14">
        <f t="shared" si="3"/>
        <v>-4.1964199099032193E-2</v>
      </c>
      <c r="J14">
        <f t="shared" si="4"/>
        <v>6.6351564880626906E-2</v>
      </c>
      <c r="K14">
        <f t="shared" si="5"/>
        <v>1.8198367169858993E-3</v>
      </c>
      <c r="L14">
        <f t="shared" si="6"/>
        <v>4.8756800634839311E-3</v>
      </c>
      <c r="M14">
        <f t="shared" si="7"/>
        <v>4.2848206703341961E-3</v>
      </c>
    </row>
    <row r="15" spans="1:17" ht="15.75" thickBot="1" x14ac:dyDescent="0.3">
      <c r="A15" s="13">
        <v>14</v>
      </c>
      <c r="B15" s="14">
        <v>656</v>
      </c>
      <c r="C15" s="14">
        <v>104.9</v>
      </c>
      <c r="D15" s="14">
        <v>789.7</v>
      </c>
      <c r="E15" s="14">
        <v>56.6</v>
      </c>
      <c r="F15" s="14">
        <v>99.8</v>
      </c>
      <c r="G15" s="14">
        <v>406.1</v>
      </c>
      <c r="H15">
        <f t="shared" si="2"/>
        <v>2.7822505599299194E-2</v>
      </c>
      <c r="I15">
        <f t="shared" si="3"/>
        <v>-9.5283475527185445E-4</v>
      </c>
      <c r="J15">
        <f t="shared" si="4"/>
        <v>5.0513821791181586E-2</v>
      </c>
      <c r="K15">
        <f t="shared" si="5"/>
        <v>2.8675799976666298E-2</v>
      </c>
      <c r="L15">
        <f t="shared" si="6"/>
        <v>-2.9617169703646449E-2</v>
      </c>
      <c r="M15">
        <f t="shared" si="7"/>
        <v>2.1152959909833177E-2</v>
      </c>
    </row>
    <row r="16" spans="1:17" ht="15.75" thickBot="1" x14ac:dyDescent="0.3">
      <c r="A16" s="13">
        <v>15</v>
      </c>
      <c r="B16" s="14">
        <v>662</v>
      </c>
      <c r="C16" s="14">
        <v>105.3</v>
      </c>
      <c r="D16" s="14">
        <v>799.1</v>
      </c>
      <c r="E16" s="14">
        <v>56.9</v>
      </c>
      <c r="F16" s="14">
        <v>101.4</v>
      </c>
      <c r="G16" s="14">
        <v>400.7</v>
      </c>
      <c r="H16">
        <f t="shared" si="2"/>
        <v>9.1047669929190667E-3</v>
      </c>
      <c r="I16">
        <f t="shared" si="3"/>
        <v>3.80590373767819E-3</v>
      </c>
      <c r="J16">
        <f t="shared" si="4"/>
        <v>1.1832967876881784E-2</v>
      </c>
      <c r="K16">
        <f t="shared" si="5"/>
        <v>5.2863559231480246E-3</v>
      </c>
      <c r="L16">
        <f t="shared" si="6"/>
        <v>1.5904907839664514E-2</v>
      </c>
      <c r="M16">
        <f t="shared" si="7"/>
        <v>-1.3386417050153305E-2</v>
      </c>
    </row>
    <row r="17" spans="1:24" ht="15.75" thickBot="1" x14ac:dyDescent="0.3">
      <c r="A17" s="13">
        <v>16</v>
      </c>
      <c r="B17" s="14">
        <v>669.4</v>
      </c>
      <c r="C17" s="14">
        <v>105.7</v>
      </c>
      <c r="D17" s="14">
        <v>805</v>
      </c>
      <c r="E17" s="14">
        <v>56</v>
      </c>
      <c r="F17" s="14">
        <v>100.9</v>
      </c>
      <c r="G17" s="14">
        <v>396.6</v>
      </c>
      <c r="H17">
        <f t="shared" si="2"/>
        <v>1.1116232840217944E-2</v>
      </c>
      <c r="I17">
        <f t="shared" si="3"/>
        <v>3.7914737362622171E-3</v>
      </c>
      <c r="J17">
        <f t="shared" si="4"/>
        <v>7.3561830381463373E-3</v>
      </c>
      <c r="K17">
        <f t="shared" si="5"/>
        <v>-1.5943650397136001E-2</v>
      </c>
      <c r="L17">
        <f t="shared" si="6"/>
        <v>-4.9431637975195421E-3</v>
      </c>
      <c r="M17">
        <f t="shared" si="7"/>
        <v>-1.0284801556403166E-2</v>
      </c>
    </row>
    <row r="18" spans="1:24" ht="15.75" thickBot="1" x14ac:dyDescent="0.3">
      <c r="A18" s="13">
        <v>17</v>
      </c>
      <c r="B18" s="14">
        <v>700.7</v>
      </c>
      <c r="C18" s="14">
        <v>108.5</v>
      </c>
      <c r="D18" s="14">
        <v>870</v>
      </c>
      <c r="E18" s="14">
        <v>56.7</v>
      </c>
      <c r="F18" s="14">
        <v>95.3</v>
      </c>
      <c r="G18" s="14">
        <v>398.2</v>
      </c>
      <c r="H18">
        <f t="shared" si="2"/>
        <v>4.5698046599262146E-2</v>
      </c>
      <c r="I18">
        <f t="shared" si="3"/>
        <v>2.6145280104322207E-2</v>
      </c>
      <c r="J18">
        <f t="shared" si="4"/>
        <v>7.7650934230066068E-2</v>
      </c>
      <c r="K18">
        <f t="shared" si="5"/>
        <v>1.242251999855711E-2</v>
      </c>
      <c r="L18">
        <f t="shared" si="6"/>
        <v>-5.71001166994069E-2</v>
      </c>
      <c r="M18">
        <f t="shared" si="7"/>
        <v>4.0261755444001316E-3</v>
      </c>
    </row>
    <row r="19" spans="1:24" ht="15.75" thickBot="1" x14ac:dyDescent="0.3">
      <c r="A19" s="13">
        <v>18</v>
      </c>
      <c r="B19" s="14">
        <v>709</v>
      </c>
      <c r="C19" s="14">
        <v>110.3</v>
      </c>
      <c r="D19" s="14">
        <v>937.6</v>
      </c>
      <c r="E19" s="14">
        <v>57</v>
      </c>
      <c r="F19" s="14">
        <v>65.7</v>
      </c>
      <c r="G19" s="14">
        <v>400.9</v>
      </c>
      <c r="H19">
        <f t="shared" si="2"/>
        <v>1.177569115563932E-2</v>
      </c>
      <c r="I19">
        <f t="shared" si="3"/>
        <v>1.645375327894243E-2</v>
      </c>
      <c r="J19">
        <f t="shared" si="4"/>
        <v>7.4830207174118687E-2</v>
      </c>
      <c r="K19">
        <f t="shared" si="5"/>
        <v>5.2770571008438193E-3</v>
      </c>
      <c r="L19">
        <f t="shared" si="6"/>
        <v>-0.37193088516959155</v>
      </c>
      <c r="M19">
        <f t="shared" si="7"/>
        <v>6.7576280183653031E-3</v>
      </c>
    </row>
    <row r="20" spans="1:24" ht="15.75" thickBot="1" x14ac:dyDescent="0.3">
      <c r="A20" s="13">
        <v>19</v>
      </c>
      <c r="B20" s="14">
        <v>713</v>
      </c>
      <c r="C20" s="14">
        <v>112.6</v>
      </c>
      <c r="D20" s="14">
        <v>948.8</v>
      </c>
      <c r="E20" s="14">
        <v>56.8</v>
      </c>
      <c r="F20" s="14">
        <v>99.4</v>
      </c>
      <c r="G20" s="14">
        <v>399.1</v>
      </c>
      <c r="H20">
        <f t="shared" si="2"/>
        <v>5.6258938821684285E-3</v>
      </c>
      <c r="I20">
        <f t="shared" si="3"/>
        <v>2.0637789446133196E-2</v>
      </c>
      <c r="J20">
        <f t="shared" si="4"/>
        <v>1.1874609420712683E-2</v>
      </c>
      <c r="K20">
        <f t="shared" si="5"/>
        <v>-3.5149421074444969E-3</v>
      </c>
      <c r="L20">
        <f t="shared" si="6"/>
        <v>0.41405318817196352</v>
      </c>
      <c r="M20">
        <f t="shared" si="7"/>
        <v>-4.5000075937729131E-3</v>
      </c>
    </row>
    <row r="21" spans="1:24" ht="15.75" thickBot="1" x14ac:dyDescent="0.3">
      <c r="A21" s="13">
        <v>20</v>
      </c>
      <c r="B21" s="14">
        <v>708</v>
      </c>
      <c r="C21" s="14">
        <v>113.9</v>
      </c>
      <c r="D21" s="14">
        <v>951.5</v>
      </c>
      <c r="E21" s="14">
        <v>56.5</v>
      </c>
      <c r="F21" s="14">
        <v>99.2</v>
      </c>
      <c r="G21" s="14">
        <v>401.1</v>
      </c>
      <c r="H21">
        <f t="shared" si="2"/>
        <v>-7.0373267205762037E-3</v>
      </c>
      <c r="I21">
        <f t="shared" si="3"/>
        <v>1.147915474754644E-2</v>
      </c>
      <c r="J21">
        <f t="shared" si="4"/>
        <v>2.8416584927431947E-3</v>
      </c>
      <c r="K21">
        <f t="shared" si="5"/>
        <v>-5.2956875747103439E-3</v>
      </c>
      <c r="L21">
        <f t="shared" si="6"/>
        <v>-2.0140993717012562E-3</v>
      </c>
      <c r="M21">
        <f t="shared" si="7"/>
        <v>4.9987607213188802E-3</v>
      </c>
    </row>
    <row r="22" spans="1:24" x14ac:dyDescent="0.25">
      <c r="G22" t="s">
        <v>19</v>
      </c>
      <c r="H22">
        <f>AVERAGE(H3:H21)</f>
        <v>1.1410933308690729E-2</v>
      </c>
      <c r="I22">
        <f t="shared" ref="I22:M22" si="8">AVERAGE(I3:I21)</f>
        <v>7.6989508628909614E-3</v>
      </c>
      <c r="J22">
        <f t="shared" si="8"/>
        <v>1.85319032077596E-2</v>
      </c>
      <c r="K22">
        <f t="shared" si="8"/>
        <v>2.4794821177602081E-3</v>
      </c>
      <c r="L22">
        <f t="shared" si="8"/>
        <v>-2.2333472849787764E-3</v>
      </c>
      <c r="M22">
        <f t="shared" si="8"/>
        <v>9.7298843399638776E-3</v>
      </c>
    </row>
    <row r="23" spans="1:24" x14ac:dyDescent="0.25">
      <c r="A23" t="s">
        <v>21</v>
      </c>
      <c r="B23" s="15">
        <v>0.03</v>
      </c>
      <c r="C23" t="s">
        <v>22</v>
      </c>
      <c r="G23" t="s">
        <v>20</v>
      </c>
      <c r="H23">
        <f>_xlfn.COVARIANCE.S($M$3:$M$21,H3:H21)</f>
        <v>-7.6636330919702952E-5</v>
      </c>
      <c r="I23">
        <f t="shared" ref="I23:M23" si="9">_xlfn.COVARIANCE.S($M$3:$M$21,I3:I21)</f>
        <v>-2.0063592006870667E-5</v>
      </c>
      <c r="J23">
        <f t="shared" si="9"/>
        <v>-1.4328225370453527E-4</v>
      </c>
      <c r="K23">
        <f t="shared" si="9"/>
        <v>-5.7907568866576545E-5</v>
      </c>
      <c r="L23">
        <f t="shared" si="9"/>
        <v>-3.5121697170657171E-4</v>
      </c>
      <c r="M23">
        <f t="shared" si="9"/>
        <v>3.1123738008500103E-4</v>
      </c>
      <c r="P23" t="s">
        <v>35</v>
      </c>
      <c r="U23" t="s">
        <v>36</v>
      </c>
    </row>
    <row r="24" spans="1:24" x14ac:dyDescent="0.25">
      <c r="A24" t="s">
        <v>23</v>
      </c>
      <c r="B24" s="15">
        <v>250</v>
      </c>
      <c r="G24" t="s">
        <v>9</v>
      </c>
      <c r="H24" s="16">
        <f>H23/$M$23</f>
        <v>-0.24623112718264448</v>
      </c>
      <c r="I24" s="17">
        <f t="shared" ref="I24:M24" si="10">I23/$M$23</f>
        <v>-6.4463953530874613E-2</v>
      </c>
      <c r="J24">
        <f t="shared" si="10"/>
        <v>-0.46036325606327855</v>
      </c>
      <c r="K24">
        <f t="shared" si="10"/>
        <v>-0.18605595783758877</v>
      </c>
      <c r="L24">
        <f t="shared" si="10"/>
        <v>-1.1284536954097608</v>
      </c>
      <c r="M24">
        <f t="shared" si="10"/>
        <v>1</v>
      </c>
      <c r="P24" t="s">
        <v>26</v>
      </c>
    </row>
    <row r="25" spans="1:24" x14ac:dyDescent="0.25">
      <c r="A25" t="s">
        <v>21</v>
      </c>
      <c r="B25">
        <f>B23/B24</f>
        <v>1.1999999999999999E-4</v>
      </c>
      <c r="C25" t="s">
        <v>24</v>
      </c>
      <c r="P25" t="s">
        <v>27</v>
      </c>
      <c r="Q25" t="s">
        <v>28</v>
      </c>
      <c r="S25" t="s">
        <v>30</v>
      </c>
    </row>
    <row r="26" spans="1:24" x14ac:dyDescent="0.25">
      <c r="G26" t="s">
        <v>10</v>
      </c>
      <c r="H26">
        <f>$B$25+H24*($M$22-$B$25)</f>
        <v>-2.2462526531241492E-3</v>
      </c>
      <c r="I26">
        <f t="shared" ref="I26:M26" si="11">$B$25+I24*($M$22-$B$25)</f>
        <v>-4.9949113752851106E-4</v>
      </c>
      <c r="J26">
        <f t="shared" si="11"/>
        <v>-4.3040376451372805E-3</v>
      </c>
      <c r="K26">
        <f t="shared" si="11"/>
        <v>-1.6679762355804239E-3</v>
      </c>
      <c r="L26">
        <f t="shared" si="11"/>
        <v>-1.0724309495892627E-2</v>
      </c>
      <c r="M26">
        <f t="shared" si="11"/>
        <v>9.7298843399638776E-3</v>
      </c>
      <c r="P26" t="s">
        <v>28</v>
      </c>
      <c r="Q26" t="s">
        <v>29</v>
      </c>
      <c r="S26" t="s">
        <v>31</v>
      </c>
    </row>
    <row r="27" spans="1:24" x14ac:dyDescent="0.25">
      <c r="S27" t="s">
        <v>32</v>
      </c>
    </row>
    <row r="28" spans="1:24" x14ac:dyDescent="0.25">
      <c r="G28" t="s">
        <v>25</v>
      </c>
      <c r="H28">
        <f>H22-H26</f>
        <v>1.3657185961814878E-2</v>
      </c>
      <c r="I28">
        <f t="shared" ref="I28:M28" si="12">I22-I26</f>
        <v>8.198442000419472E-3</v>
      </c>
      <c r="J28">
        <f t="shared" si="12"/>
        <v>2.2835940852896881E-2</v>
      </c>
      <c r="K28">
        <f t="shared" si="12"/>
        <v>4.1474583533406325E-3</v>
      </c>
      <c r="L28">
        <f t="shared" si="12"/>
        <v>8.4909622109138501E-3</v>
      </c>
      <c r="M28">
        <f t="shared" si="12"/>
        <v>0</v>
      </c>
      <c r="P28">
        <f>COUNT(H3:H21)</f>
        <v>19</v>
      </c>
      <c r="Q28">
        <f>SUM(M3:M21)</f>
        <v>0.18486780245931367</v>
      </c>
      <c r="S28">
        <f>SUM(H3:H21)</f>
        <v>0.21680773286512386</v>
      </c>
      <c r="U28">
        <f>COUNT(I3:I21)</f>
        <v>19</v>
      </c>
      <c r="V28">
        <f>SUM(M3:M21)</f>
        <v>0.18486780245931367</v>
      </c>
      <c r="X28">
        <f>SUM(I3:I21)</f>
        <v>0.14628006639492827</v>
      </c>
    </row>
    <row r="29" spans="1:24" x14ac:dyDescent="0.25">
      <c r="P29">
        <f>Q28</f>
        <v>0.18486780245931367</v>
      </c>
      <c r="Q29">
        <f>SUMPRODUCT(M3:M21,M3:M21)</f>
        <v>7.4010151776424298E-3</v>
      </c>
      <c r="S29">
        <f>SUMPRODUCT(H3:H21,M3:M21)</f>
        <v>7.3006020823278728E-4</v>
      </c>
      <c r="U29">
        <f>V28</f>
        <v>0.18486780245931367</v>
      </c>
      <c r="V29">
        <f>SUMPRODUCT(M3:M21,M3:M21)</f>
        <v>7.4010151776424298E-3</v>
      </c>
      <c r="X29">
        <f>SUMPRODUCT(I3:I21,M3:M21)</f>
        <v>1.062143471141217E-3</v>
      </c>
    </row>
    <row r="31" spans="1:24" x14ac:dyDescent="0.25">
      <c r="P31">
        <f t="array" ref="P31:Q32">MINVERSE(P28:Q29)</f>
        <v>6.9530193482396876E-2</v>
      </c>
      <c r="Q31">
        <v>-1.7367744512255106</v>
      </c>
      <c r="R31" s="18" t="s">
        <v>33</v>
      </c>
      <c r="S31" s="18">
        <f t="array" ref="S31:S32">MMULT(P31:Q32,S28:S29)</f>
        <v>1.3806733697076797E-2</v>
      </c>
      <c r="W31" t="s">
        <v>33</v>
      </c>
      <c r="X31">
        <f t="array" ref="X31:X32">MMULT(P31:Q32,X28:X29)</f>
        <v>8.3261776748431784E-3</v>
      </c>
    </row>
    <row r="32" spans="1:24" x14ac:dyDescent="0.25">
      <c r="P32">
        <v>-1.7367744512255106</v>
      </c>
      <c r="Q32">
        <v>178.49898216076414</v>
      </c>
      <c r="R32" s="16" t="s">
        <v>34</v>
      </c>
      <c r="S32" s="16">
        <v>-0.24623112718264453</v>
      </c>
      <c r="W32" s="16" t="s">
        <v>34</v>
      </c>
      <c r="X32" s="17">
        <v>-6.446395353087464E-2</v>
      </c>
    </row>
    <row r="35" spans="6:24" x14ac:dyDescent="0.25">
      <c r="S35" t="s">
        <v>43</v>
      </c>
      <c r="T35">
        <f t="array" ref="T35:X35">TRANSPOSE(P46:P50)</f>
        <v>1.281090308611821</v>
      </c>
      <c r="U35">
        <v>0.1745682911516486</v>
      </c>
      <c r="V35">
        <v>0.34908076185919895</v>
      </c>
      <c r="W35">
        <v>-0.83726660029240219</v>
      </c>
      <c r="X35">
        <v>3.2527238669733755E-2</v>
      </c>
    </row>
    <row r="36" spans="6:24" x14ac:dyDescent="0.25">
      <c r="F36" t="s">
        <v>37</v>
      </c>
      <c r="T36">
        <f>$P46*H39*T$35</f>
        <v>4.3839357328468467E-4</v>
      </c>
      <c r="U36">
        <f t="shared" ref="U36:X36" si="13">$P46*I39*U$35</f>
        <v>2.736844341203987E-5</v>
      </c>
      <c r="V36">
        <f t="shared" si="13"/>
        <v>1.1500197210852389E-4</v>
      </c>
      <c r="W36">
        <f t="shared" si="13"/>
        <v>-2.0409388898477962E-4</v>
      </c>
      <c r="X36">
        <f t="shared" si="13"/>
        <v>-1.0543590665695976E-5</v>
      </c>
    </row>
    <row r="37" spans="6:24" x14ac:dyDescent="0.25">
      <c r="T37">
        <f t="shared" ref="T37:T40" si="14">$P47*H40*T$35</f>
        <v>2.7368443412039873E-5</v>
      </c>
      <c r="U37">
        <f t="shared" ref="U37:U40" si="15">$P47*I40*U$35</f>
        <v>3.7278288136161182E-5</v>
      </c>
      <c r="V37">
        <f t="shared" ref="V37:V40" si="16">$P47*J40*V$35</f>
        <v>-6.4854925095246419E-6</v>
      </c>
      <c r="W37">
        <f t="shared" ref="W37:W40" si="17">$P47*K40*W$35</f>
        <v>-2.4595832705050825E-5</v>
      </c>
      <c r="X37">
        <f t="shared" ref="X37:X40" si="18">$P47*L40*X$35</f>
        <v>-7.6879839633112059E-8</v>
      </c>
    </row>
    <row r="38" spans="6:24" x14ac:dyDescent="0.25">
      <c r="G38" t="s">
        <v>38</v>
      </c>
      <c r="O38" t="s">
        <v>39</v>
      </c>
      <c r="Q38" t="s">
        <v>19</v>
      </c>
      <c r="T38">
        <f t="shared" si="14"/>
        <v>1.1500197210852389E-4</v>
      </c>
      <c r="U38">
        <f t="shared" si="15"/>
        <v>-6.4854925095246419E-6</v>
      </c>
      <c r="V38">
        <f t="shared" si="16"/>
        <v>1.3055855921124647E-4</v>
      </c>
      <c r="W38">
        <f t="shared" si="17"/>
        <v>-5.9412762645208643E-5</v>
      </c>
      <c r="X38">
        <f t="shared" si="18"/>
        <v>-1.6977773082967505E-5</v>
      </c>
    </row>
    <row r="39" spans="6:24" x14ac:dyDescent="0.25">
      <c r="H39">
        <f>_xlfn.COVARIANCE.S($H$3:$H$21,H3:H21)</f>
        <v>2.6711894287500724E-4</v>
      </c>
      <c r="I39">
        <f t="shared" ref="I39:L39" si="19">_xlfn.COVARIANCE.S($H$3:$H$21,I3:I21)</f>
        <v>1.2237846205907647E-4</v>
      </c>
      <c r="J39">
        <f t="shared" si="19"/>
        <v>2.5715775576645863E-4</v>
      </c>
      <c r="K39">
        <f t="shared" si="19"/>
        <v>1.9027708453487211E-4</v>
      </c>
      <c r="L39">
        <f t="shared" si="19"/>
        <v>-2.5302392874231093E-4</v>
      </c>
      <c r="O39">
        <f>Q39-$B$25</f>
        <v>1.1290933308690729E-2</v>
      </c>
      <c r="Q39">
        <f t="array" ref="Q39:Q43">TRANSPOSE(H22:L22)</f>
        <v>1.1410933308690729E-2</v>
      </c>
      <c r="T39">
        <f t="shared" si="14"/>
        <v>-2.0409388898477962E-4</v>
      </c>
      <c r="U39">
        <f t="shared" si="15"/>
        <v>-2.4595832705050825E-5</v>
      </c>
      <c r="V39">
        <f t="shared" si="16"/>
        <v>-5.9412762645208649E-5</v>
      </c>
      <c r="W39">
        <f t="shared" si="17"/>
        <v>2.3101367981859198E-4</v>
      </c>
      <c r="X39">
        <f t="shared" si="18"/>
        <v>7.0851156744201978E-6</v>
      </c>
    </row>
    <row r="40" spans="6:24" x14ac:dyDescent="0.25">
      <c r="H40">
        <f>_xlfn.COVARIANCE.S($I$3:$I$21,H3:H21)</f>
        <v>1.2237846205907647E-4</v>
      </c>
      <c r="I40">
        <f t="shared" ref="I40:L40" si="20">_xlfn.COVARIANCE.S($I$3:$I$21,I3:I21)</f>
        <v>1.223278209310725E-3</v>
      </c>
      <c r="J40">
        <f t="shared" si="20"/>
        <v>-1.0642696717067462E-4</v>
      </c>
      <c r="K40">
        <f t="shared" si="20"/>
        <v>1.6827996105447346E-4</v>
      </c>
      <c r="L40">
        <f t="shared" si="20"/>
        <v>-1.3539415363570724E-5</v>
      </c>
      <c r="O40">
        <f t="shared" ref="O40:O43" si="21">Q40-$B$25</f>
        <v>7.578950862890961E-3</v>
      </c>
      <c r="Q40">
        <v>7.6989508628909614E-3</v>
      </c>
      <c r="T40">
        <f t="shared" si="14"/>
        <v>-1.0543590665695976E-5</v>
      </c>
      <c r="U40">
        <f t="shared" si="15"/>
        <v>-7.6879839633112072E-8</v>
      </c>
      <c r="V40">
        <f t="shared" si="16"/>
        <v>-1.6977773082967502E-5</v>
      </c>
      <c r="W40">
        <f t="shared" si="17"/>
        <v>7.0851156744201987E-6</v>
      </c>
      <c r="X40">
        <f t="shared" si="18"/>
        <v>1.8575569501551851E-5</v>
      </c>
    </row>
    <row r="41" spans="6:24" x14ac:dyDescent="0.25">
      <c r="H41">
        <f>_xlfn.COVARIANCE.S($J$3:$J$21,H3:H21)</f>
        <v>2.5715775576645863E-4</v>
      </c>
      <c r="I41">
        <f t="shared" ref="I41:L41" si="22">_xlfn.COVARIANCE.S($J$3:$J$21,I3:I21)</f>
        <v>-1.0642696717067462E-4</v>
      </c>
      <c r="J41">
        <f t="shared" si="22"/>
        <v>1.0714046291855396E-3</v>
      </c>
      <c r="K41">
        <f t="shared" si="22"/>
        <v>2.0327785300413735E-4</v>
      </c>
      <c r="L41">
        <f t="shared" si="22"/>
        <v>-1.495228661303189E-3</v>
      </c>
      <c r="O41">
        <f t="shared" si="21"/>
        <v>1.8411903207759601E-2</v>
      </c>
      <c r="Q41">
        <v>1.85319032077596E-2</v>
      </c>
    </row>
    <row r="42" spans="6:24" x14ac:dyDescent="0.25">
      <c r="H42">
        <f>_xlfn.COVARIANCE.S($K$3:$K$21,H3:H21)</f>
        <v>1.9027708453487211E-4</v>
      </c>
      <c r="I42">
        <f t="shared" ref="I42:L42" si="23">_xlfn.COVARIANCE.S($K$3:$K$21,I3:I21)</f>
        <v>1.6827996105447346E-4</v>
      </c>
      <c r="J42">
        <f t="shared" si="23"/>
        <v>2.0327785300413735E-4</v>
      </c>
      <c r="K42">
        <f t="shared" si="23"/>
        <v>3.2954153790590404E-4</v>
      </c>
      <c r="L42">
        <f t="shared" si="23"/>
        <v>-2.6015727910692552E-4</v>
      </c>
      <c r="O42">
        <f t="shared" si="21"/>
        <v>2.3594821177602083E-3</v>
      </c>
      <c r="Q42">
        <v>2.4794821177602081E-3</v>
      </c>
    </row>
    <row r="43" spans="6:24" x14ac:dyDescent="0.25">
      <c r="H43">
        <f>_xlfn.COVARIANCE.S($L$3:$L$21,H3:H21)</f>
        <v>-2.5302392874231093E-4</v>
      </c>
      <c r="I43">
        <f t="shared" ref="I43:L43" si="24">_xlfn.COVARIANCE.S($L$3:$L$21,I3:I21)</f>
        <v>-1.3539415363570724E-5</v>
      </c>
      <c r="J43">
        <f t="shared" si="24"/>
        <v>-1.495228661303189E-3</v>
      </c>
      <c r="K43">
        <f t="shared" si="24"/>
        <v>-2.6015727910692552E-4</v>
      </c>
      <c r="L43">
        <f t="shared" si="24"/>
        <v>1.7556896333961423E-2</v>
      </c>
      <c r="O43">
        <f t="shared" si="21"/>
        <v>-2.3533472849787762E-3</v>
      </c>
      <c r="Q43">
        <v>-2.2333472849787764E-3</v>
      </c>
    </row>
    <row r="45" spans="6:24" x14ac:dyDescent="0.25">
      <c r="G45" t="s">
        <v>40</v>
      </c>
      <c r="O45" t="s">
        <v>41</v>
      </c>
      <c r="P45" t="s">
        <v>43</v>
      </c>
      <c r="S45" t="s">
        <v>44</v>
      </c>
      <c r="T45" t="s">
        <v>45</v>
      </c>
      <c r="U45" t="s">
        <v>46</v>
      </c>
      <c r="V45" t="s">
        <v>51</v>
      </c>
    </row>
    <row r="46" spans="6:24" x14ac:dyDescent="0.25">
      <c r="H46">
        <f t="array" ref="H46:L50">MINVERSE(H39:L43)</f>
        <v>7518.8360139526922</v>
      </c>
      <c r="I46">
        <v>-396.18227721153579</v>
      </c>
      <c r="J46">
        <v>-1270.2060119337109</v>
      </c>
      <c r="K46">
        <v>-3395.3506970032468</v>
      </c>
      <c r="L46">
        <v>-50.435581864635928</v>
      </c>
      <c r="O46">
        <f t="array" ref="O46:O50">MMULT(H46:L50,O39:O43)</f>
        <v>50.612543021693234</v>
      </c>
      <c r="P46">
        <f>O46/$O$51</f>
        <v>1.281090308611821</v>
      </c>
      <c r="S46">
        <f>SUMPRODUCT(P46:P50,Q39:Q43)</f>
        <v>2.0282927476846752E-2</v>
      </c>
      <c r="T46">
        <f>SUM(T36:X40)</f>
        <v>5.1035829147648361E-4</v>
      </c>
      <c r="U46">
        <f>T46^0.5</f>
        <v>2.2591110895139346E-2</v>
      </c>
      <c r="V46">
        <f>S46/U46</f>
        <v>0.89782780364336945</v>
      </c>
    </row>
    <row r="47" spans="6:24" x14ac:dyDescent="0.25">
      <c r="H47">
        <v>-396.1822772115359</v>
      </c>
      <c r="I47">
        <v>939.49117251813482</v>
      </c>
      <c r="J47">
        <v>285.92865409401389</v>
      </c>
      <c r="K47">
        <v>-416.95892579091134</v>
      </c>
      <c r="L47">
        <v>13.187432424786495</v>
      </c>
      <c r="O47">
        <v>6.8967387285211714</v>
      </c>
      <c r="P47">
        <f t="shared" ref="P47:P50" si="25">O47/$O$51</f>
        <v>0.1745682911516486</v>
      </c>
    </row>
    <row r="48" spans="6:24" x14ac:dyDescent="0.25">
      <c r="H48">
        <v>-1270.2060119337107</v>
      </c>
      <c r="I48">
        <v>285.92865409401384</v>
      </c>
      <c r="J48">
        <v>1452.5579321095429</v>
      </c>
      <c r="K48">
        <v>-227.88670380222601</v>
      </c>
      <c r="L48">
        <v>102.24464647409401</v>
      </c>
      <c r="O48">
        <v>13.791272136613783</v>
      </c>
      <c r="P48">
        <f t="shared" si="25"/>
        <v>0.34908076185919895</v>
      </c>
      <c r="T48" t="s">
        <v>47</v>
      </c>
      <c r="U48">
        <f t="array" ref="U48">MMULT(H24:L24,P46:P50)</f>
        <v>-0.36832867247507728</v>
      </c>
    </row>
    <row r="49" spans="6:24" x14ac:dyDescent="0.25">
      <c r="H49">
        <v>-3395.3506970032468</v>
      </c>
      <c r="I49">
        <v>-416.95892579091139</v>
      </c>
      <c r="J49">
        <v>-227.88670380222607</v>
      </c>
      <c r="K49">
        <v>5356.9442748839174</v>
      </c>
      <c r="L49">
        <v>10.716869277329284</v>
      </c>
      <c r="O49">
        <v>-33.07822371542607</v>
      </c>
      <c r="P49">
        <f t="shared" si="25"/>
        <v>-0.83726660029240219</v>
      </c>
      <c r="U49">
        <f>SUMPRODUCT(T35:X35,H24:L24)</f>
        <v>-0.36832867247507728</v>
      </c>
    </row>
    <row r="50" spans="6:24" x14ac:dyDescent="0.25">
      <c r="H50">
        <v>-50.435581864635914</v>
      </c>
      <c r="I50">
        <v>13.187432424786486</v>
      </c>
      <c r="J50">
        <v>102.24464647409398</v>
      </c>
      <c r="K50">
        <v>10.716869277329302</v>
      </c>
      <c r="L50">
        <v>65.107426548213681</v>
      </c>
      <c r="O50">
        <v>1.285066521448192</v>
      </c>
      <c r="P50">
        <f t="shared" si="25"/>
        <v>3.2527238669733755E-2</v>
      </c>
    </row>
    <row r="51" spans="6:24" x14ac:dyDescent="0.25">
      <c r="N51" t="s">
        <v>42</v>
      </c>
      <c r="O51">
        <f>SUM(O46:O50)</f>
        <v>39.507396692850307</v>
      </c>
      <c r="P51">
        <f>SUM(P46:P50)</f>
        <v>1.0000000000000002</v>
      </c>
      <c r="T51" t="s">
        <v>48</v>
      </c>
      <c r="U51">
        <f>U48^2*M23</f>
        <v>4.2224333820030762E-5</v>
      </c>
      <c r="V51">
        <f>U51^0.5</f>
        <v>6.4980253785308318E-3</v>
      </c>
    </row>
    <row r="52" spans="6:24" x14ac:dyDescent="0.25">
      <c r="T52" t="s">
        <v>49</v>
      </c>
      <c r="U52">
        <f>T46-U51</f>
        <v>4.6813395765645286E-4</v>
      </c>
      <c r="V52">
        <f>U52^0.5</f>
        <v>2.1636403528693324E-2</v>
      </c>
    </row>
    <row r="54" spans="6:24" x14ac:dyDescent="0.25">
      <c r="T54">
        <f t="array" ref="T54:X54">TRANSPOSE(M63:M67)</f>
        <v>0.5183361371067613</v>
      </c>
      <c r="U54">
        <v>9.1635004303178239E-2</v>
      </c>
      <c r="V54">
        <v>7.3795973918641955E-2</v>
      </c>
      <c r="W54">
        <v>0.28590352284181669</v>
      </c>
      <c r="X54">
        <v>3.0329361829601775E-2</v>
      </c>
    </row>
    <row r="55" spans="6:24" x14ac:dyDescent="0.25">
      <c r="F55" t="s">
        <v>50</v>
      </c>
      <c r="T55">
        <f>$M63*T$54*H39</f>
        <v>7.176747438707928E-5</v>
      </c>
      <c r="U55">
        <f t="shared" ref="U55:X55" si="26">$M63*U$54*I39</f>
        <v>5.812699657090537E-6</v>
      </c>
      <c r="V55">
        <f t="shared" si="26"/>
        <v>9.8365721889023657E-6</v>
      </c>
      <c r="W55">
        <f t="shared" si="26"/>
        <v>2.8197946547778967E-5</v>
      </c>
      <c r="X55">
        <f t="shared" si="26"/>
        <v>-3.9777396547461252E-6</v>
      </c>
    </row>
    <row r="56" spans="6:24" x14ac:dyDescent="0.25">
      <c r="H56">
        <f>2*H39</f>
        <v>5.3423788575001447E-4</v>
      </c>
      <c r="I56">
        <f t="shared" ref="I56:L56" si="27">2*I39</f>
        <v>2.4475692411815293E-4</v>
      </c>
      <c r="J56">
        <f t="shared" si="27"/>
        <v>5.1431551153291726E-4</v>
      </c>
      <c r="K56">
        <f t="shared" si="27"/>
        <v>3.8055416906974422E-4</v>
      </c>
      <c r="L56">
        <f t="shared" si="27"/>
        <v>-5.0604785748462186E-4</v>
      </c>
      <c r="M56">
        <v>1</v>
      </c>
      <c r="T56">
        <f t="shared" ref="T56:T59" si="28">$M64*T$54*H40</f>
        <v>5.812699657090537E-6</v>
      </c>
      <c r="U56">
        <f t="shared" ref="U56:U59" si="29">$M64*U$54*I40</f>
        <v>1.0271835335038505E-5</v>
      </c>
      <c r="V56">
        <f t="shared" ref="V56:V59" si="30">$M64*V$54*J40</f>
        <v>-7.1969048278668943E-7</v>
      </c>
      <c r="W56">
        <f t="shared" ref="W56:W59" si="31">$M64*W$54*K40</f>
        <v>4.4087280871397593E-6</v>
      </c>
      <c r="X56">
        <f t="shared" ref="X56:X59" si="32">$M64*X$54*L40</f>
        <v>-3.7629165632135608E-8</v>
      </c>
    </row>
    <row r="57" spans="6:24" x14ac:dyDescent="0.25">
      <c r="H57">
        <f t="shared" ref="H57:L57" si="33">2*H40</f>
        <v>2.4475692411815293E-4</v>
      </c>
      <c r="I57">
        <f t="shared" si="33"/>
        <v>2.4465564186214499E-3</v>
      </c>
      <c r="J57">
        <f t="shared" si="33"/>
        <v>-2.1285393434134923E-4</v>
      </c>
      <c r="K57">
        <f t="shared" si="33"/>
        <v>3.3655992210894693E-4</v>
      </c>
      <c r="L57">
        <f t="shared" si="33"/>
        <v>-2.7078830727141449E-5</v>
      </c>
      <c r="M57">
        <v>1</v>
      </c>
      <c r="T57">
        <f t="shared" si="28"/>
        <v>9.8365721889023657E-6</v>
      </c>
      <c r="U57">
        <f t="shared" si="29"/>
        <v>-7.1969048278668943E-7</v>
      </c>
      <c r="V57">
        <f t="shared" si="30"/>
        <v>5.8347043641666609E-6</v>
      </c>
      <c r="W57">
        <f t="shared" si="31"/>
        <v>4.2888636593630385E-6</v>
      </c>
      <c r="X57">
        <f t="shared" si="32"/>
        <v>-3.346598054098688E-6</v>
      </c>
    </row>
    <row r="58" spans="6:24" x14ac:dyDescent="0.25">
      <c r="H58">
        <f t="shared" ref="H58:L58" si="34">2*H41</f>
        <v>5.1431551153291726E-4</v>
      </c>
      <c r="I58">
        <f t="shared" si="34"/>
        <v>-2.1285393434134923E-4</v>
      </c>
      <c r="J58">
        <f t="shared" si="34"/>
        <v>2.1428092583710792E-3</v>
      </c>
      <c r="K58">
        <f t="shared" si="34"/>
        <v>4.065557060082747E-4</v>
      </c>
      <c r="L58">
        <f t="shared" si="34"/>
        <v>-2.990457322606378E-3</v>
      </c>
      <c r="M58">
        <v>1</v>
      </c>
      <c r="T58">
        <f t="shared" si="28"/>
        <v>2.8197946547778967E-5</v>
      </c>
      <c r="U58">
        <f t="shared" si="29"/>
        <v>4.4087280871397593E-6</v>
      </c>
      <c r="V58">
        <f t="shared" si="30"/>
        <v>4.2888636593630385E-6</v>
      </c>
      <c r="W58">
        <f t="shared" si="31"/>
        <v>2.6936996973693852E-5</v>
      </c>
      <c r="X58">
        <f t="shared" si="32"/>
        <v>-2.2558943719036324E-6</v>
      </c>
    </row>
    <row r="59" spans="6:24" x14ac:dyDescent="0.25">
      <c r="H59">
        <f t="shared" ref="H59:L59" si="35">2*H42</f>
        <v>3.8055416906974422E-4</v>
      </c>
      <c r="I59">
        <f t="shared" si="35"/>
        <v>3.3655992210894693E-4</v>
      </c>
      <c r="J59">
        <f t="shared" si="35"/>
        <v>4.065557060082747E-4</v>
      </c>
      <c r="K59">
        <f t="shared" si="35"/>
        <v>6.5908307581180809E-4</v>
      </c>
      <c r="L59">
        <f t="shared" si="35"/>
        <v>-5.2031455821385103E-4</v>
      </c>
      <c r="M59">
        <v>1</v>
      </c>
      <c r="T59">
        <f t="shared" si="28"/>
        <v>-3.9777396547461252E-6</v>
      </c>
      <c r="U59">
        <f t="shared" si="29"/>
        <v>-3.7629165632135608E-8</v>
      </c>
      <c r="V59">
        <f t="shared" si="30"/>
        <v>-3.346598054098688E-6</v>
      </c>
      <c r="W59">
        <f t="shared" si="31"/>
        <v>-2.2558943719036324E-6</v>
      </c>
      <c r="X59">
        <f t="shared" si="32"/>
        <v>1.6150065548814823E-5</v>
      </c>
    </row>
    <row r="60" spans="6:24" x14ac:dyDescent="0.25">
      <c r="H60">
        <f t="shared" ref="H60:L60" si="36">2*H43</f>
        <v>-5.0604785748462186E-4</v>
      </c>
      <c r="I60">
        <f t="shared" si="36"/>
        <v>-2.7078830727141449E-5</v>
      </c>
      <c r="J60">
        <f t="shared" si="36"/>
        <v>-2.990457322606378E-3</v>
      </c>
      <c r="K60">
        <f t="shared" si="36"/>
        <v>-5.2031455821385103E-4</v>
      </c>
      <c r="L60">
        <f t="shared" si="36"/>
        <v>3.5113792667922847E-2</v>
      </c>
      <c r="M60">
        <v>1</v>
      </c>
    </row>
    <row r="61" spans="6:24" x14ac:dyDescent="0.25">
      <c r="H61">
        <f t="array" ref="H61:L61">TRANSPOSE(M56:M60)</f>
        <v>1</v>
      </c>
      <c r="I61">
        <v>1</v>
      </c>
      <c r="J61">
        <v>1</v>
      </c>
      <c r="K61">
        <v>1</v>
      </c>
      <c r="L61">
        <v>1</v>
      </c>
      <c r="M61">
        <v>0</v>
      </c>
    </row>
    <row r="62" spans="6:24" x14ac:dyDescent="0.25">
      <c r="S62" t="s">
        <v>44</v>
      </c>
      <c r="T62" t="s">
        <v>45</v>
      </c>
      <c r="U62" t="s">
        <v>46</v>
      </c>
      <c r="V62" t="s">
        <v>51</v>
      </c>
    </row>
    <row r="63" spans="6:24" x14ac:dyDescent="0.25">
      <c r="H63">
        <f t="array" ref="H63:M68">MINVERSE(H56:M61)</f>
        <v>3135.6882083703035</v>
      </c>
      <c r="I63">
        <v>-308.35835458325045</v>
      </c>
      <c r="J63">
        <v>-723.9039686146341</v>
      </c>
      <c r="K63">
        <v>-2041.7118413424741</v>
      </c>
      <c r="L63">
        <v>-61.714043829944949</v>
      </c>
      <c r="M63">
        <v>0.5183361371067613</v>
      </c>
      <c r="S63">
        <f t="array" ref="S63">MMULT(H22:L22,M63:M67)</f>
        <v>8.628929007636876E-3</v>
      </c>
      <c r="T63">
        <f>SUM(T55:X59)</f>
        <v>2.1537559343100794E-4</v>
      </c>
      <c r="U63">
        <f>T63^0.5</f>
        <v>1.4675680339630185E-2</v>
      </c>
      <c r="V63">
        <f>S63/U63</f>
        <v>0.58797471789674571</v>
      </c>
    </row>
    <row r="64" spans="6:24" x14ac:dyDescent="0.25">
      <c r="H64">
        <v>-308.35835458325039</v>
      </c>
      <c r="I64">
        <v>450.25179432127908</v>
      </c>
      <c r="J64">
        <v>127.26548605981263</v>
      </c>
      <c r="K64">
        <v>-269.30058503039265</v>
      </c>
      <c r="L64">
        <v>0.14165923255146501</v>
      </c>
      <c r="M64">
        <v>9.1635004303178239E-2</v>
      </c>
    </row>
    <row r="65" spans="8:21" x14ac:dyDescent="0.25">
      <c r="H65">
        <v>-723.90396861463398</v>
      </c>
      <c r="I65">
        <v>127.26548605981267</v>
      </c>
      <c r="J65">
        <v>713.63629452489499</v>
      </c>
      <c r="K65">
        <v>-162.92413142857876</v>
      </c>
      <c r="L65">
        <v>45.926319458505432</v>
      </c>
      <c r="M65">
        <v>7.3795973918641955E-2</v>
      </c>
      <c r="T65" t="s">
        <v>47</v>
      </c>
      <c r="U65">
        <f>SUMPRODUCT(T54:X54,H24:L24)</f>
        <v>-0.25492993502355293</v>
      </c>
    </row>
    <row r="66" spans="8:21" x14ac:dyDescent="0.25">
      <c r="H66">
        <v>-2041.7118413424744</v>
      </c>
      <c r="I66">
        <v>-269.30058503039271</v>
      </c>
      <c r="J66">
        <v>-162.92413142857885</v>
      </c>
      <c r="K66">
        <v>2488.7087035467766</v>
      </c>
      <c r="L66">
        <v>-14.772145745330851</v>
      </c>
      <c r="M66">
        <v>0.28590352284181669</v>
      </c>
    </row>
    <row r="67" spans="8:21" x14ac:dyDescent="0.25">
      <c r="H67">
        <v>-61.714043829944764</v>
      </c>
      <c r="I67">
        <v>0.14165923255144136</v>
      </c>
      <c r="J67">
        <v>45.926319458505311</v>
      </c>
      <c r="K67">
        <v>-14.772145745330869</v>
      </c>
      <c r="L67">
        <v>30.418210884218901</v>
      </c>
      <c r="M67">
        <v>3.0329361829601775E-2</v>
      </c>
      <c r="T67" t="s">
        <v>48</v>
      </c>
      <c r="U67">
        <f>U65^2*M23</f>
        <v>2.0227090679673302E-5</v>
      </c>
    </row>
    <row r="68" spans="8:21" x14ac:dyDescent="0.25">
      <c r="H68">
        <v>0.51833613710676074</v>
      </c>
      <c r="I68">
        <v>9.163500430317828E-2</v>
      </c>
      <c r="J68">
        <v>7.3795973918642122E-2</v>
      </c>
      <c r="K68">
        <v>0.28590352284181697</v>
      </c>
      <c r="L68">
        <v>3.0329361829601789E-2</v>
      </c>
      <c r="M68">
        <v>-4.3075118686201577E-4</v>
      </c>
      <c r="T68" t="s">
        <v>49</v>
      </c>
      <c r="U68">
        <f>T63-U67</f>
        <v>1.9514850275133465E-4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11B2E-E39A-4D12-AC33-58BCCA244F1B}">
  <dimension ref="B3:G10"/>
  <sheetViews>
    <sheetView workbookViewId="0">
      <selection activeCell="F11" sqref="F11"/>
    </sheetView>
  </sheetViews>
  <sheetFormatPr defaultRowHeight="15" x14ac:dyDescent="0.25"/>
  <sheetData>
    <row r="3" spans="2:7" x14ac:dyDescent="0.25">
      <c r="B3" t="s">
        <v>52</v>
      </c>
      <c r="C3" t="s">
        <v>9</v>
      </c>
      <c r="D3" t="s">
        <v>53</v>
      </c>
      <c r="E3" t="s">
        <v>10</v>
      </c>
      <c r="F3" t="s">
        <v>55</v>
      </c>
      <c r="G3" t="s">
        <v>56</v>
      </c>
    </row>
    <row r="4" spans="2:7" x14ac:dyDescent="0.25">
      <c r="B4">
        <v>1</v>
      </c>
      <c r="C4">
        <v>1.75</v>
      </c>
      <c r="D4">
        <v>16.7</v>
      </c>
      <c r="E4">
        <f>$C$9+C4*($C$10-$C$9)</f>
        <v>21</v>
      </c>
      <c r="F4">
        <f>D4-E4</f>
        <v>-4.3000000000000007</v>
      </c>
      <c r="G4" t="str">
        <f>IF(F4&lt;0,"nadhodnocen",IF(F4=0,"spravne ocenen","podhodnocen"))</f>
        <v>nadhodnocen</v>
      </c>
    </row>
    <row r="5" spans="2:7" x14ac:dyDescent="0.25">
      <c r="B5">
        <v>2</v>
      </c>
      <c r="C5">
        <v>1.2</v>
      </c>
      <c r="D5">
        <v>24</v>
      </c>
      <c r="E5">
        <f t="shared" ref="E5:E7" si="0">$C$9+C5*($C$10-$C$9)</f>
        <v>16.600000000000001</v>
      </c>
      <c r="F5">
        <f t="shared" ref="F5:F7" si="1">D5-E5</f>
        <v>7.3999999999999986</v>
      </c>
      <c r="G5" t="str">
        <f t="shared" ref="G5:G7" si="2">IF(F5&lt;0,"nadhodnocen",IF(F5=0,"spravne ocenen","podhodnocen"))</f>
        <v>podhodnocen</v>
      </c>
    </row>
    <row r="6" spans="2:7" x14ac:dyDescent="0.25">
      <c r="B6">
        <v>3</v>
      </c>
      <c r="C6">
        <v>1.3</v>
      </c>
      <c r="D6">
        <v>17.399999999999999</v>
      </c>
      <c r="E6">
        <f t="shared" si="0"/>
        <v>17.399999999999999</v>
      </c>
      <c r="F6">
        <f t="shared" si="1"/>
        <v>0</v>
      </c>
      <c r="G6" t="str">
        <f t="shared" si="2"/>
        <v>spravne ocenen</v>
      </c>
    </row>
    <row r="7" spans="2:7" x14ac:dyDescent="0.25">
      <c r="B7">
        <v>4</v>
      </c>
      <c r="C7">
        <v>0.75</v>
      </c>
      <c r="D7">
        <v>16</v>
      </c>
      <c r="E7">
        <f t="shared" si="0"/>
        <v>13</v>
      </c>
      <c r="F7">
        <f t="shared" si="1"/>
        <v>3</v>
      </c>
      <c r="G7" t="str">
        <f t="shared" si="2"/>
        <v>podhodnocen</v>
      </c>
    </row>
    <row r="9" spans="2:7" x14ac:dyDescent="0.25">
      <c r="B9" t="s">
        <v>21</v>
      </c>
      <c r="C9">
        <v>7</v>
      </c>
    </row>
    <row r="10" spans="2:7" x14ac:dyDescent="0.25">
      <c r="B10" t="s">
        <v>54</v>
      </c>
      <c r="C10">
        <v>15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5C5E-16CF-41FC-AFC5-089C2C1B50BE}">
  <dimension ref="A1:O19"/>
  <sheetViews>
    <sheetView workbookViewId="0">
      <selection activeCell="H19" sqref="H19"/>
    </sheetView>
  </sheetViews>
  <sheetFormatPr defaultRowHeight="15" x14ac:dyDescent="0.25"/>
  <sheetData>
    <row r="1" spans="1:15" ht="33.75" thickBot="1" x14ac:dyDescent="0.3">
      <c r="A1" s="19" t="s">
        <v>57</v>
      </c>
      <c r="B1" s="20" t="s">
        <v>58</v>
      </c>
      <c r="C1" s="20" t="s">
        <v>59</v>
      </c>
    </row>
    <row r="2" spans="1:15" ht="16.5" thickBot="1" x14ac:dyDescent="0.3">
      <c r="A2" s="21">
        <v>1</v>
      </c>
      <c r="B2" s="22">
        <v>8</v>
      </c>
      <c r="C2" s="22">
        <v>8.1</v>
      </c>
    </row>
    <row r="3" spans="1:15" ht="16.5" thickBot="1" x14ac:dyDescent="0.3">
      <c r="A3" s="21">
        <v>2</v>
      </c>
      <c r="B3" s="22">
        <v>0</v>
      </c>
      <c r="C3" s="22">
        <v>3</v>
      </c>
    </row>
    <row r="4" spans="1:15" ht="16.5" thickBot="1" x14ac:dyDescent="0.3">
      <c r="A4" s="21">
        <v>3</v>
      </c>
      <c r="B4" s="22">
        <v>14.9</v>
      </c>
      <c r="C4" s="22">
        <v>5.3</v>
      </c>
      <c r="N4" t="s">
        <v>34</v>
      </c>
      <c r="O4" t="s">
        <v>33</v>
      </c>
    </row>
    <row r="5" spans="1:15" ht="16.5" thickBot="1" x14ac:dyDescent="0.3">
      <c r="A5" s="21">
        <v>4</v>
      </c>
      <c r="B5" s="22">
        <v>5</v>
      </c>
      <c r="C5" s="22">
        <v>1</v>
      </c>
      <c r="N5">
        <f t="array" ref="N5:O9">LINEST(C2:C11,B2:B11,1,1)</f>
        <v>0.29873014313857094</v>
      </c>
      <c r="O5">
        <v>1.6306064425999596</v>
      </c>
    </row>
    <row r="6" spans="1:15" ht="16.5" thickBot="1" x14ac:dyDescent="0.3">
      <c r="A6" s="21">
        <v>5</v>
      </c>
      <c r="B6" s="22">
        <v>4.0999999999999996</v>
      </c>
      <c r="C6" s="22">
        <v>3.1</v>
      </c>
      <c r="N6">
        <v>0.13662034464572467</v>
      </c>
      <c r="O6">
        <v>1.0058542400106365</v>
      </c>
    </row>
    <row r="7" spans="1:15" ht="16.5" thickBot="1" x14ac:dyDescent="0.3">
      <c r="A7" s="21">
        <v>6</v>
      </c>
      <c r="B7" s="22">
        <v>8.9</v>
      </c>
      <c r="C7" s="22">
        <v>3</v>
      </c>
      <c r="N7">
        <v>0.37407552144962125</v>
      </c>
      <c r="O7">
        <v>1.8494226972324483</v>
      </c>
    </row>
    <row r="8" spans="1:15" ht="16.5" thickBot="1" x14ac:dyDescent="0.3">
      <c r="A8" s="21">
        <v>7</v>
      </c>
      <c r="B8" s="22">
        <v>10.1</v>
      </c>
      <c r="C8" s="22">
        <v>5</v>
      </c>
      <c r="N8">
        <v>4.7810946434428425</v>
      </c>
      <c r="O8">
        <v>8</v>
      </c>
    </row>
    <row r="9" spans="1:15" ht="16.5" thickBot="1" x14ac:dyDescent="0.3">
      <c r="A9" s="21">
        <v>8</v>
      </c>
      <c r="B9" s="22">
        <v>5</v>
      </c>
      <c r="C9" s="22">
        <v>3.2</v>
      </c>
      <c r="N9">
        <v>16.353085495691641</v>
      </c>
      <c r="O9">
        <v>27.362914504308353</v>
      </c>
    </row>
    <row r="10" spans="1:15" ht="16.5" thickBot="1" x14ac:dyDescent="0.3">
      <c r="A10" s="21">
        <v>9</v>
      </c>
      <c r="B10" s="22">
        <v>1.5</v>
      </c>
      <c r="C10" s="22">
        <v>1.2</v>
      </c>
    </row>
    <row r="11" spans="1:15" ht="16.5" thickBot="1" x14ac:dyDescent="0.3">
      <c r="A11" s="21">
        <v>10</v>
      </c>
      <c r="B11" s="22">
        <v>2.4</v>
      </c>
      <c r="C11" s="22">
        <v>1.3</v>
      </c>
    </row>
    <row r="13" spans="1:15" x14ac:dyDescent="0.25">
      <c r="H13" t="s">
        <v>32</v>
      </c>
    </row>
    <row r="14" spans="1:15" x14ac:dyDescent="0.25">
      <c r="E14">
        <f>COUNT(B2:B11)</f>
        <v>10</v>
      </c>
      <c r="F14">
        <f>SUM(B2:B11)</f>
        <v>59.9</v>
      </c>
      <c r="H14">
        <f>SUM(C2:C11)</f>
        <v>34.199999999999996</v>
      </c>
    </row>
    <row r="15" spans="1:15" x14ac:dyDescent="0.25">
      <c r="E15">
        <f>F14</f>
        <v>59.9</v>
      </c>
      <c r="F15">
        <f>SUMPRODUCT(B2:B11,B2:B11)</f>
        <v>542.04999999999995</v>
      </c>
      <c r="H15">
        <f>SUMPRODUCT(C2:C11,B2:B11)</f>
        <v>259.60000000000002</v>
      </c>
    </row>
    <row r="17" spans="5:8" x14ac:dyDescent="0.25">
      <c r="E17" t="s">
        <v>40</v>
      </c>
    </row>
    <row r="18" spans="5:8" x14ac:dyDescent="0.25">
      <c r="E18">
        <f t="array" ref="E18:F19">MINVERSE(E14:F15)</f>
        <v>0.29579970422758106</v>
      </c>
      <c r="F18">
        <v>-3.2687763644003519E-2</v>
      </c>
      <c r="G18" t="s">
        <v>33</v>
      </c>
      <c r="H18">
        <f t="array" ref="H18:H19">MMULT(E18:F19,H14:H15)</f>
        <v>1.6306064425999551</v>
      </c>
    </row>
    <row r="19" spans="5:8" x14ac:dyDescent="0.25">
      <c r="E19">
        <v>-3.2687763644003519E-2</v>
      </c>
      <c r="F19">
        <v>5.4570557001675322E-3</v>
      </c>
      <c r="G19" t="s">
        <v>34</v>
      </c>
      <c r="H19">
        <v>0.29873014313857138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Pr01</vt:lpstr>
      <vt:lpstr>Pr02</vt:lpstr>
      <vt:lpstr>Pr03</vt:lpstr>
      <vt:lpstr>Pr04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2023-03-10T16:36:22Z</dcterms:created>
  <dcterms:modified xsi:type="dcterms:W3CDTF">2023-03-10T18:00:01Z</dcterms:modified>
</cp:coreProperties>
</file>