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2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3.xml" ContentType="application/vnd.openxmlformats-officedocument.drawing+xml"/>
  <Override PartName="/xl/embeddings/oleObject23.bin" ContentType="application/vnd.openxmlformats-officedocument.oleObject"/>
  <Override PartName="/xl/drawings/drawing4.xml" ContentType="application/vnd.openxmlformats-officedocument.drawing+xml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TEPO\"/>
    </mc:Choice>
  </mc:AlternateContent>
  <xr:revisionPtr revIDLastSave="0" documentId="8_{116880C1-AABA-4F4F-8423-1FFBCF1E773C}" xr6:coauthVersionLast="47" xr6:coauthVersionMax="47" xr10:uidLastSave="{00000000-0000-0000-0000-000000000000}"/>
  <bookViews>
    <workbookView xWindow="-120" yWindow="-120" windowWidth="29040" windowHeight="15720" activeTab="7" xr2:uid="{31A8D865-AB6D-4A37-9312-C4D9FC37FF4D}"/>
  </bookViews>
  <sheets>
    <sheet name="Pr01" sheetId="1" r:id="rId1"/>
    <sheet name="Pr02" sheetId="2" r:id="rId2"/>
    <sheet name="Pr03" sheetId="3" r:id="rId3"/>
    <sheet name="Pr04" sheetId="4" r:id="rId4"/>
    <sheet name="Pr05" sheetId="5" r:id="rId5"/>
    <sheet name="Pr06" sheetId="6" r:id="rId6"/>
    <sheet name="Pr07" sheetId="7" r:id="rId7"/>
    <sheet name="Pr0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1" i="8" l="1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AB4" i="8"/>
  <c r="AH20" i="8" s="1"/>
  <c r="AA4" i="8"/>
  <c r="Z4" i="8"/>
  <c r="Y4" i="8"/>
  <c r="X4" i="8"/>
  <c r="W4" i="8"/>
  <c r="V4" i="8"/>
  <c r="U4" i="8"/>
  <c r="T4" i="8"/>
  <c r="S4" i="8"/>
  <c r="R4" i="8"/>
  <c r="Q4" i="8"/>
  <c r="P4" i="8"/>
  <c r="O4" i="8"/>
  <c r="AB3" i="8"/>
  <c r="AH23" i="8" s="1"/>
  <c r="AA3" i="8"/>
  <c r="AH22" i="8" s="1"/>
  <c r="AG23" i="8" s="1"/>
  <c r="Z3" i="8"/>
  <c r="AH21" i="8" s="1"/>
  <c r="Y3" i="8"/>
  <c r="X3" i="8"/>
  <c r="W3" i="8"/>
  <c r="V3" i="8"/>
  <c r="U3" i="8"/>
  <c r="T3" i="8"/>
  <c r="S3" i="8"/>
  <c r="R3" i="8"/>
  <c r="Q3" i="8"/>
  <c r="AK20" i="8" s="1"/>
  <c r="P3" i="8"/>
  <c r="O3" i="8"/>
  <c r="G7" i="7"/>
  <c r="F7" i="7"/>
  <c r="D7" i="7"/>
  <c r="B8" i="7"/>
  <c r="B7" i="7"/>
  <c r="J23" i="6"/>
  <c r="I23" i="6"/>
  <c r="I20" i="6"/>
  <c r="I18" i="6"/>
  <c r="I17" i="6"/>
  <c r="I14" i="6"/>
  <c r="I13" i="6"/>
  <c r="J8" i="6"/>
  <c r="I8" i="6"/>
  <c r="E37" i="5"/>
  <c r="E38" i="5" s="1"/>
  <c r="K40" i="5" a="1"/>
  <c r="K40" i="5" s="1"/>
  <c r="E40" i="5" a="1"/>
  <c r="E40" i="5" s="1"/>
  <c r="G35" i="5" a="1"/>
  <c r="G35" i="5" s="1"/>
  <c r="F35" i="5" a="1"/>
  <c r="F35" i="5" s="1"/>
  <c r="E35" i="5" a="1"/>
  <c r="E35" i="5" s="1"/>
  <c r="L31" i="5"/>
  <c r="L30" i="5"/>
  <c r="K31" i="5"/>
  <c r="K30" i="5"/>
  <c r="E29" i="5"/>
  <c r="E28" i="5"/>
  <c r="E24" i="5"/>
  <c r="E23" i="5"/>
  <c r="K25" i="5" a="1"/>
  <c r="K25" i="5" s="1"/>
  <c r="K23" i="5"/>
  <c r="K22" i="5"/>
  <c r="F21" i="4"/>
  <c r="F22" i="4" s="1"/>
  <c r="D20" i="4"/>
  <c r="C20" i="4"/>
  <c r="G15" i="4"/>
  <c r="G16" i="4"/>
  <c r="G14" i="4"/>
  <c r="F15" i="4"/>
  <c r="F16" i="4"/>
  <c r="F14" i="4"/>
  <c r="C15" i="4"/>
  <c r="C16" i="4"/>
  <c r="C14" i="4"/>
  <c r="R31" i="3"/>
  <c r="S31" i="3" s="1"/>
  <c r="Q31" i="3"/>
  <c r="P31" i="3"/>
  <c r="O31" i="3"/>
  <c r="N31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I45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31" i="3"/>
  <c r="U19" i="3"/>
  <c r="T19" i="3"/>
  <c r="S19" i="3"/>
  <c r="R19" i="3"/>
  <c r="Q19" i="3"/>
  <c r="P19" i="3"/>
  <c r="O19" i="3"/>
  <c r="N19" i="3"/>
  <c r="J25" i="3"/>
  <c r="J20" i="3"/>
  <c r="J21" i="3"/>
  <c r="J22" i="3"/>
  <c r="J23" i="3"/>
  <c r="J24" i="3"/>
  <c r="J19" i="3"/>
  <c r="I25" i="3"/>
  <c r="I20" i="3"/>
  <c r="I21" i="3"/>
  <c r="I22" i="3"/>
  <c r="I23" i="3"/>
  <c r="I24" i="3"/>
  <c r="I19" i="3"/>
  <c r="K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J5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4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3" i="3"/>
  <c r="H5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4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3" i="3"/>
  <c r="F5" i="3"/>
  <c r="F4" i="3"/>
  <c r="F7" i="3"/>
  <c r="F8" i="3"/>
  <c r="F6" i="3"/>
  <c r="F9" i="3"/>
  <c r="F10" i="3"/>
  <c r="F11" i="3"/>
  <c r="F13" i="3"/>
  <c r="F12" i="3"/>
  <c r="F14" i="3"/>
  <c r="F16" i="3"/>
  <c r="F15" i="3"/>
  <c r="F3" i="3"/>
  <c r="Q23" i="2"/>
  <c r="R23" i="2" s="1"/>
  <c r="P23" i="2"/>
  <c r="O23" i="2"/>
  <c r="N23" i="2"/>
  <c r="M23" i="2"/>
  <c r="K33" i="2"/>
  <c r="K24" i="2"/>
  <c r="K25" i="2"/>
  <c r="K26" i="2"/>
  <c r="K27" i="2"/>
  <c r="K28" i="2"/>
  <c r="K29" i="2"/>
  <c r="K30" i="2"/>
  <c r="K31" i="2"/>
  <c r="K32" i="2"/>
  <c r="K23" i="2"/>
  <c r="J33" i="2"/>
  <c r="J24" i="2"/>
  <c r="J25" i="2"/>
  <c r="J26" i="2"/>
  <c r="J27" i="2"/>
  <c r="J28" i="2"/>
  <c r="J29" i="2"/>
  <c r="J30" i="2"/>
  <c r="J31" i="2"/>
  <c r="J32" i="2"/>
  <c r="J23" i="2"/>
  <c r="T14" i="2"/>
  <c r="S14" i="2"/>
  <c r="R14" i="2"/>
  <c r="Q14" i="2"/>
  <c r="P14" i="2"/>
  <c r="O14" i="2"/>
  <c r="N14" i="2"/>
  <c r="M14" i="2"/>
  <c r="K19" i="2"/>
  <c r="K15" i="2"/>
  <c r="K16" i="2"/>
  <c r="K17" i="2"/>
  <c r="K18" i="2"/>
  <c r="K14" i="2"/>
  <c r="J19" i="2"/>
  <c r="J14" i="2"/>
  <c r="L2" i="2"/>
  <c r="J15" i="2"/>
  <c r="J16" i="2"/>
  <c r="J17" i="2"/>
  <c r="J18" i="2"/>
  <c r="M3" i="2"/>
  <c r="M4" i="2"/>
  <c r="M5" i="2"/>
  <c r="M6" i="2"/>
  <c r="M7" i="2"/>
  <c r="M8" i="2"/>
  <c r="M9" i="2"/>
  <c r="M10" i="2"/>
  <c r="M11" i="2"/>
  <c r="M2" i="2"/>
  <c r="L3" i="2"/>
  <c r="L4" i="2"/>
  <c r="L5" i="2"/>
  <c r="L6" i="2"/>
  <c r="L7" i="2"/>
  <c r="L8" i="2"/>
  <c r="L9" i="2"/>
  <c r="L10" i="2"/>
  <c r="L11" i="2"/>
  <c r="K4" i="2"/>
  <c r="K5" i="2"/>
  <c r="K6" i="2" s="1"/>
  <c r="K7" i="2" s="1"/>
  <c r="K8" i="2" s="1"/>
  <c r="K9" i="2" s="1"/>
  <c r="K10" i="2" s="1"/>
  <c r="K11" i="2" s="1"/>
  <c r="K3" i="2"/>
  <c r="K2" i="2"/>
  <c r="J3" i="2"/>
  <c r="J4" i="2"/>
  <c r="J5" i="2"/>
  <c r="J6" i="2"/>
  <c r="J7" i="2"/>
  <c r="J8" i="2"/>
  <c r="J9" i="2"/>
  <c r="J10" i="2"/>
  <c r="J11" i="2"/>
  <c r="J2" i="2"/>
  <c r="I4" i="2"/>
  <c r="I5" i="2"/>
  <c r="I6" i="2" s="1"/>
  <c r="I7" i="2" s="1"/>
  <c r="I8" i="2" s="1"/>
  <c r="I9" i="2" s="1"/>
  <c r="I10" i="2" s="1"/>
  <c r="I11" i="2" s="1"/>
  <c r="I3" i="2"/>
  <c r="I2" i="2"/>
  <c r="H3" i="2"/>
  <c r="H4" i="2"/>
  <c r="H5" i="2"/>
  <c r="H6" i="2"/>
  <c r="H7" i="2"/>
  <c r="H8" i="2"/>
  <c r="H9" i="2"/>
  <c r="H10" i="2"/>
  <c r="H11" i="2"/>
  <c r="H2" i="2"/>
  <c r="U8" i="1"/>
  <c r="U12" i="1" a="1"/>
  <c r="U13" i="1" s="1"/>
  <c r="R12" i="1" a="1"/>
  <c r="R12" i="1" s="1"/>
  <c r="U9" i="1"/>
  <c r="S9" i="1"/>
  <c r="R9" i="1"/>
  <c r="S8" i="1"/>
  <c r="R8" i="1"/>
  <c r="R20" i="1" a="1"/>
  <c r="R20" i="1" s="1"/>
  <c r="V58" i="1"/>
  <c r="U58" i="1"/>
  <c r="T58" i="1"/>
  <c r="S58" i="1"/>
  <c r="S51" i="1"/>
  <c r="T51" i="1"/>
  <c r="U51" i="1"/>
  <c r="V51" i="1"/>
  <c r="W51" i="1"/>
  <c r="S52" i="1"/>
  <c r="T52" i="1"/>
  <c r="U52" i="1"/>
  <c r="V52" i="1"/>
  <c r="W52" i="1"/>
  <c r="S53" i="1"/>
  <c r="T53" i="1"/>
  <c r="U53" i="1"/>
  <c r="V53" i="1"/>
  <c r="W53" i="1"/>
  <c r="S54" i="1"/>
  <c r="T54" i="1"/>
  <c r="U54" i="1"/>
  <c r="V54" i="1"/>
  <c r="W54" i="1"/>
  <c r="T50" i="1"/>
  <c r="U50" i="1"/>
  <c r="V50" i="1"/>
  <c r="W50" i="1"/>
  <c r="S50" i="1"/>
  <c r="R58" i="1"/>
  <c r="S49" i="1" a="1"/>
  <c r="T49" i="1" s="1"/>
  <c r="S49" i="1"/>
  <c r="U49" i="1"/>
  <c r="V49" i="1"/>
  <c r="W49" i="1"/>
  <c r="O65" i="1"/>
  <c r="O59" i="1" a="1"/>
  <c r="O60" i="1" s="1"/>
  <c r="O59" i="1"/>
  <c r="O62" i="1"/>
  <c r="O63" i="1"/>
  <c r="H59" i="1" a="1"/>
  <c r="K59" i="1" s="1"/>
  <c r="H57" i="1" a="1"/>
  <c r="I57" i="1" s="1"/>
  <c r="H53" i="1"/>
  <c r="I53" i="1"/>
  <c r="J53" i="1"/>
  <c r="K53" i="1"/>
  <c r="L53" i="1"/>
  <c r="H54" i="1"/>
  <c r="I54" i="1"/>
  <c r="J54" i="1"/>
  <c r="K54" i="1"/>
  <c r="L54" i="1"/>
  <c r="H55" i="1"/>
  <c r="I55" i="1"/>
  <c r="J55" i="1"/>
  <c r="K55" i="1"/>
  <c r="L55" i="1"/>
  <c r="H56" i="1"/>
  <c r="I56" i="1"/>
  <c r="J56" i="1"/>
  <c r="K56" i="1"/>
  <c r="L56" i="1"/>
  <c r="I52" i="1"/>
  <c r="J52" i="1"/>
  <c r="K52" i="1"/>
  <c r="L52" i="1"/>
  <c r="H52" i="1"/>
  <c r="T45" i="1"/>
  <c r="T44" i="1"/>
  <c r="T42" i="1"/>
  <c r="T40" i="1"/>
  <c r="V40" i="1"/>
  <c r="U40" i="1"/>
  <c r="T31" i="1"/>
  <c r="T26" i="1"/>
  <c r="S40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U31" i="1"/>
  <c r="V31" i="1"/>
  <c r="W31" i="1"/>
  <c r="X31" i="1"/>
  <c r="T30" i="1" a="1"/>
  <c r="W30" i="1" s="1"/>
  <c r="R40" i="1"/>
  <c r="O46" i="1"/>
  <c r="O42" i="1"/>
  <c r="O43" i="1"/>
  <c r="O44" i="1"/>
  <c r="O45" i="1"/>
  <c r="O41" i="1"/>
  <c r="N46" i="1"/>
  <c r="N41" i="1" a="1"/>
  <c r="N42" i="1" s="1"/>
  <c r="N35" i="1"/>
  <c r="N36" i="1"/>
  <c r="N37" i="1"/>
  <c r="N38" i="1"/>
  <c r="N34" i="1"/>
  <c r="N27" i="1" a="1"/>
  <c r="N27" i="1"/>
  <c r="N28" i="1"/>
  <c r="N29" i="1"/>
  <c r="N30" i="1"/>
  <c r="N31" i="1"/>
  <c r="H34" i="1" a="1"/>
  <c r="H34" i="1" s="1"/>
  <c r="B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H31" i="1"/>
  <c r="H30" i="1"/>
  <c r="H29" i="1"/>
  <c r="H28" i="1"/>
  <c r="H27" i="1"/>
  <c r="I24" i="1"/>
  <c r="J24" i="1"/>
  <c r="K24" i="1"/>
  <c r="L24" i="1"/>
  <c r="M24" i="1"/>
  <c r="H24" i="1"/>
  <c r="I23" i="1"/>
  <c r="J23" i="1"/>
  <c r="K23" i="1"/>
  <c r="L23" i="1"/>
  <c r="M23" i="1"/>
  <c r="H23" i="1"/>
  <c r="I22" i="1"/>
  <c r="J22" i="1"/>
  <c r="K22" i="1"/>
  <c r="L22" i="1"/>
  <c r="M22" i="1"/>
  <c r="H22" i="1"/>
  <c r="H4" i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H7" i="1"/>
  <c r="I7" i="1"/>
  <c r="J7" i="1"/>
  <c r="K7" i="1"/>
  <c r="L7" i="1"/>
  <c r="M7" i="1"/>
  <c r="H8" i="1"/>
  <c r="I8" i="1"/>
  <c r="J8" i="1"/>
  <c r="K8" i="1"/>
  <c r="L8" i="1"/>
  <c r="M8" i="1"/>
  <c r="H9" i="1"/>
  <c r="I9" i="1"/>
  <c r="J9" i="1"/>
  <c r="K9" i="1"/>
  <c r="L9" i="1"/>
  <c r="M9" i="1"/>
  <c r="H10" i="1"/>
  <c r="I10" i="1"/>
  <c r="J10" i="1"/>
  <c r="K10" i="1"/>
  <c r="L10" i="1"/>
  <c r="M10" i="1"/>
  <c r="H11" i="1"/>
  <c r="I11" i="1"/>
  <c r="J11" i="1"/>
  <c r="K11" i="1"/>
  <c r="L11" i="1"/>
  <c r="M11" i="1"/>
  <c r="H12" i="1"/>
  <c r="I12" i="1"/>
  <c r="J12" i="1"/>
  <c r="K12" i="1"/>
  <c r="L12" i="1"/>
  <c r="M12" i="1"/>
  <c r="H13" i="1"/>
  <c r="I13" i="1"/>
  <c r="J13" i="1"/>
  <c r="K13" i="1"/>
  <c r="L13" i="1"/>
  <c r="M13" i="1"/>
  <c r="H14" i="1"/>
  <c r="I14" i="1"/>
  <c r="J14" i="1"/>
  <c r="K14" i="1"/>
  <c r="L14" i="1"/>
  <c r="M14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H21" i="1"/>
  <c r="I21" i="1"/>
  <c r="J21" i="1"/>
  <c r="K21" i="1"/>
  <c r="L21" i="1"/>
  <c r="M21" i="1"/>
  <c r="I3" i="1"/>
  <c r="J3" i="1"/>
  <c r="K3" i="1"/>
  <c r="L3" i="1"/>
  <c r="M3" i="1"/>
  <c r="H3" i="1"/>
  <c r="AG20" i="8" l="1"/>
  <c r="AK21" i="8"/>
  <c r="AK22" i="8"/>
  <c r="AF21" i="8"/>
  <c r="AK23" i="8"/>
  <c r="AE20" i="8"/>
  <c r="AG21" i="8"/>
  <c r="AF22" i="8" s="1" a="1"/>
  <c r="AG22" i="8"/>
  <c r="AE11" i="8" a="1"/>
  <c r="AF20" i="8"/>
  <c r="AE21" i="8" s="1" a="1"/>
  <c r="U31" i="3"/>
  <c r="T31" i="3"/>
  <c r="T23" i="2"/>
  <c r="S23" i="2"/>
  <c r="U12" i="1"/>
  <c r="R13" i="1"/>
  <c r="S12" i="1"/>
  <c r="S13" i="1"/>
  <c r="S21" i="1"/>
  <c r="R21" i="1"/>
  <c r="S24" i="1"/>
  <c r="S22" i="1"/>
  <c r="S20" i="1"/>
  <c r="S23" i="1"/>
  <c r="R23" i="1"/>
  <c r="R24" i="1"/>
  <c r="R22" i="1"/>
  <c r="O61" i="1"/>
  <c r="O64" i="1"/>
  <c r="L64" i="1"/>
  <c r="H64" i="1"/>
  <c r="J63" i="1"/>
  <c r="L62" i="1"/>
  <c r="H62" i="1"/>
  <c r="J61" i="1"/>
  <c r="L60" i="1"/>
  <c r="H60" i="1"/>
  <c r="J59" i="1"/>
  <c r="K64" i="1"/>
  <c r="M63" i="1"/>
  <c r="I63" i="1"/>
  <c r="K62" i="1"/>
  <c r="M61" i="1"/>
  <c r="I61" i="1"/>
  <c r="K60" i="1"/>
  <c r="M59" i="1"/>
  <c r="I59" i="1"/>
  <c r="L61" i="1"/>
  <c r="J64" i="1"/>
  <c r="L63" i="1"/>
  <c r="H63" i="1"/>
  <c r="J62" i="1"/>
  <c r="H61" i="1"/>
  <c r="J60" i="1"/>
  <c r="L59" i="1"/>
  <c r="H59" i="1"/>
  <c r="M64" i="1"/>
  <c r="I64" i="1"/>
  <c r="K63" i="1"/>
  <c r="M62" i="1"/>
  <c r="I62" i="1"/>
  <c r="K61" i="1"/>
  <c r="M60" i="1"/>
  <c r="I60" i="1"/>
  <c r="L57" i="1"/>
  <c r="H57" i="1"/>
  <c r="K57" i="1"/>
  <c r="J57" i="1"/>
  <c r="V30" i="1"/>
  <c r="U30" i="1"/>
  <c r="X30" i="1"/>
  <c r="T30" i="1"/>
  <c r="N45" i="1"/>
  <c r="N41" i="1"/>
  <c r="N44" i="1"/>
  <c r="N43" i="1"/>
  <c r="L37" i="1"/>
  <c r="H37" i="1"/>
  <c r="I36" i="1"/>
  <c r="K34" i="1"/>
  <c r="J38" i="1"/>
  <c r="K37" i="1"/>
  <c r="L36" i="1"/>
  <c r="H36" i="1"/>
  <c r="I35" i="1"/>
  <c r="J34" i="1"/>
  <c r="I38" i="1"/>
  <c r="J37" i="1"/>
  <c r="K36" i="1"/>
  <c r="L35" i="1"/>
  <c r="H35" i="1"/>
  <c r="I34" i="1"/>
  <c r="K38" i="1"/>
  <c r="J35" i="1"/>
  <c r="L38" i="1"/>
  <c r="H38" i="1"/>
  <c r="I37" i="1"/>
  <c r="J36" i="1"/>
  <c r="K35" i="1"/>
  <c r="L34" i="1"/>
  <c r="AF23" i="8" l="1"/>
  <c r="AF22" i="8"/>
  <c r="AE22" i="8"/>
  <c r="AE21" i="8"/>
  <c r="AE23" i="8"/>
  <c r="AE26" i="8" a="1"/>
  <c r="AH15" i="8"/>
  <c r="AH14" i="8"/>
  <c r="AH13" i="8"/>
  <c r="AH12" i="8"/>
  <c r="AH11" i="8"/>
  <c r="AG15" i="8"/>
  <c r="AG14" i="8"/>
  <c r="AG13" i="8"/>
  <c r="AG12" i="8"/>
  <c r="AG11" i="8"/>
  <c r="AF15" i="8"/>
  <c r="AF14" i="8"/>
  <c r="AF13" i="8"/>
  <c r="AF12" i="8"/>
  <c r="AF11" i="8"/>
  <c r="AE15" i="8"/>
  <c r="AE14" i="8"/>
  <c r="AE13" i="8"/>
  <c r="AE12" i="8"/>
  <c r="AE11" i="8"/>
  <c r="AG29" i="8" l="1"/>
  <c r="AG28" i="8"/>
  <c r="AG27" i="8"/>
  <c r="AG26" i="8"/>
  <c r="AF29" i="8"/>
  <c r="AF28" i="8"/>
  <c r="AF27" i="8"/>
  <c r="AF26" i="8"/>
  <c r="AE29" i="8"/>
  <c r="AE28" i="8"/>
  <c r="AE27" i="8"/>
  <c r="AE26" i="8"/>
  <c r="AH29" i="8"/>
  <c r="AH28" i="8"/>
  <c r="AH27" i="8"/>
  <c r="AH26" i="8"/>
  <c r="AK26" i="8" l="1" a="1"/>
  <c r="AK27" i="8" l="1"/>
  <c r="AK26" i="8"/>
  <c r="AK29" i="8"/>
  <c r="AK2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<sst xmlns="http://schemas.openxmlformats.org/spreadsheetml/2006/main" count="265" uniqueCount="128">
  <si>
    <t>den</t>
  </si>
  <si>
    <t>CP1</t>
  </si>
  <si>
    <t>CP2</t>
  </si>
  <si>
    <t>CP3</t>
  </si>
  <si>
    <t>CP4</t>
  </si>
  <si>
    <t>CP5</t>
  </si>
  <si>
    <t>M (TP)</t>
  </si>
  <si>
    <t>E (r )</t>
  </si>
  <si>
    <t>covar_i,m</t>
  </si>
  <si>
    <t>beta_i</t>
  </si>
  <si>
    <t>rf</t>
  </si>
  <si>
    <t>p.a.</t>
  </si>
  <si>
    <t>počet obch dnu</t>
  </si>
  <si>
    <t>p.d.</t>
  </si>
  <si>
    <t>CovM</t>
  </si>
  <si>
    <t>InvM</t>
  </si>
  <si>
    <t xml:space="preserve">E (ri) </t>
  </si>
  <si>
    <t>vps</t>
  </si>
  <si>
    <t>Zi</t>
  </si>
  <si>
    <t>sum_Zi</t>
  </si>
  <si>
    <t>wi</t>
  </si>
  <si>
    <t>E (Rp)</t>
  </si>
  <si>
    <t>VarP</t>
  </si>
  <si>
    <t>SigmaP</t>
  </si>
  <si>
    <t>ratio</t>
  </si>
  <si>
    <t>Sharpe ratio</t>
  </si>
  <si>
    <t>beta_p</t>
  </si>
  <si>
    <t>VarPSys</t>
  </si>
  <si>
    <t>VarPUnsys</t>
  </si>
  <si>
    <t>Tangencialni portfolio</t>
  </si>
  <si>
    <t>Minimum variance portfolio</t>
  </si>
  <si>
    <t>lambda1</t>
  </si>
  <si>
    <t>OLS</t>
  </si>
  <si>
    <t>alfa</t>
  </si>
  <si>
    <t>beta</t>
  </si>
  <si>
    <t>odhad alfa, beta pomoci matix</t>
  </si>
  <si>
    <t>invM</t>
  </si>
  <si>
    <t>Cpi</t>
  </si>
  <si>
    <t>ri</t>
  </si>
  <si>
    <t>ri-rf</t>
  </si>
  <si>
    <t>var_M</t>
  </si>
  <si>
    <t>var_epsi</t>
  </si>
  <si>
    <t>(ri-rf)/beta_i</t>
  </si>
  <si>
    <t>(ri-rf)*betao_i/var_eps_i</t>
  </si>
  <si>
    <t>cum_sum</t>
  </si>
  <si>
    <t>beta_i^2/var_eps_i</t>
  </si>
  <si>
    <t>Ci</t>
  </si>
  <si>
    <t>long/short</t>
  </si>
  <si>
    <t>Only long</t>
  </si>
  <si>
    <t>C*</t>
  </si>
  <si>
    <t>sum</t>
  </si>
  <si>
    <t>SR</t>
  </si>
  <si>
    <t>Long/short</t>
  </si>
  <si>
    <t>C**</t>
  </si>
  <si>
    <t>varM</t>
  </si>
  <si>
    <t>(ri-rf)*beta_i/var_epsi</t>
  </si>
  <si>
    <t>beta_i^2/var_epsi</t>
  </si>
  <si>
    <t>Long only</t>
  </si>
  <si>
    <t>Long/short portfolio</t>
  </si>
  <si>
    <t>CP</t>
  </si>
  <si>
    <t>= 1,20</t>
  </si>
  <si>
    <t>= 0,80</t>
  </si>
  <si>
    <t>beta_F1</t>
  </si>
  <si>
    <t>beta_F2</t>
  </si>
  <si>
    <t>sigma_F1</t>
  </si>
  <si>
    <t>sigma_F2</t>
  </si>
  <si>
    <t>beta_I</t>
  </si>
  <si>
    <t>var_i</t>
  </si>
  <si>
    <t>sigma_i</t>
  </si>
  <si>
    <t>bp1</t>
  </si>
  <si>
    <t>bp2</t>
  </si>
  <si>
    <t xml:space="preserve">   </t>
  </si>
  <si>
    <t xml:space="preserve"> </t>
  </si>
  <si>
    <t xml:space="preserve">, </t>
  </si>
  <si>
    <t xml:space="preserve">= 1,20, </t>
  </si>
  <si>
    <t xml:space="preserve">= 0,56, </t>
  </si>
  <si>
    <t xml:space="preserve">= 1,58 </t>
  </si>
  <si>
    <t>F1</t>
  </si>
  <si>
    <t>F2</t>
  </si>
  <si>
    <t>F3</t>
  </si>
  <si>
    <t>E (ri)</t>
  </si>
  <si>
    <t>b_x</t>
  </si>
  <si>
    <t>b_y</t>
  </si>
  <si>
    <t>Sigma_Fi</t>
  </si>
  <si>
    <t>beta_Fi</t>
  </si>
  <si>
    <t>X</t>
  </si>
  <si>
    <t>Y</t>
  </si>
  <si>
    <t>e</t>
  </si>
  <si>
    <t>sigma_e</t>
  </si>
  <si>
    <t>x</t>
  </si>
  <si>
    <t>y</t>
  </si>
  <si>
    <t>ri z regrese</t>
  </si>
  <si>
    <t>Rp</t>
  </si>
  <si>
    <t>CAPM</t>
  </si>
  <si>
    <t>rie</t>
  </si>
  <si>
    <t>Rm</t>
  </si>
  <si>
    <t>Var_i</t>
  </si>
  <si>
    <t>Sigma_i</t>
  </si>
  <si>
    <t>bp3</t>
  </si>
  <si>
    <t>Var_M</t>
  </si>
  <si>
    <t>cov_F1,M</t>
  </si>
  <si>
    <t>cov_F2,M</t>
  </si>
  <si>
    <t>rm</t>
  </si>
  <si>
    <t>b_A</t>
  </si>
  <si>
    <t>b_B</t>
  </si>
  <si>
    <t>A</t>
  </si>
  <si>
    <t xml:space="preserve">B </t>
  </si>
  <si>
    <t>CAPM rie</t>
  </si>
  <si>
    <t>B</t>
  </si>
  <si>
    <t>budget</t>
  </si>
  <si>
    <t>CETV</t>
  </si>
  <si>
    <t>ČEZ</t>
  </si>
  <si>
    <t>ERSTE</t>
  </si>
  <si>
    <t>KB</t>
  </si>
  <si>
    <t>NWR</t>
  </si>
  <si>
    <t>ORCO</t>
  </si>
  <si>
    <t>PEGAS</t>
  </si>
  <si>
    <t>PM</t>
  </si>
  <si>
    <t>TELEFONICA</t>
  </si>
  <si>
    <t>UNI</t>
  </si>
  <si>
    <t>VIG</t>
  </si>
  <si>
    <t>PX</t>
  </si>
  <si>
    <t>BRENT(USD)</t>
  </si>
  <si>
    <t>XR(CZC/USD)</t>
  </si>
  <si>
    <t>beta3</t>
  </si>
  <si>
    <t>beta2</t>
  </si>
  <si>
    <t>beta1</t>
  </si>
  <si>
    <t>Pmoci 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</si>
</sst>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10405]#\ ###\ ###\ ###\ ###\ ###\ ##0.00"/>
    <numFmt numFmtId="169" formatCode="[$-1010405]#\ ###\ ###\ ###\ ###\ ###\ ##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0" xfId="1"/>
    <xf numFmtId="0" fontId="4" fillId="5" borderId="0" xfId="1" applyFill="1"/>
    <xf numFmtId="0" fontId="4" fillId="4" borderId="0" xfId="1" applyFill="1"/>
    <xf numFmtId="168" fontId="5" fillId="0" borderId="22" xfId="1" applyNumberFormat="1" applyFont="1" applyBorder="1" applyAlignment="1">
      <alignment horizontal="right" vertical="top" wrapText="1"/>
    </xf>
    <xf numFmtId="169" fontId="5" fillId="0" borderId="22" xfId="1" applyNumberFormat="1" applyFont="1" applyBorder="1" applyAlignment="1">
      <alignment horizontal="right" vertical="top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2">
    <cellStyle name="Normal" xfId="0" builtinId="0"/>
    <cellStyle name="Normal 2" xfId="1" xr:uid="{203C2206-9AC3-437E-AF5E-152F0A91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wmf"/><Relationship Id="rId3" Type="http://schemas.openxmlformats.org/officeDocument/2006/relationships/image" Target="../media/image14.wmf"/><Relationship Id="rId7" Type="http://schemas.openxmlformats.org/officeDocument/2006/relationships/image" Target="../media/image18.wmf"/><Relationship Id="rId2" Type="http://schemas.openxmlformats.org/officeDocument/2006/relationships/image" Target="../media/image13.wmf"/><Relationship Id="rId1" Type="http://schemas.openxmlformats.org/officeDocument/2006/relationships/image" Target="../media/image12.wmf"/><Relationship Id="rId6" Type="http://schemas.openxmlformats.org/officeDocument/2006/relationships/image" Target="../media/image17.wmf"/><Relationship Id="rId11" Type="http://schemas.openxmlformats.org/officeDocument/2006/relationships/image" Target="../media/image22.wmf"/><Relationship Id="rId5" Type="http://schemas.openxmlformats.org/officeDocument/2006/relationships/image" Target="../media/image16.wmf"/><Relationship Id="rId10" Type="http://schemas.openxmlformats.org/officeDocument/2006/relationships/image" Target="../media/image21.wmf"/><Relationship Id="rId4" Type="http://schemas.openxmlformats.org/officeDocument/2006/relationships/image" Target="../media/image15.wmf"/><Relationship Id="rId9" Type="http://schemas.openxmlformats.org/officeDocument/2006/relationships/image" Target="../media/image20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wmf"/><Relationship Id="rId2" Type="http://schemas.openxmlformats.org/officeDocument/2006/relationships/image" Target="../media/image25.wmf"/><Relationship Id="rId1" Type="http://schemas.openxmlformats.org/officeDocument/2006/relationships/image" Target="../media/image24.wmf"/><Relationship Id="rId4" Type="http://schemas.openxmlformats.org/officeDocument/2006/relationships/image" Target="../media/image27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47625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B608A72F-ABC3-43AA-9C1D-15D8AD7AC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47625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414C4702-302A-4963-B0A6-19D0A0897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200025</xdr:colOff>
          <xdr:row>2</xdr:row>
          <xdr:rowOff>9525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53CD038-BA24-46B0-9F20-DA4DF6098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238125</xdr:colOff>
          <xdr:row>2</xdr:row>
          <xdr:rowOff>9525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A7918E80-C2E9-40AD-AF5E-1275FCBAB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1</xdr:col>
          <xdr:colOff>219075</xdr:colOff>
          <xdr:row>3</xdr:row>
          <xdr:rowOff>19050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83E8A42-BEB6-4054-AE80-35190F928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228600</xdr:colOff>
          <xdr:row>4</xdr:row>
          <xdr:rowOff>19050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F74F8035-C78D-419C-A5F5-AC2F6F612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228600</xdr:colOff>
          <xdr:row>5</xdr:row>
          <xdr:rowOff>19050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3100900-0FF8-4138-9C44-29B193609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238125</xdr:colOff>
          <xdr:row>6</xdr:row>
          <xdr:rowOff>57150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3852BF46-E95E-45D5-AFB5-6D5FBC7BD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0</xdr:rowOff>
        </xdr:from>
        <xdr:to>
          <xdr:col>3</xdr:col>
          <xdr:colOff>257175</xdr:colOff>
          <xdr:row>6</xdr:row>
          <xdr:rowOff>57150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9639850-0BB8-4D88-9B6B-0DCB3529B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5</xdr:col>
          <xdr:colOff>76200</xdr:colOff>
          <xdr:row>6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F8792A8-EC7B-4A41-A9CD-27A72E0E4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6</xdr:col>
          <xdr:colOff>76200</xdr:colOff>
          <xdr:row>6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B2BCD10-22FA-47C8-900E-6AB8B4420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1D5952AB-C8E1-49EB-B9DB-373174E01C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2</xdr:col>
          <xdr:colOff>390525</xdr:colOff>
          <xdr:row>2</xdr:row>
          <xdr:rowOff>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8348634-98B3-4ED3-88D2-9DAA3BCA9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7</xdr:col>
          <xdr:colOff>66675</xdr:colOff>
          <xdr:row>3</xdr:row>
          <xdr:rowOff>38100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24E22AA0-FCB8-40BC-9859-4C5B83C53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581025</xdr:colOff>
          <xdr:row>4</xdr:row>
          <xdr:rowOff>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119246D-E04A-448D-A214-4C0CB96B0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561975</xdr:colOff>
          <xdr:row>4</xdr:row>
          <xdr:rowOff>190500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402E1639-7BF1-4BFC-9934-D611CFDB6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6</xdr:col>
          <xdr:colOff>142875</xdr:colOff>
          <xdr:row>6</xdr:row>
          <xdr:rowOff>57150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D1E1270C-A816-45D5-9B21-21EFCA9A5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1</xdr:col>
          <xdr:colOff>66675</xdr:colOff>
          <xdr:row>7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2987A21-C936-4A91-97A0-E5927D345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1</xdr:col>
          <xdr:colOff>123825</xdr:colOff>
          <xdr:row>8</xdr:row>
          <xdr:rowOff>28575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9F7173B8-3E87-40A5-9624-04C615790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228600</xdr:colOff>
          <xdr:row>9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C6EDF451-996F-49AB-B34E-3E55EFDE3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238125</xdr:colOff>
          <xdr:row>10</xdr:row>
          <xdr:rowOff>28575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B1BBFCF-2446-4A96-B202-3C744C306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238125</xdr:colOff>
          <xdr:row>11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79894135-FF25-409D-ACE4-63639065A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2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5CE604A-983E-4C38-89E4-473BD0630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1</xdr:row>
          <xdr:rowOff>38100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B08B3FC6-044C-4ADD-B376-C3883F5B2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238125</xdr:colOff>
          <xdr:row>1</xdr:row>
          <xdr:rowOff>38100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33437114-4C90-47AD-BB54-09252E496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0</xdr:row>
          <xdr:rowOff>190500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A1FCE7FD-553B-4632-A160-EEEB78FEB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161925</xdr:colOff>
          <xdr:row>3</xdr:row>
          <xdr:rowOff>190500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49930A5E-5E11-45E7-8192-344D3D170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oleObject" Target="../embeddings/oleObject17.bin"/><Relationship Id="rId18" Type="http://schemas.openxmlformats.org/officeDocument/2006/relationships/image" Target="../media/image19.wmf"/><Relationship Id="rId3" Type="http://schemas.openxmlformats.org/officeDocument/2006/relationships/oleObject" Target="../embeddings/oleObject12.bin"/><Relationship Id="rId21" Type="http://schemas.openxmlformats.org/officeDocument/2006/relationships/oleObject" Target="../embeddings/oleObject21.bin"/><Relationship Id="rId7" Type="http://schemas.openxmlformats.org/officeDocument/2006/relationships/oleObject" Target="../embeddings/oleObject14.bin"/><Relationship Id="rId12" Type="http://schemas.openxmlformats.org/officeDocument/2006/relationships/image" Target="../media/image16.wmf"/><Relationship Id="rId17" Type="http://schemas.openxmlformats.org/officeDocument/2006/relationships/oleObject" Target="../embeddings/oleObject19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8.wmf"/><Relationship Id="rId20" Type="http://schemas.openxmlformats.org/officeDocument/2006/relationships/image" Target="../media/image20.wmf"/><Relationship Id="rId1" Type="http://schemas.openxmlformats.org/officeDocument/2006/relationships/drawing" Target="../drawings/drawing2.xml"/><Relationship Id="rId6" Type="http://schemas.openxmlformats.org/officeDocument/2006/relationships/image" Target="../media/image13.wmf"/><Relationship Id="rId11" Type="http://schemas.openxmlformats.org/officeDocument/2006/relationships/oleObject" Target="../embeddings/oleObject16.bin"/><Relationship Id="rId24" Type="http://schemas.openxmlformats.org/officeDocument/2006/relationships/image" Target="../media/image22.wmf"/><Relationship Id="rId5" Type="http://schemas.openxmlformats.org/officeDocument/2006/relationships/oleObject" Target="../embeddings/oleObject13.bin"/><Relationship Id="rId15" Type="http://schemas.openxmlformats.org/officeDocument/2006/relationships/oleObject" Target="../embeddings/oleObject18.bin"/><Relationship Id="rId23" Type="http://schemas.openxmlformats.org/officeDocument/2006/relationships/oleObject" Target="../embeddings/oleObject22.bin"/><Relationship Id="rId10" Type="http://schemas.openxmlformats.org/officeDocument/2006/relationships/image" Target="../media/image15.wmf"/><Relationship Id="rId19" Type="http://schemas.openxmlformats.org/officeDocument/2006/relationships/oleObject" Target="../embeddings/oleObject20.bin"/><Relationship Id="rId4" Type="http://schemas.openxmlformats.org/officeDocument/2006/relationships/image" Target="../media/image12.wmf"/><Relationship Id="rId9" Type="http://schemas.openxmlformats.org/officeDocument/2006/relationships/oleObject" Target="../embeddings/oleObject15.bin"/><Relationship Id="rId14" Type="http://schemas.openxmlformats.org/officeDocument/2006/relationships/image" Target="../media/image17.wmf"/><Relationship Id="rId22" Type="http://schemas.openxmlformats.org/officeDocument/2006/relationships/image" Target="../media/image2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3.wmf"/><Relationship Id="rId4" Type="http://schemas.openxmlformats.org/officeDocument/2006/relationships/oleObject" Target="../embeddings/oleObject2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wmf"/><Relationship Id="rId3" Type="http://schemas.openxmlformats.org/officeDocument/2006/relationships/oleObject" Target="../embeddings/oleObject24.bin"/><Relationship Id="rId7" Type="http://schemas.openxmlformats.org/officeDocument/2006/relationships/oleObject" Target="../embeddings/oleObject26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5.wmf"/><Relationship Id="rId5" Type="http://schemas.openxmlformats.org/officeDocument/2006/relationships/oleObject" Target="../embeddings/oleObject25.bin"/><Relationship Id="rId10" Type="http://schemas.openxmlformats.org/officeDocument/2006/relationships/image" Target="../media/image27.wmf"/><Relationship Id="rId4" Type="http://schemas.openxmlformats.org/officeDocument/2006/relationships/image" Target="../media/image24.wmf"/><Relationship Id="rId9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0BED-AE33-4A40-A622-B5305F41938F}">
  <dimension ref="A1:X65"/>
  <sheetViews>
    <sheetView workbookViewId="0">
      <selection activeCell="U8" sqref="U8"/>
    </sheetView>
  </sheetViews>
  <sheetFormatPr defaultRowHeight="15" x14ac:dyDescent="0.25"/>
  <cols>
    <col min="8" max="8" width="12.7109375" bestFit="1" customWidth="1"/>
    <col min="19" max="20" width="12" bestFit="1" customWidth="1"/>
  </cols>
  <sheetData>
    <row r="1" spans="1:21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21" ht="15.75" thickBot="1" x14ac:dyDescent="0.3">
      <c r="A2" s="3">
        <v>1</v>
      </c>
      <c r="B2" s="4">
        <v>570</v>
      </c>
      <c r="C2" s="4">
        <v>98.4</v>
      </c>
      <c r="D2" s="4">
        <v>669.1</v>
      </c>
      <c r="E2" s="4">
        <v>53.9</v>
      </c>
      <c r="F2" s="4">
        <v>103.5</v>
      </c>
      <c r="G2" s="4">
        <v>333.4</v>
      </c>
    </row>
    <row r="3" spans="1:21" ht="15.75" thickBot="1" x14ac:dyDescent="0.3">
      <c r="A3" s="3">
        <v>2</v>
      </c>
      <c r="B3" s="4">
        <v>569</v>
      </c>
      <c r="C3" s="4">
        <v>98.2</v>
      </c>
      <c r="D3" s="4">
        <v>715</v>
      </c>
      <c r="E3" s="4">
        <v>53.8</v>
      </c>
      <c r="F3" s="4">
        <v>103</v>
      </c>
      <c r="G3" s="4">
        <v>338.9</v>
      </c>
      <c r="H3">
        <f>LN(B3/B2)</f>
        <v>-1.7559267022649199E-3</v>
      </c>
      <c r="I3">
        <f t="shared" ref="I3:N3" si="0">LN(C3/C2)</f>
        <v>-2.0345886977875742E-3</v>
      </c>
      <c r="J3">
        <f t="shared" si="0"/>
        <v>6.6349016905236424E-2</v>
      </c>
      <c r="K3">
        <f t="shared" si="0"/>
        <v>-1.8570107472127711E-3</v>
      </c>
      <c r="L3">
        <f t="shared" si="0"/>
        <v>-4.8426244757880151E-3</v>
      </c>
      <c r="M3">
        <f t="shared" si="0"/>
        <v>1.6362108296311968E-2</v>
      </c>
    </row>
    <row r="4" spans="1:21" ht="15.75" thickBot="1" x14ac:dyDescent="0.3">
      <c r="A4" s="3">
        <v>3</v>
      </c>
      <c r="B4" s="4">
        <v>563.79999999999995</v>
      </c>
      <c r="C4" s="4">
        <v>96.6</v>
      </c>
      <c r="D4" s="4">
        <v>725</v>
      </c>
      <c r="E4" s="4">
        <v>53.2</v>
      </c>
      <c r="F4" s="4">
        <v>101.9</v>
      </c>
      <c r="G4" s="4">
        <v>346.8</v>
      </c>
      <c r="H4">
        <f t="shared" ref="H4:H21" si="1">LN(B4/B3)</f>
        <v>-9.180855446318836E-3</v>
      </c>
      <c r="I4">
        <f t="shared" ref="I4:I21" si="2">LN(C4/C3)</f>
        <v>-1.642747414194793E-2</v>
      </c>
      <c r="J4">
        <f t="shared" ref="J4:J21" si="3">LN(D4/D3)</f>
        <v>1.3889112160667093E-2</v>
      </c>
      <c r="K4">
        <f t="shared" ref="K4:K21" si="4">LN(E4/E3)</f>
        <v>-1.1215070820139957E-2</v>
      </c>
      <c r="L4">
        <f t="shared" ref="L4:L21" si="5">LN(F4/F3)</f>
        <v>-1.0737048000956569E-2</v>
      </c>
      <c r="M4">
        <f t="shared" ref="M4:M21" si="6">LN(G4/G3)</f>
        <v>2.3043166293381146E-2</v>
      </c>
    </row>
    <row r="5" spans="1:21" ht="15.75" thickBot="1" x14ac:dyDescent="0.3">
      <c r="A5" s="3">
        <v>4</v>
      </c>
      <c r="B5" s="4">
        <v>575.29999999999995</v>
      </c>
      <c r="C5" s="4">
        <v>96.5</v>
      </c>
      <c r="D5" s="4">
        <v>716</v>
      </c>
      <c r="E5" s="4">
        <v>53.9</v>
      </c>
      <c r="F5" s="4">
        <v>100</v>
      </c>
      <c r="G5" s="4">
        <v>347.8</v>
      </c>
      <c r="H5">
        <f t="shared" si="1"/>
        <v>2.0192065189235622E-2</v>
      </c>
      <c r="I5">
        <f t="shared" si="2"/>
        <v>-1.0357328735319795E-3</v>
      </c>
      <c r="J5">
        <f t="shared" si="3"/>
        <v>-1.2491487894029141E-2</v>
      </c>
      <c r="K5">
        <f t="shared" si="4"/>
        <v>1.3072081567352701E-2</v>
      </c>
      <c r="L5">
        <f t="shared" si="5"/>
        <v>-1.8821754240587858E-2</v>
      </c>
      <c r="M5">
        <f t="shared" si="6"/>
        <v>2.8793570137959509E-3</v>
      </c>
    </row>
    <row r="6" spans="1:21" ht="15.75" thickBot="1" x14ac:dyDescent="0.3">
      <c r="A6" s="3">
        <v>5</v>
      </c>
      <c r="B6" s="4">
        <v>595.1</v>
      </c>
      <c r="C6" s="4">
        <v>97</v>
      </c>
      <c r="D6" s="4">
        <v>725</v>
      </c>
      <c r="E6" s="4">
        <v>55.6</v>
      </c>
      <c r="F6" s="4">
        <v>101.6</v>
      </c>
      <c r="G6" s="4">
        <v>350.9</v>
      </c>
      <c r="H6">
        <f t="shared" si="1"/>
        <v>3.3837814781558756E-2</v>
      </c>
      <c r="I6">
        <f t="shared" si="2"/>
        <v>5.1679701584425976E-3</v>
      </c>
      <c r="J6">
        <f t="shared" si="3"/>
        <v>1.2491487894029053E-2</v>
      </c>
      <c r="K6">
        <f t="shared" si="4"/>
        <v>3.1052723341585216E-2</v>
      </c>
      <c r="L6">
        <f t="shared" si="5"/>
        <v>1.5873349156290163E-2</v>
      </c>
      <c r="M6">
        <f t="shared" si="6"/>
        <v>8.8736806689866613E-3</v>
      </c>
      <c r="R6" t="s">
        <v>35</v>
      </c>
    </row>
    <row r="7" spans="1:21" ht="15.75" thickBot="1" x14ac:dyDescent="0.3">
      <c r="A7" s="3">
        <v>6</v>
      </c>
      <c r="B7" s="4">
        <v>602.79999999999995</v>
      </c>
      <c r="C7" s="4">
        <v>98.4</v>
      </c>
      <c r="D7" s="4">
        <v>727.5</v>
      </c>
      <c r="E7" s="4">
        <v>57</v>
      </c>
      <c r="F7" s="4">
        <v>101.2</v>
      </c>
      <c r="G7" s="4">
        <v>348.1</v>
      </c>
      <c r="H7">
        <f t="shared" si="1"/>
        <v>1.2856008101533955E-2</v>
      </c>
      <c r="I7">
        <f t="shared" si="2"/>
        <v>1.4329825554824868E-2</v>
      </c>
      <c r="J7">
        <f t="shared" si="3"/>
        <v>3.4423441909726986E-3</v>
      </c>
      <c r="K7">
        <f t="shared" si="4"/>
        <v>2.4868066578013524E-2</v>
      </c>
      <c r="L7">
        <f t="shared" si="5"/>
        <v>-3.9447782910162288E-3</v>
      </c>
      <c r="M7">
        <f t="shared" si="6"/>
        <v>-8.0114877717760834E-3</v>
      </c>
      <c r="U7" t="s">
        <v>17</v>
      </c>
    </row>
    <row r="8" spans="1:21" ht="15.75" thickBot="1" x14ac:dyDescent="0.3">
      <c r="A8" s="3">
        <v>7</v>
      </c>
      <c r="B8" s="4">
        <v>601.79999999999995</v>
      </c>
      <c r="C8" s="4">
        <v>99</v>
      </c>
      <c r="D8" s="4">
        <v>716.6</v>
      </c>
      <c r="E8" s="4">
        <v>54.7</v>
      </c>
      <c r="F8" s="4">
        <v>102</v>
      </c>
      <c r="G8" s="4">
        <v>349.4</v>
      </c>
      <c r="H8">
        <f t="shared" si="1"/>
        <v>-1.6603025563955596E-3</v>
      </c>
      <c r="I8">
        <f t="shared" si="2"/>
        <v>6.0790460763821925E-3</v>
      </c>
      <c r="J8">
        <f t="shared" si="3"/>
        <v>-1.5096194174794133E-2</v>
      </c>
      <c r="K8">
        <f t="shared" si="4"/>
        <v>-4.1187558406614526E-2</v>
      </c>
      <c r="L8">
        <f t="shared" si="5"/>
        <v>7.8740564309058656E-3</v>
      </c>
      <c r="M8">
        <f t="shared" si="6"/>
        <v>3.7276028825627906E-3</v>
      </c>
      <c r="R8">
        <f>COUNT(H3:H21)</f>
        <v>19</v>
      </c>
      <c r="S8">
        <f>SUM(M3:M21)</f>
        <v>0.18486780245931367</v>
      </c>
      <c r="U8">
        <f>SUM(H3:H21)</f>
        <v>0.21680773286512386</v>
      </c>
    </row>
    <row r="9" spans="1:21" ht="15.75" thickBot="1" x14ac:dyDescent="0.3">
      <c r="A9" s="3">
        <v>8</v>
      </c>
      <c r="B9" s="4">
        <v>601.29999999999995</v>
      </c>
      <c r="C9" s="4">
        <v>105.4</v>
      </c>
      <c r="D9" s="4">
        <v>721.5</v>
      </c>
      <c r="E9" s="4">
        <v>55.6</v>
      </c>
      <c r="F9" s="4">
        <v>101.6</v>
      </c>
      <c r="G9" s="4">
        <v>354.2</v>
      </c>
      <c r="H9">
        <f t="shared" si="1"/>
        <v>-8.3118615042190316E-4</v>
      </c>
      <c r="I9">
        <f t="shared" si="2"/>
        <v>6.2642785972672005E-2</v>
      </c>
      <c r="J9">
        <f t="shared" si="3"/>
        <v>6.8145733430721106E-3</v>
      </c>
      <c r="K9">
        <f t="shared" si="4"/>
        <v>1.6319491828601186E-2</v>
      </c>
      <c r="L9">
        <f t="shared" si="5"/>
        <v>-3.9292781398896611E-3</v>
      </c>
      <c r="M9">
        <f t="shared" si="6"/>
        <v>1.3644327648777061E-2</v>
      </c>
      <c r="R9">
        <f>S8</f>
        <v>0.18486780245931367</v>
      </c>
      <c r="S9">
        <f>SUMPRODUCT(M3:M21,M3:M21)</f>
        <v>7.4010151776424298E-3</v>
      </c>
      <c r="U9">
        <f>SUMPRODUCT(H3:H21,M3:M21)</f>
        <v>7.3006020823278728E-4</v>
      </c>
    </row>
    <row r="10" spans="1:21" ht="15.75" thickBot="1" x14ac:dyDescent="0.3">
      <c r="A10" s="3">
        <v>9</v>
      </c>
      <c r="B10" s="4">
        <v>614.79999999999995</v>
      </c>
      <c r="C10" s="4">
        <v>116.9</v>
      </c>
      <c r="D10" s="4">
        <v>718.6</v>
      </c>
      <c r="E10" s="4">
        <v>55.9</v>
      </c>
      <c r="F10" s="4">
        <v>101.7</v>
      </c>
      <c r="G10" s="4">
        <v>361.1</v>
      </c>
      <c r="H10">
        <f t="shared" si="1"/>
        <v>2.2203033618917754E-2</v>
      </c>
      <c r="I10">
        <f t="shared" si="2"/>
        <v>0.1035562323707608</v>
      </c>
      <c r="J10">
        <f t="shared" si="3"/>
        <v>-4.0275035345072258E-3</v>
      </c>
      <c r="K10">
        <f t="shared" si="4"/>
        <v>5.38117890451675E-3</v>
      </c>
      <c r="L10">
        <f t="shared" si="5"/>
        <v>9.8376791013274822E-4</v>
      </c>
      <c r="M10">
        <f t="shared" si="6"/>
        <v>1.9293202934679069E-2</v>
      </c>
    </row>
    <row r="11" spans="1:21" ht="15.75" thickBot="1" x14ac:dyDescent="0.3">
      <c r="A11" s="3">
        <v>10</v>
      </c>
      <c r="B11" s="4">
        <v>628.1</v>
      </c>
      <c r="C11" s="4">
        <v>119.6</v>
      </c>
      <c r="D11" s="4">
        <v>717.8</v>
      </c>
      <c r="E11" s="4">
        <v>56.5</v>
      </c>
      <c r="F11" s="4">
        <v>100.5</v>
      </c>
      <c r="G11" s="4">
        <v>372.7</v>
      </c>
      <c r="H11">
        <f t="shared" si="1"/>
        <v>2.1402377795894375E-2</v>
      </c>
      <c r="I11">
        <f t="shared" si="2"/>
        <v>2.2833973038508516E-2</v>
      </c>
      <c r="J11">
        <f t="shared" si="3"/>
        <v>-1.1138959659115725E-3</v>
      </c>
      <c r="K11">
        <f t="shared" si="4"/>
        <v>1.0676257991341854E-2</v>
      </c>
      <c r="L11">
        <f t="shared" si="5"/>
        <v>-1.1869575555383882E-2</v>
      </c>
      <c r="M11">
        <f t="shared" si="6"/>
        <v>3.1618878201800558E-2</v>
      </c>
      <c r="R11" t="s">
        <v>36</v>
      </c>
    </row>
    <row r="12" spans="1:21" ht="15.75" thickBot="1" x14ac:dyDescent="0.3">
      <c r="A12" s="3">
        <v>11</v>
      </c>
      <c r="B12" s="4">
        <v>629</v>
      </c>
      <c r="C12" s="4">
        <v>113.2</v>
      </c>
      <c r="D12" s="4">
        <v>729.5</v>
      </c>
      <c r="E12" s="4">
        <v>56.4</v>
      </c>
      <c r="F12" s="4">
        <v>103.4</v>
      </c>
      <c r="G12" s="4">
        <v>371.6</v>
      </c>
      <c r="H12">
        <f t="shared" si="1"/>
        <v>1.43186724010532E-3</v>
      </c>
      <c r="I12">
        <f t="shared" si="2"/>
        <v>-5.4996675747448764E-2</v>
      </c>
      <c r="J12">
        <f t="shared" si="3"/>
        <v>1.616838924933349E-2</v>
      </c>
      <c r="K12">
        <f t="shared" si="4"/>
        <v>-1.7714796483821156E-3</v>
      </c>
      <c r="L12">
        <f t="shared" si="5"/>
        <v>2.8447234575198425E-2</v>
      </c>
      <c r="M12">
        <f t="shared" si="6"/>
        <v>-2.9557995455292171E-3</v>
      </c>
      <c r="R12">
        <f t="array" ref="R12:S13">MINVERSE(R8:S9)</f>
        <v>6.9530193482396876E-2</v>
      </c>
      <c r="S12">
        <v>-1.7367744512255106</v>
      </c>
      <c r="T12" t="s">
        <v>33</v>
      </c>
      <c r="U12" s="7">
        <f t="array" ref="U12:U13">MMULT(R12:S13,U8:U9)</f>
        <v>1.3806733697076797E-2</v>
      </c>
    </row>
    <row r="13" spans="1:21" ht="15.75" thickBot="1" x14ac:dyDescent="0.3">
      <c r="A13" s="3">
        <v>12</v>
      </c>
      <c r="B13" s="4">
        <v>618.6</v>
      </c>
      <c r="C13" s="4">
        <v>109.5</v>
      </c>
      <c r="D13" s="4">
        <v>702.6</v>
      </c>
      <c r="E13" s="4">
        <v>54.9</v>
      </c>
      <c r="F13" s="4">
        <v>102.3</v>
      </c>
      <c r="G13" s="4">
        <v>395.9</v>
      </c>
      <c r="H13">
        <f t="shared" si="1"/>
        <v>-1.6672396449471251E-2</v>
      </c>
      <c r="I13">
        <f t="shared" si="2"/>
        <v>-3.3231616512527061E-2</v>
      </c>
      <c r="J13">
        <f t="shared" si="3"/>
        <v>-3.7571628131113623E-2</v>
      </c>
      <c r="K13">
        <f t="shared" si="4"/>
        <v>-2.6955809988528218E-2</v>
      </c>
      <c r="L13">
        <f t="shared" si="5"/>
        <v>-1.069528911674803E-2</v>
      </c>
      <c r="M13">
        <f t="shared" si="6"/>
        <v>6.3343647172401457E-2</v>
      </c>
      <c r="R13">
        <v>-1.7367744512255106</v>
      </c>
      <c r="S13">
        <v>178.49898216076414</v>
      </c>
      <c r="T13" t="s">
        <v>34</v>
      </c>
      <c r="U13" s="6">
        <v>-0.24623112718264453</v>
      </c>
    </row>
    <row r="14" spans="1:21" ht="15.75" thickBot="1" x14ac:dyDescent="0.3">
      <c r="A14" s="3">
        <v>13</v>
      </c>
      <c r="B14" s="4">
        <v>638</v>
      </c>
      <c r="C14" s="4">
        <v>105</v>
      </c>
      <c r="D14" s="4">
        <v>750.8</v>
      </c>
      <c r="E14" s="4">
        <v>55</v>
      </c>
      <c r="F14" s="4">
        <v>102.8</v>
      </c>
      <c r="G14" s="4">
        <v>397.6</v>
      </c>
      <c r="H14">
        <f t="shared" si="1"/>
        <v>3.0879423093820642E-2</v>
      </c>
      <c r="I14">
        <f t="shared" si="2"/>
        <v>-4.1964199099032193E-2</v>
      </c>
      <c r="J14">
        <f t="shared" si="3"/>
        <v>6.6351564880626906E-2</v>
      </c>
      <c r="K14">
        <f t="shared" si="4"/>
        <v>1.8198367169858993E-3</v>
      </c>
      <c r="L14">
        <f t="shared" si="5"/>
        <v>4.8756800634839311E-3</v>
      </c>
      <c r="M14">
        <f t="shared" si="6"/>
        <v>4.2848206703341961E-3</v>
      </c>
    </row>
    <row r="15" spans="1:21" ht="15.75" thickBot="1" x14ac:dyDescent="0.3">
      <c r="A15" s="3">
        <v>14</v>
      </c>
      <c r="B15" s="4">
        <v>656</v>
      </c>
      <c r="C15" s="4">
        <v>104.9</v>
      </c>
      <c r="D15" s="4">
        <v>789.7</v>
      </c>
      <c r="E15" s="4">
        <v>56.6</v>
      </c>
      <c r="F15" s="4">
        <v>99.8</v>
      </c>
      <c r="G15" s="4">
        <v>406.1</v>
      </c>
      <c r="H15">
        <f t="shared" si="1"/>
        <v>2.7822505599299194E-2</v>
      </c>
      <c r="I15">
        <f t="shared" si="2"/>
        <v>-9.5283475527185445E-4</v>
      </c>
      <c r="J15">
        <f t="shared" si="3"/>
        <v>5.0513821791181586E-2</v>
      </c>
      <c r="K15">
        <f t="shared" si="4"/>
        <v>2.8675799976666298E-2</v>
      </c>
      <c r="L15">
        <f t="shared" si="5"/>
        <v>-2.9617169703646449E-2</v>
      </c>
      <c r="M15">
        <f t="shared" si="6"/>
        <v>2.1152959909833177E-2</v>
      </c>
    </row>
    <row r="16" spans="1:21" ht="15.75" thickBot="1" x14ac:dyDescent="0.3">
      <c r="A16" s="3">
        <v>15</v>
      </c>
      <c r="B16" s="4">
        <v>662</v>
      </c>
      <c r="C16" s="4">
        <v>105.3</v>
      </c>
      <c r="D16" s="4">
        <v>799.1</v>
      </c>
      <c r="E16" s="4">
        <v>56.9</v>
      </c>
      <c r="F16" s="4">
        <v>101.4</v>
      </c>
      <c r="G16" s="4">
        <v>400.7</v>
      </c>
      <c r="H16">
        <f t="shared" si="1"/>
        <v>9.1047669929190667E-3</v>
      </c>
      <c r="I16">
        <f t="shared" si="2"/>
        <v>3.80590373767819E-3</v>
      </c>
      <c r="J16">
        <f t="shared" si="3"/>
        <v>1.1832967876881784E-2</v>
      </c>
      <c r="K16">
        <f t="shared" si="4"/>
        <v>5.2863559231480246E-3</v>
      </c>
      <c r="L16">
        <f t="shared" si="5"/>
        <v>1.5904907839664514E-2</v>
      </c>
      <c r="M16">
        <f t="shared" si="6"/>
        <v>-1.3386417050153305E-2</v>
      </c>
    </row>
    <row r="17" spans="1:24" ht="15.75" thickBot="1" x14ac:dyDescent="0.3">
      <c r="A17" s="3">
        <v>16</v>
      </c>
      <c r="B17" s="4">
        <v>669.4</v>
      </c>
      <c r="C17" s="4">
        <v>105.7</v>
      </c>
      <c r="D17" s="4">
        <v>805</v>
      </c>
      <c r="E17" s="4">
        <v>56</v>
      </c>
      <c r="F17" s="4">
        <v>100.9</v>
      </c>
      <c r="G17" s="4">
        <v>396.6</v>
      </c>
      <c r="H17">
        <f t="shared" si="1"/>
        <v>1.1116232840217944E-2</v>
      </c>
      <c r="I17">
        <f t="shared" si="2"/>
        <v>3.7914737362622171E-3</v>
      </c>
      <c r="J17">
        <f t="shared" si="3"/>
        <v>7.3561830381463373E-3</v>
      </c>
      <c r="K17">
        <f t="shared" si="4"/>
        <v>-1.5943650397136001E-2</v>
      </c>
      <c r="L17">
        <f t="shared" si="5"/>
        <v>-4.9431637975195421E-3</v>
      </c>
      <c r="M17">
        <f t="shared" si="6"/>
        <v>-1.0284801556403166E-2</v>
      </c>
    </row>
    <row r="18" spans="1:24" ht="15.75" thickBot="1" x14ac:dyDescent="0.3">
      <c r="A18" s="3">
        <v>17</v>
      </c>
      <c r="B18" s="4">
        <v>700.7</v>
      </c>
      <c r="C18" s="4">
        <v>108.5</v>
      </c>
      <c r="D18" s="4">
        <v>870</v>
      </c>
      <c r="E18" s="4">
        <v>56.7</v>
      </c>
      <c r="F18" s="4">
        <v>95.3</v>
      </c>
      <c r="G18" s="4">
        <v>398.2</v>
      </c>
      <c r="H18">
        <f t="shared" si="1"/>
        <v>4.5698046599262146E-2</v>
      </c>
      <c r="I18">
        <f t="shared" si="2"/>
        <v>2.6145280104322207E-2</v>
      </c>
      <c r="J18">
        <f t="shared" si="3"/>
        <v>7.7650934230066068E-2</v>
      </c>
      <c r="K18">
        <f t="shared" si="4"/>
        <v>1.242251999855711E-2</v>
      </c>
      <c r="L18">
        <f t="shared" si="5"/>
        <v>-5.71001166994069E-2</v>
      </c>
      <c r="M18">
        <f t="shared" si="6"/>
        <v>4.0261755444001316E-3</v>
      </c>
      <c r="R18" t="s">
        <v>32</v>
      </c>
    </row>
    <row r="19" spans="1:24" ht="15.75" thickBot="1" x14ac:dyDescent="0.3">
      <c r="A19" s="3">
        <v>18</v>
      </c>
      <c r="B19" s="4">
        <v>709</v>
      </c>
      <c r="C19" s="4">
        <v>110.3</v>
      </c>
      <c r="D19" s="4">
        <v>937.6</v>
      </c>
      <c r="E19" s="4">
        <v>57</v>
      </c>
      <c r="F19" s="4">
        <v>65.7</v>
      </c>
      <c r="G19" s="4">
        <v>400.9</v>
      </c>
      <c r="H19">
        <f t="shared" si="1"/>
        <v>1.177569115563932E-2</v>
      </c>
      <c r="I19">
        <f t="shared" si="2"/>
        <v>1.645375327894243E-2</v>
      </c>
      <c r="J19">
        <f t="shared" si="3"/>
        <v>7.4830207174118687E-2</v>
      </c>
      <c r="K19">
        <f t="shared" si="4"/>
        <v>5.2770571008438193E-3</v>
      </c>
      <c r="L19">
        <f t="shared" si="5"/>
        <v>-0.37193088516959155</v>
      </c>
      <c r="M19">
        <f t="shared" si="6"/>
        <v>6.7576280183653031E-3</v>
      </c>
      <c r="R19" t="s">
        <v>34</v>
      </c>
      <c r="S19" t="s">
        <v>33</v>
      </c>
    </row>
    <row r="20" spans="1:24" ht="15.75" thickBot="1" x14ac:dyDescent="0.3">
      <c r="A20" s="3">
        <v>19</v>
      </c>
      <c r="B20" s="4">
        <v>713</v>
      </c>
      <c r="C20" s="4">
        <v>112.6</v>
      </c>
      <c r="D20" s="4">
        <v>948.8</v>
      </c>
      <c r="E20" s="4">
        <v>56.8</v>
      </c>
      <c r="F20" s="4">
        <v>99.4</v>
      </c>
      <c r="G20" s="4">
        <v>399.1</v>
      </c>
      <c r="H20">
        <f t="shared" si="1"/>
        <v>5.6258938821684285E-3</v>
      </c>
      <c r="I20">
        <f t="shared" si="2"/>
        <v>2.0637789446133196E-2</v>
      </c>
      <c r="J20">
        <f t="shared" si="3"/>
        <v>1.1874609420712683E-2</v>
      </c>
      <c r="K20">
        <f t="shared" si="4"/>
        <v>-3.5149421074444969E-3</v>
      </c>
      <c r="L20">
        <f t="shared" si="5"/>
        <v>0.41405318817196352</v>
      </c>
      <c r="M20">
        <f t="shared" si="6"/>
        <v>-4.5000075937729131E-3</v>
      </c>
      <c r="R20" s="6">
        <f t="array" ref="R20:S24">LINEST(H3:H21,M3:M21,1,1)</f>
        <v>-0.24623112718264459</v>
      </c>
      <c r="S20" s="7">
        <v>1.3806733697076797E-2</v>
      </c>
    </row>
    <row r="21" spans="1:24" ht="15.75" thickBot="1" x14ac:dyDescent="0.3">
      <c r="A21" s="3">
        <v>20</v>
      </c>
      <c r="B21" s="4">
        <v>708</v>
      </c>
      <c r="C21" s="4">
        <v>113.9</v>
      </c>
      <c r="D21" s="4">
        <v>951.5</v>
      </c>
      <c r="E21" s="4">
        <v>56.5</v>
      </c>
      <c r="F21" s="4">
        <v>99.2</v>
      </c>
      <c r="G21" s="4">
        <v>401.1</v>
      </c>
      <c r="H21">
        <f t="shared" si="1"/>
        <v>-7.0373267205762037E-3</v>
      </c>
      <c r="I21">
        <f t="shared" si="2"/>
        <v>1.147915474754644E-2</v>
      </c>
      <c r="J21">
        <f t="shared" si="3"/>
        <v>2.8416584927431947E-3</v>
      </c>
      <c r="K21">
        <f t="shared" si="4"/>
        <v>-5.2956875747103439E-3</v>
      </c>
      <c r="L21">
        <f t="shared" si="5"/>
        <v>-2.0140993717012562E-3</v>
      </c>
      <c r="M21">
        <f t="shared" si="6"/>
        <v>4.9987607213188802E-3</v>
      </c>
      <c r="R21">
        <v>0.21660732994349199</v>
      </c>
      <c r="S21">
        <v>4.2750578494209343E-3</v>
      </c>
    </row>
    <row r="22" spans="1:24" x14ac:dyDescent="0.25">
      <c r="G22" t="s">
        <v>7</v>
      </c>
      <c r="H22">
        <f>AVERAGE(H3:H21)</f>
        <v>1.1410933308690729E-2</v>
      </c>
      <c r="I22">
        <f t="shared" ref="I22:M22" si="7">AVERAGE(I3:I21)</f>
        <v>7.6989508628909614E-3</v>
      </c>
      <c r="J22">
        <f t="shared" si="7"/>
        <v>1.85319032077596E-2</v>
      </c>
      <c r="K22">
        <f t="shared" si="7"/>
        <v>2.4794821177602081E-3</v>
      </c>
      <c r="L22">
        <f t="shared" si="7"/>
        <v>-2.2333472849787764E-3</v>
      </c>
      <c r="M22">
        <f t="shared" si="7"/>
        <v>9.7298843399638776E-3</v>
      </c>
      <c r="R22">
        <v>7.0643623931720106E-2</v>
      </c>
      <c r="S22">
        <v>1.6212697400732331E-2</v>
      </c>
    </row>
    <row r="23" spans="1:24" x14ac:dyDescent="0.25">
      <c r="G23" t="s">
        <v>8</v>
      </c>
      <c r="H23">
        <f>_xlfn.COVARIANCE.S(H3:H21,$M$3:$M$21)</f>
        <v>-7.6636330919702952E-5</v>
      </c>
      <c r="I23">
        <f t="shared" ref="I23:M23" si="8">_xlfn.COVARIANCE.S(I3:I21,$M$3:$M$21)</f>
        <v>-2.0063592006870667E-5</v>
      </c>
      <c r="J23">
        <f t="shared" si="8"/>
        <v>-1.4328225370453527E-4</v>
      </c>
      <c r="K23">
        <f t="shared" si="8"/>
        <v>-5.7907568866576545E-5</v>
      </c>
      <c r="L23">
        <f t="shared" si="8"/>
        <v>-3.5121697170657171E-4</v>
      </c>
      <c r="M23">
        <f t="shared" si="8"/>
        <v>3.1123738008500103E-4</v>
      </c>
      <c r="R23">
        <v>1.2922293726760945</v>
      </c>
      <c r="S23">
        <v>17</v>
      </c>
    </row>
    <row r="24" spans="1:24" x14ac:dyDescent="0.25">
      <c r="A24" t="s">
        <v>10</v>
      </c>
      <c r="B24" s="5">
        <v>0.03</v>
      </c>
      <c r="C24" t="s">
        <v>11</v>
      </c>
      <c r="G24" t="s">
        <v>9</v>
      </c>
      <c r="H24" s="6">
        <f>H23/$M$23</f>
        <v>-0.24623112718264448</v>
      </c>
      <c r="I24">
        <f t="shared" ref="I24:M24" si="9">I23/$M$23</f>
        <v>-6.4463953530874613E-2</v>
      </c>
      <c r="J24">
        <f t="shared" si="9"/>
        <v>-0.46036325606327855</v>
      </c>
      <c r="K24">
        <f t="shared" si="9"/>
        <v>-0.18605595783758877</v>
      </c>
      <c r="L24">
        <f t="shared" si="9"/>
        <v>-1.1284536954097608</v>
      </c>
      <c r="M24">
        <f t="shared" si="9"/>
        <v>1</v>
      </c>
      <c r="R24">
        <v>3.3966450261901145E-4</v>
      </c>
      <c r="S24">
        <v>4.4684764691311184E-3</v>
      </c>
    </row>
    <row r="25" spans="1:24" x14ac:dyDescent="0.25">
      <c r="A25" t="s">
        <v>12</v>
      </c>
      <c r="B25" s="5">
        <v>252</v>
      </c>
    </row>
    <row r="26" spans="1:24" x14ac:dyDescent="0.25">
      <c r="A26" t="s">
        <v>10</v>
      </c>
      <c r="B26">
        <f>B24/B25</f>
        <v>1.1904761904761905E-4</v>
      </c>
      <c r="C26" t="s">
        <v>13</v>
      </c>
      <c r="H26" t="s">
        <v>14</v>
      </c>
      <c r="N26" t="s">
        <v>16</v>
      </c>
      <c r="T26">
        <f>$O41*H27*T$30</f>
        <v>4.3833515191365102E-4</v>
      </c>
    </row>
    <row r="27" spans="1:24" x14ac:dyDescent="0.25">
      <c r="H27">
        <f>_xlfn.COVARIANCE.S($H$3:$H$21,H3:H21)</f>
        <v>2.6711894287500724E-4</v>
      </c>
      <c r="I27">
        <f t="shared" ref="I27:L27" si="10">_xlfn.COVARIANCE.S($H$3:$H$21,I3:I21)</f>
        <v>1.2237846205907647E-4</v>
      </c>
      <c r="J27">
        <f t="shared" si="10"/>
        <v>2.5715775576645863E-4</v>
      </c>
      <c r="K27">
        <f t="shared" si="10"/>
        <v>1.9027708453487211E-4</v>
      </c>
      <c r="L27">
        <f t="shared" si="10"/>
        <v>-2.5302392874231093E-4</v>
      </c>
      <c r="N27">
        <f t="array" ref="N27:N31">TRANSPOSE(H22:L22)</f>
        <v>1.1410933308690729E-2</v>
      </c>
    </row>
    <row r="28" spans="1:24" x14ac:dyDescent="0.25">
      <c r="H28">
        <f>_xlfn.COVARIANCE.S($I$3:$I$21,H3:H21)</f>
        <v>1.2237846205907647E-4</v>
      </c>
      <c r="I28">
        <f t="shared" ref="I28:L28" si="11">_xlfn.COVARIANCE.S($I$3:$I$21,I3:I21)</f>
        <v>1.223278209310725E-3</v>
      </c>
      <c r="J28">
        <f t="shared" si="11"/>
        <v>-1.0642696717067462E-4</v>
      </c>
      <c r="K28">
        <f t="shared" si="11"/>
        <v>1.6827996105447346E-4</v>
      </c>
      <c r="L28">
        <f t="shared" si="11"/>
        <v>-1.3539415363570724E-5</v>
      </c>
      <c r="N28">
        <v>7.6989508628909614E-3</v>
      </c>
    </row>
    <row r="29" spans="1:24" x14ac:dyDescent="0.25">
      <c r="H29">
        <f>_xlfn.COVARIANCE.S($J$3:$J$21,H3:H21)</f>
        <v>2.5715775576645863E-4</v>
      </c>
      <c r="I29">
        <f t="shared" ref="I29:L29" si="12">_xlfn.COVARIANCE.S($J$3:$J$21,I3:I21)</f>
        <v>-1.0642696717067462E-4</v>
      </c>
      <c r="J29">
        <f t="shared" si="12"/>
        <v>1.0714046291855396E-3</v>
      </c>
      <c r="K29">
        <f t="shared" si="12"/>
        <v>2.0327785300413735E-4</v>
      </c>
      <c r="L29">
        <f t="shared" si="12"/>
        <v>-1.495228661303189E-3</v>
      </c>
      <c r="N29">
        <v>1.85319032077596E-2</v>
      </c>
    </row>
    <row r="30" spans="1:24" x14ac:dyDescent="0.25">
      <c r="H30">
        <f>_xlfn.COVARIANCE.S($K$3:$K$21,H3:H21)</f>
        <v>1.9027708453487211E-4</v>
      </c>
      <c r="I30">
        <f t="shared" ref="I30:L30" si="13">_xlfn.COVARIANCE.S($K$3:$K$21,I3:I21)</f>
        <v>1.6827996105447346E-4</v>
      </c>
      <c r="J30">
        <f t="shared" si="13"/>
        <v>2.0327785300413735E-4</v>
      </c>
      <c r="K30">
        <f t="shared" si="13"/>
        <v>3.2954153790590404E-4</v>
      </c>
      <c r="L30">
        <f t="shared" si="13"/>
        <v>-2.6015727910692552E-4</v>
      </c>
      <c r="N30">
        <v>2.4794821177602081E-3</v>
      </c>
      <c r="S30" t="s">
        <v>20</v>
      </c>
      <c r="T30">
        <f t="array" ref="T30:X30">TRANSPOSE(O41:O45)</f>
        <v>1.2810049451959147</v>
      </c>
      <c r="U30">
        <v>0.17455900969646654</v>
      </c>
      <c r="V30">
        <v>0.34904995344054507</v>
      </c>
      <c r="W30">
        <v>-0.83714090102789929</v>
      </c>
      <c r="X30">
        <v>3.2526992694973056E-2</v>
      </c>
    </row>
    <row r="31" spans="1:24" x14ac:dyDescent="0.25">
      <c r="H31">
        <f>_xlfn.COVARIANCE.S($L$3:$L$21,H3:H21)</f>
        <v>-2.5302392874231093E-4</v>
      </c>
      <c r="I31">
        <f t="shared" ref="I31:L31" si="14">_xlfn.COVARIANCE.S($L$3:$L$21,I3:I21)</f>
        <v>-1.3539415363570724E-5</v>
      </c>
      <c r="J31">
        <f t="shared" si="14"/>
        <v>-1.495228661303189E-3</v>
      </c>
      <c r="K31">
        <f t="shared" si="14"/>
        <v>-2.6015727910692552E-4</v>
      </c>
      <c r="L31">
        <f t="shared" si="14"/>
        <v>1.7556896333961423E-2</v>
      </c>
      <c r="N31">
        <v>-2.2333472849787764E-3</v>
      </c>
      <c r="T31">
        <f>$O41*H27*T$30</f>
        <v>4.3833515191365102E-4</v>
      </c>
      <c r="U31">
        <f t="shared" ref="U31:X31" si="15">$O41*I27*U$30</f>
        <v>2.7365164729589154E-5</v>
      </c>
      <c r="V31">
        <f t="shared" si="15"/>
        <v>1.1498416021468791E-4</v>
      </c>
      <c r="W31">
        <f t="shared" si="15"/>
        <v>-2.0404965083434959E-4</v>
      </c>
      <c r="X31">
        <f t="shared" si="15"/>
        <v>-1.0542808383749549E-5</v>
      </c>
    </row>
    <row r="32" spans="1:24" x14ac:dyDescent="0.25">
      <c r="T32">
        <f t="shared" ref="T32:T35" si="16">$O42*H28*T$30</f>
        <v>2.7365164729589154E-5</v>
      </c>
      <c r="U32">
        <f t="shared" ref="U32:U35" si="17">$O42*I28*U$30</f>
        <v>3.7274324213958234E-5</v>
      </c>
      <c r="V32">
        <f t="shared" ref="V32:V35" si="18">$O42*J28*V$30</f>
        <v>-6.4845753363427748E-6</v>
      </c>
      <c r="W32">
        <f t="shared" ref="W32:W35" si="19">$O42*K28*W$30</f>
        <v>-2.4590832603988758E-5</v>
      </c>
      <c r="X32">
        <f t="shared" ref="X32:X35" si="20">$O42*L28*X$30</f>
        <v>-7.6875170738777332E-8</v>
      </c>
    </row>
    <row r="33" spans="6:24" x14ac:dyDescent="0.25">
      <c r="F33" t="s">
        <v>29</v>
      </c>
      <c r="H33" t="s">
        <v>15</v>
      </c>
      <c r="N33" t="s">
        <v>17</v>
      </c>
      <c r="T33">
        <f t="shared" si="16"/>
        <v>1.1498416021468791E-4</v>
      </c>
      <c r="U33">
        <f t="shared" si="17"/>
        <v>-6.4845753363427756E-6</v>
      </c>
      <c r="V33">
        <f t="shared" si="18"/>
        <v>1.3053551511546912E-4</v>
      </c>
      <c r="W33">
        <f t="shared" si="19"/>
        <v>-5.939860024011828E-5</v>
      </c>
      <c r="X33">
        <f t="shared" si="20"/>
        <v>-1.6976146318644089E-5</v>
      </c>
    </row>
    <row r="34" spans="6:24" x14ac:dyDescent="0.25">
      <c r="H34">
        <f t="array" ref="H34:L38">MINVERSE(H27:L31)</f>
        <v>7518.8360139526922</v>
      </c>
      <c r="I34">
        <v>-396.18227721153579</v>
      </c>
      <c r="J34">
        <v>-1270.2060119337109</v>
      </c>
      <c r="K34">
        <v>-3395.3506970032468</v>
      </c>
      <c r="L34">
        <v>-50.435581864635928</v>
      </c>
      <c r="N34">
        <f>N27-$B$26</f>
        <v>1.129188568964311E-2</v>
      </c>
      <c r="T34">
        <f t="shared" si="16"/>
        <v>-2.0404965083434956E-4</v>
      </c>
      <c r="U34">
        <f t="shared" si="17"/>
        <v>-2.4590832603988758E-5</v>
      </c>
      <c r="V34">
        <f t="shared" si="18"/>
        <v>-5.939860024011828E-5</v>
      </c>
      <c r="W34">
        <f t="shared" si="19"/>
        <v>2.3094432062077016E-4</v>
      </c>
      <c r="X34">
        <f t="shared" si="20"/>
        <v>7.0839984119421968E-6</v>
      </c>
    </row>
    <row r="35" spans="6:24" x14ac:dyDescent="0.25">
      <c r="H35">
        <v>-396.1822772115359</v>
      </c>
      <c r="I35">
        <v>939.49117251813482</v>
      </c>
      <c r="J35">
        <v>285.92865409401389</v>
      </c>
      <c r="K35">
        <v>-416.95892579091134</v>
      </c>
      <c r="L35">
        <v>13.187432424786495</v>
      </c>
      <c r="N35">
        <f t="shared" ref="N35:N38" si="21">N28-$B$26</f>
        <v>7.579903243843342E-3</v>
      </c>
      <c r="T35">
        <f t="shared" si="16"/>
        <v>-1.0542808383749551E-5</v>
      </c>
      <c r="U35">
        <f t="shared" si="17"/>
        <v>-7.6875170738777332E-8</v>
      </c>
      <c r="V35">
        <f t="shared" si="18"/>
        <v>-1.6976146318644089E-5</v>
      </c>
      <c r="W35">
        <f t="shared" si="19"/>
        <v>7.0839984119421976E-6</v>
      </c>
      <c r="X35">
        <f t="shared" si="20"/>
        <v>1.8575288561381476E-5</v>
      </c>
    </row>
    <row r="36" spans="6:24" x14ac:dyDescent="0.25">
      <c r="H36">
        <v>-1270.2060119337107</v>
      </c>
      <c r="I36">
        <v>285.92865409401384</v>
      </c>
      <c r="J36">
        <v>1452.5579321095429</v>
      </c>
      <c r="K36">
        <v>-227.88670380222601</v>
      </c>
      <c r="L36">
        <v>102.24464647409401</v>
      </c>
      <c r="N36">
        <f t="shared" si="21"/>
        <v>1.8412855588711981E-2</v>
      </c>
    </row>
    <row r="37" spans="6:24" x14ac:dyDescent="0.25">
      <c r="H37">
        <v>-3395.3506970032468</v>
      </c>
      <c r="I37">
        <v>-416.95892579091139</v>
      </c>
      <c r="J37">
        <v>-227.88670380222607</v>
      </c>
      <c r="K37">
        <v>5356.9442748839174</v>
      </c>
      <c r="L37">
        <v>10.716869277329284</v>
      </c>
      <c r="N37">
        <f t="shared" si="21"/>
        <v>2.3604344987125893E-3</v>
      </c>
    </row>
    <row r="38" spans="6:24" x14ac:dyDescent="0.25">
      <c r="H38">
        <v>-50.435581864635914</v>
      </c>
      <c r="I38">
        <v>13.187432424786486</v>
      </c>
      <c r="J38">
        <v>102.24464647409398</v>
      </c>
      <c r="K38">
        <v>10.716869277329302</v>
      </c>
      <c r="L38">
        <v>65.107426548213681</v>
      </c>
      <c r="N38">
        <f t="shared" si="21"/>
        <v>-2.3523949040263952E-3</v>
      </c>
    </row>
    <row r="39" spans="6:24" x14ac:dyDescent="0.25">
      <c r="R39" t="s">
        <v>21</v>
      </c>
      <c r="S39" t="s">
        <v>22</v>
      </c>
      <c r="T39" t="s">
        <v>23</v>
      </c>
      <c r="U39" t="s">
        <v>24</v>
      </c>
      <c r="V39" t="s">
        <v>25</v>
      </c>
    </row>
    <row r="40" spans="6:24" x14ac:dyDescent="0.25">
      <c r="N40" t="s">
        <v>18</v>
      </c>
      <c r="O40" t="s">
        <v>20</v>
      </c>
      <c r="R40">
        <f>SUMPRODUCT(O41:O45,N27:N31)</f>
        <v>2.0281623222926596E-2</v>
      </c>
      <c r="S40">
        <f>SUM(T31:X35)</f>
        <v>5.1029226936180497E-4</v>
      </c>
      <c r="T40">
        <f>S40^0.5</f>
        <v>2.2589649606884234E-2</v>
      </c>
      <c r="U40">
        <f>R40/T40</f>
        <v>0.89782814589322968</v>
      </c>
      <c r="V40">
        <f>(R40-B26)/T40</f>
        <v>0.8925581385615825</v>
      </c>
    </row>
    <row r="41" spans="6:24" x14ac:dyDescent="0.25">
      <c r="M41">
        <v>1</v>
      </c>
      <c r="N41">
        <f t="array" ref="N41:N45">MMULT(H34:L38,N34:N38)</f>
        <v>50.614835080213176</v>
      </c>
      <c r="O41">
        <f>N41/$N$46</f>
        <v>1.2810049451959147</v>
      </c>
    </row>
    <row r="42" spans="6:24" x14ac:dyDescent="0.25">
      <c r="M42">
        <v>2</v>
      </c>
      <c r="N42">
        <v>6.8971439342888212</v>
      </c>
      <c r="O42">
        <f t="shared" ref="O42:O45" si="22">N42/$N$46</f>
        <v>0.17455900969646654</v>
      </c>
      <c r="S42" t="s">
        <v>26</v>
      </c>
      <c r="T42">
        <f>SUMPRODUCT(H24:L24,T30:X30)</f>
        <v>-0.36831598148766609</v>
      </c>
    </row>
    <row r="43" spans="6:24" x14ac:dyDescent="0.25">
      <c r="M43">
        <v>3</v>
      </c>
      <c r="N43">
        <v>13.791598459010867</v>
      </c>
      <c r="O43">
        <f t="shared" si="22"/>
        <v>0.34904995344054507</v>
      </c>
    </row>
    <row r="44" spans="6:24" x14ac:dyDescent="0.25">
      <c r="M44">
        <v>4</v>
      </c>
      <c r="N44">
        <v>-33.07695946321887</v>
      </c>
      <c r="O44">
        <f t="shared" si="22"/>
        <v>-0.83714090102789929</v>
      </c>
      <c r="S44" t="s">
        <v>27</v>
      </c>
      <c r="T44">
        <f>T42^2*M23</f>
        <v>4.222142414018684E-5</v>
      </c>
    </row>
    <row r="45" spans="6:24" x14ac:dyDescent="0.25">
      <c r="M45">
        <v>5</v>
      </c>
      <c r="N45">
        <v>1.2852006364890107</v>
      </c>
      <c r="O45">
        <f t="shared" si="22"/>
        <v>3.2526992694973056E-2</v>
      </c>
      <c r="S45" t="s">
        <v>28</v>
      </c>
      <c r="T45">
        <f>S40-T44</f>
        <v>4.6807084522161813E-4</v>
      </c>
    </row>
    <row r="46" spans="6:24" x14ac:dyDescent="0.25">
      <c r="M46" t="s">
        <v>19</v>
      </c>
      <c r="N46">
        <f>SUM(N41:N45)</f>
        <v>39.511818646782999</v>
      </c>
      <c r="O46">
        <f>SUM(O41:O45)</f>
        <v>1.0000000000000002</v>
      </c>
    </row>
    <row r="49" spans="6:23" x14ac:dyDescent="0.25">
      <c r="R49" t="s">
        <v>20</v>
      </c>
      <c r="S49">
        <f t="array" ref="S49:W49">TRANSPOSE(O59:O63)</f>
        <v>0.5183361371067613</v>
      </c>
      <c r="T49">
        <v>9.1635004303178239E-2</v>
      </c>
      <c r="U49">
        <v>7.3795973918641955E-2</v>
      </c>
      <c r="V49">
        <v>0.28590352284181669</v>
      </c>
      <c r="W49">
        <v>3.0329361829601775E-2</v>
      </c>
    </row>
    <row r="50" spans="6:23" x14ac:dyDescent="0.25">
      <c r="S50">
        <f>$O59*H27*S$49</f>
        <v>7.1767474387079267E-5</v>
      </c>
      <c r="T50">
        <f t="shared" ref="T50:W50" si="23">$O59*I27*T$49</f>
        <v>5.812699657090537E-6</v>
      </c>
      <c r="U50">
        <f t="shared" si="23"/>
        <v>9.8365721889023674E-6</v>
      </c>
      <c r="V50">
        <f t="shared" si="23"/>
        <v>2.8197946547778964E-5</v>
      </c>
      <c r="W50">
        <f t="shared" si="23"/>
        <v>-3.9777396547461252E-6</v>
      </c>
    </row>
    <row r="51" spans="6:23" x14ac:dyDescent="0.25">
      <c r="F51" t="s">
        <v>30</v>
      </c>
      <c r="O51" t="s">
        <v>17</v>
      </c>
      <c r="S51">
        <f t="shared" ref="S51:S54" si="24">$O60*H28*S$49</f>
        <v>5.8126996570905362E-6</v>
      </c>
      <c r="T51">
        <f t="shared" ref="T51:T54" si="25">$O60*I28*T$49</f>
        <v>1.0271835335038505E-5</v>
      </c>
      <c r="U51">
        <f t="shared" ref="U51:U54" si="26">$O60*J28*U$49</f>
        <v>-7.1969048278668943E-7</v>
      </c>
      <c r="V51">
        <f t="shared" ref="V51:V54" si="27">$O60*K28*V$49</f>
        <v>4.4087280871397593E-6</v>
      </c>
      <c r="W51">
        <f t="shared" ref="W51:W54" si="28">$O60*L28*W$49</f>
        <v>-3.7629165632135608E-8</v>
      </c>
    </row>
    <row r="52" spans="6:23" x14ac:dyDescent="0.25">
      <c r="H52">
        <f>2*H27</f>
        <v>5.3423788575001447E-4</v>
      </c>
      <c r="I52">
        <f t="shared" ref="I52:L52" si="29">2*I27</f>
        <v>2.4475692411815293E-4</v>
      </c>
      <c r="J52">
        <f t="shared" si="29"/>
        <v>5.1431551153291726E-4</v>
      </c>
      <c r="K52">
        <f t="shared" si="29"/>
        <v>3.8055416906974422E-4</v>
      </c>
      <c r="L52">
        <f t="shared" si="29"/>
        <v>-5.0604785748462186E-4</v>
      </c>
      <c r="M52">
        <v>1</v>
      </c>
      <c r="O52">
        <v>0</v>
      </c>
      <c r="S52">
        <f t="shared" si="24"/>
        <v>9.8365721889023657E-6</v>
      </c>
      <c r="T52">
        <f t="shared" si="25"/>
        <v>-7.1969048278668943E-7</v>
      </c>
      <c r="U52">
        <f t="shared" si="26"/>
        <v>5.8347043641666609E-6</v>
      </c>
      <c r="V52">
        <f t="shared" si="27"/>
        <v>4.2888636593630385E-6</v>
      </c>
      <c r="W52">
        <f t="shared" si="28"/>
        <v>-3.3465980540986884E-6</v>
      </c>
    </row>
    <row r="53" spans="6:23" x14ac:dyDescent="0.25">
      <c r="H53">
        <f t="shared" ref="H53:L53" si="30">2*H28</f>
        <v>2.4475692411815293E-4</v>
      </c>
      <c r="I53">
        <f t="shared" si="30"/>
        <v>2.4465564186214499E-3</v>
      </c>
      <c r="J53">
        <f t="shared" si="30"/>
        <v>-2.1285393434134923E-4</v>
      </c>
      <c r="K53">
        <f t="shared" si="30"/>
        <v>3.3655992210894693E-4</v>
      </c>
      <c r="L53">
        <f t="shared" si="30"/>
        <v>-2.7078830727141449E-5</v>
      </c>
      <c r="M53">
        <v>1</v>
      </c>
      <c r="O53">
        <v>0</v>
      </c>
      <c r="S53">
        <f t="shared" si="24"/>
        <v>2.8197946547778964E-5</v>
      </c>
      <c r="T53">
        <f t="shared" si="25"/>
        <v>4.4087280871397593E-6</v>
      </c>
      <c r="U53">
        <f t="shared" si="26"/>
        <v>4.2888636593630385E-6</v>
      </c>
      <c r="V53">
        <f t="shared" si="27"/>
        <v>2.6936996973693855E-5</v>
      </c>
      <c r="W53">
        <f t="shared" si="28"/>
        <v>-2.2558943719036324E-6</v>
      </c>
    </row>
    <row r="54" spans="6:23" x14ac:dyDescent="0.25">
      <c r="H54">
        <f t="shared" ref="H54:L54" si="31">2*H29</f>
        <v>5.1431551153291726E-4</v>
      </c>
      <c r="I54">
        <f t="shared" si="31"/>
        <v>-2.1285393434134923E-4</v>
      </c>
      <c r="J54">
        <f t="shared" si="31"/>
        <v>2.1428092583710792E-3</v>
      </c>
      <c r="K54">
        <f t="shared" si="31"/>
        <v>4.065557060082747E-4</v>
      </c>
      <c r="L54">
        <f t="shared" si="31"/>
        <v>-2.990457322606378E-3</v>
      </c>
      <c r="M54">
        <v>1</v>
      </c>
      <c r="O54">
        <v>0</v>
      </c>
      <c r="S54">
        <f t="shared" si="24"/>
        <v>-3.9777396547461252E-6</v>
      </c>
      <c r="T54">
        <f t="shared" si="25"/>
        <v>-3.7629165632135608E-8</v>
      </c>
      <c r="U54">
        <f t="shared" si="26"/>
        <v>-3.3465980540986884E-6</v>
      </c>
      <c r="V54">
        <f t="shared" si="27"/>
        <v>-2.2558943719036324E-6</v>
      </c>
      <c r="W54">
        <f t="shared" si="28"/>
        <v>1.6150065548814826E-5</v>
      </c>
    </row>
    <row r="55" spans="6:23" x14ac:dyDescent="0.25">
      <c r="H55">
        <f t="shared" ref="H55:L55" si="32">2*H30</f>
        <v>3.8055416906974422E-4</v>
      </c>
      <c r="I55">
        <f t="shared" si="32"/>
        <v>3.3655992210894693E-4</v>
      </c>
      <c r="J55">
        <f t="shared" si="32"/>
        <v>4.065557060082747E-4</v>
      </c>
      <c r="K55">
        <f t="shared" si="32"/>
        <v>6.5908307581180809E-4</v>
      </c>
      <c r="L55">
        <f t="shared" si="32"/>
        <v>-5.2031455821385103E-4</v>
      </c>
      <c r="M55">
        <v>1</v>
      </c>
      <c r="O55">
        <v>0</v>
      </c>
    </row>
    <row r="56" spans="6:23" x14ac:dyDescent="0.25">
      <c r="H56">
        <f t="shared" ref="H56:L56" si="33">2*H31</f>
        <v>-5.0604785748462186E-4</v>
      </c>
      <c r="I56">
        <f t="shared" si="33"/>
        <v>-2.7078830727141449E-5</v>
      </c>
      <c r="J56">
        <f t="shared" si="33"/>
        <v>-2.990457322606378E-3</v>
      </c>
      <c r="K56">
        <f t="shared" si="33"/>
        <v>-5.2031455821385103E-4</v>
      </c>
      <c r="L56">
        <f t="shared" si="33"/>
        <v>3.5113792667922847E-2</v>
      </c>
      <c r="M56">
        <v>1</v>
      </c>
      <c r="O56">
        <v>0</v>
      </c>
    </row>
    <row r="57" spans="6:23" x14ac:dyDescent="0.25">
      <c r="H57">
        <f t="array" ref="H57:L57">TRANSPOSE(M52:M56)</f>
        <v>1</v>
      </c>
      <c r="I57">
        <v>1</v>
      </c>
      <c r="J57">
        <v>1</v>
      </c>
      <c r="K57">
        <v>1</v>
      </c>
      <c r="L57">
        <v>1</v>
      </c>
      <c r="M57">
        <v>0</v>
      </c>
      <c r="O57">
        <v>1</v>
      </c>
      <c r="R57" t="s">
        <v>21</v>
      </c>
      <c r="S57" t="s">
        <v>22</v>
      </c>
      <c r="T57" t="s">
        <v>23</v>
      </c>
      <c r="U57" t="s">
        <v>24</v>
      </c>
      <c r="V57" t="s">
        <v>25</v>
      </c>
    </row>
    <row r="58" spans="6:23" x14ac:dyDescent="0.25">
      <c r="O58" t="s">
        <v>20</v>
      </c>
      <c r="R58">
        <f>SUMPRODUCT(O59:O63,N27:N31)</f>
        <v>8.628929007636876E-3</v>
      </c>
      <c r="S58">
        <f>SUM(S50:W54)</f>
        <v>2.1537559343100791E-4</v>
      </c>
      <c r="T58">
        <f>S58^0.5</f>
        <v>1.4675680339630183E-2</v>
      </c>
      <c r="U58">
        <f>R58/T58</f>
        <v>0.58797471789674582</v>
      </c>
      <c r="V58">
        <f>(R58-B26)/T58</f>
        <v>0.57986282009762691</v>
      </c>
    </row>
    <row r="59" spans="6:23" x14ac:dyDescent="0.25">
      <c r="G59" t="s">
        <v>15</v>
      </c>
      <c r="H59">
        <f t="array" ref="H59:M64">MINVERSE(H52:M57)</f>
        <v>3135.6882083703035</v>
      </c>
      <c r="I59">
        <v>-308.35835458325045</v>
      </c>
      <c r="J59">
        <v>-723.9039686146341</v>
      </c>
      <c r="K59">
        <v>-2041.7118413424741</v>
      </c>
      <c r="L59">
        <v>-61.714043829944949</v>
      </c>
      <c r="M59">
        <v>0.5183361371067613</v>
      </c>
      <c r="N59">
        <v>1</v>
      </c>
      <c r="O59">
        <f t="array" ref="O59:O64">MMULT(H59:M64,O52:O57)</f>
        <v>0.5183361371067613</v>
      </c>
    </row>
    <row r="60" spans="6:23" x14ac:dyDescent="0.25">
      <c r="H60">
        <v>-308.35835458325039</v>
      </c>
      <c r="I60">
        <v>450.25179432127908</v>
      </c>
      <c r="J60">
        <v>127.26548605981263</v>
      </c>
      <c r="K60">
        <v>-269.30058503039265</v>
      </c>
      <c r="L60">
        <v>0.14165923255146501</v>
      </c>
      <c r="M60">
        <v>9.1635004303178239E-2</v>
      </c>
      <c r="N60">
        <v>2</v>
      </c>
      <c r="O60">
        <v>9.1635004303178239E-2</v>
      </c>
    </row>
    <row r="61" spans="6:23" x14ac:dyDescent="0.25">
      <c r="H61">
        <v>-723.90396861463398</v>
      </c>
      <c r="I61">
        <v>127.26548605981267</v>
      </c>
      <c r="J61">
        <v>713.63629452489499</v>
      </c>
      <c r="K61">
        <v>-162.92413142857876</v>
      </c>
      <c r="L61">
        <v>45.926319458505432</v>
      </c>
      <c r="M61">
        <v>7.3795973918641955E-2</v>
      </c>
      <c r="N61">
        <v>3</v>
      </c>
      <c r="O61">
        <v>7.3795973918641955E-2</v>
      </c>
    </row>
    <row r="62" spans="6:23" x14ac:dyDescent="0.25">
      <c r="H62">
        <v>-2041.7118413424744</v>
      </c>
      <c r="I62">
        <v>-269.30058503039271</v>
      </c>
      <c r="J62">
        <v>-162.92413142857885</v>
      </c>
      <c r="K62">
        <v>2488.7087035467766</v>
      </c>
      <c r="L62">
        <v>-14.772145745330851</v>
      </c>
      <c r="M62">
        <v>0.28590352284181669</v>
      </c>
      <c r="N62">
        <v>4</v>
      </c>
      <c r="O62">
        <v>0.28590352284181669</v>
      </c>
    </row>
    <row r="63" spans="6:23" x14ac:dyDescent="0.25">
      <c r="H63">
        <v>-61.714043829944764</v>
      </c>
      <c r="I63">
        <v>0.14165923255144136</v>
      </c>
      <c r="J63">
        <v>45.926319458505311</v>
      </c>
      <c r="K63">
        <v>-14.772145745330869</v>
      </c>
      <c r="L63">
        <v>30.418210884218901</v>
      </c>
      <c r="M63">
        <v>3.0329361829601775E-2</v>
      </c>
      <c r="N63">
        <v>5</v>
      </c>
      <c r="O63">
        <v>3.0329361829601775E-2</v>
      </c>
    </row>
    <row r="64" spans="6:23" x14ac:dyDescent="0.25">
      <c r="H64">
        <v>0.51833613710676074</v>
      </c>
      <c r="I64">
        <v>9.163500430317828E-2</v>
      </c>
      <c r="J64">
        <v>7.3795973918642122E-2</v>
      </c>
      <c r="K64">
        <v>0.28590352284181697</v>
      </c>
      <c r="L64">
        <v>3.0329361829601789E-2</v>
      </c>
      <c r="M64">
        <v>-4.3075118686201577E-4</v>
      </c>
      <c r="N64" t="s">
        <v>31</v>
      </c>
      <c r="O64">
        <v>-4.3075118686201577E-4</v>
      </c>
    </row>
    <row r="65" spans="15:15" x14ac:dyDescent="0.25">
      <c r="O65">
        <f>SUM(O59:O63)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7E8C-3B4B-4E06-A80A-16B35A53D17D}">
  <dimension ref="A1:T33"/>
  <sheetViews>
    <sheetView topLeftCell="D13" zoomScale="145" zoomScaleNormal="145" workbookViewId="0">
      <selection activeCell="M22" sqref="M22:T22"/>
    </sheetView>
  </sheetViews>
  <sheetFormatPr defaultRowHeight="15" x14ac:dyDescent="0.25"/>
  <cols>
    <col min="8" max="8" width="23.28515625" bestFit="1" customWidth="1"/>
    <col min="10" max="10" width="18.140625" bestFit="1" customWidth="1"/>
  </cols>
  <sheetData>
    <row r="1" spans="1:20" ht="15.75" thickBot="1" x14ac:dyDescent="0.3">
      <c r="B1" t="s">
        <v>37</v>
      </c>
      <c r="C1" t="s">
        <v>38</v>
      </c>
      <c r="D1" t="s">
        <v>39</v>
      </c>
      <c r="E1" t="s">
        <v>9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44</v>
      </c>
      <c r="L1" t="s">
        <v>46</v>
      </c>
      <c r="M1" t="s">
        <v>47</v>
      </c>
    </row>
    <row r="2" spans="1:20" ht="16.5" thickBot="1" x14ac:dyDescent="0.3">
      <c r="B2" s="8">
        <v>1</v>
      </c>
      <c r="C2" s="9">
        <v>15</v>
      </c>
      <c r="D2" s="9">
        <v>10</v>
      </c>
      <c r="E2" s="9">
        <v>1</v>
      </c>
      <c r="F2" s="9">
        <v>50</v>
      </c>
      <c r="G2" s="9">
        <v>10</v>
      </c>
      <c r="H2">
        <f>(D2*E2)/F2</f>
        <v>0.2</v>
      </c>
      <c r="I2">
        <f>H2</f>
        <v>0.2</v>
      </c>
      <c r="J2">
        <f>E2^2/F2</f>
        <v>0.02</v>
      </c>
      <c r="K2">
        <f>J2</f>
        <v>0.02</v>
      </c>
      <c r="L2">
        <f>$B$13*I2/(1+$B$13*K2)</f>
        <v>1.6666666666666667</v>
      </c>
      <c r="M2" t="str">
        <f>IF(L2&lt;G2,"long","short")</f>
        <v>long</v>
      </c>
    </row>
    <row r="3" spans="1:20" ht="16.5" thickBot="1" x14ac:dyDescent="0.3">
      <c r="B3" s="10">
        <v>2</v>
      </c>
      <c r="C3" s="11">
        <v>17</v>
      </c>
      <c r="D3" s="11">
        <v>12</v>
      </c>
      <c r="E3" s="11">
        <v>1.5</v>
      </c>
      <c r="F3" s="11">
        <v>40</v>
      </c>
      <c r="G3" s="11">
        <v>8</v>
      </c>
      <c r="H3">
        <f t="shared" ref="H3:H11" si="0">(D3*E3)/F3</f>
        <v>0.45</v>
      </c>
      <c r="I3">
        <f>I2+H3</f>
        <v>0.65</v>
      </c>
      <c r="J3">
        <f t="shared" ref="J3:J11" si="1">E3^2/F3</f>
        <v>5.6250000000000001E-2</v>
      </c>
      <c r="K3">
        <f>K2+J3</f>
        <v>7.6249999999999998E-2</v>
      </c>
      <c r="L3">
        <f t="shared" ref="L3:L11" si="2">$B$13*I3/(1+$B$13*K3)</f>
        <v>3.6879432624113475</v>
      </c>
      <c r="M3" t="str">
        <f t="shared" ref="M3:M11" si="3">IF(L3&lt;G3,"long","short")</f>
        <v>long</v>
      </c>
    </row>
    <row r="4" spans="1:20" ht="16.5" thickBot="1" x14ac:dyDescent="0.3">
      <c r="B4" s="10">
        <v>3</v>
      </c>
      <c r="C4" s="11">
        <v>12</v>
      </c>
      <c r="D4" s="11">
        <v>7</v>
      </c>
      <c r="E4" s="11">
        <v>1</v>
      </c>
      <c r="F4" s="11">
        <v>20</v>
      </c>
      <c r="G4" s="11">
        <v>7</v>
      </c>
      <c r="H4">
        <f t="shared" si="0"/>
        <v>0.35</v>
      </c>
      <c r="I4">
        <f t="shared" ref="I4:I11" si="4">I3+H4</f>
        <v>1</v>
      </c>
      <c r="J4">
        <f t="shared" si="1"/>
        <v>0.05</v>
      </c>
      <c r="K4">
        <f t="shared" ref="K4:K11" si="5">K3+J4</f>
        <v>0.12625</v>
      </c>
      <c r="L4">
        <f t="shared" si="2"/>
        <v>4.4198895027624303</v>
      </c>
      <c r="M4" t="str">
        <f t="shared" si="3"/>
        <v>long</v>
      </c>
    </row>
    <row r="5" spans="1:20" ht="16.5" thickBot="1" x14ac:dyDescent="0.3">
      <c r="B5" s="10">
        <v>4</v>
      </c>
      <c r="C5" s="11">
        <v>17</v>
      </c>
      <c r="D5" s="11">
        <v>12</v>
      </c>
      <c r="E5" s="11">
        <v>2</v>
      </c>
      <c r="F5" s="11">
        <v>10</v>
      </c>
      <c r="G5" s="11">
        <v>6</v>
      </c>
      <c r="H5">
        <f t="shared" si="0"/>
        <v>2.4</v>
      </c>
      <c r="I5">
        <f t="shared" si="4"/>
        <v>3.4</v>
      </c>
      <c r="J5">
        <f t="shared" si="1"/>
        <v>0.4</v>
      </c>
      <c r="K5">
        <f t="shared" si="5"/>
        <v>0.52625</v>
      </c>
      <c r="L5">
        <f t="shared" si="2"/>
        <v>5.4291417165668658</v>
      </c>
      <c r="M5" t="str">
        <f t="shared" si="3"/>
        <v>long</v>
      </c>
    </row>
    <row r="6" spans="1:20" ht="16.5" thickBot="1" x14ac:dyDescent="0.3">
      <c r="B6" s="10">
        <v>5</v>
      </c>
      <c r="C6" s="11">
        <v>11</v>
      </c>
      <c r="D6" s="11">
        <v>6</v>
      </c>
      <c r="E6" s="11">
        <v>1</v>
      </c>
      <c r="F6" s="11">
        <v>40</v>
      </c>
      <c r="G6" s="11">
        <v>6</v>
      </c>
      <c r="H6">
        <f t="shared" si="0"/>
        <v>0.15</v>
      </c>
      <c r="I6">
        <f t="shared" si="4"/>
        <v>3.55</v>
      </c>
      <c r="J6">
        <f t="shared" si="1"/>
        <v>2.5000000000000001E-2</v>
      </c>
      <c r="K6">
        <f t="shared" si="5"/>
        <v>0.55125000000000002</v>
      </c>
      <c r="L6" s="7">
        <f t="shared" si="2"/>
        <v>5.4510556621880992</v>
      </c>
      <c r="M6" t="str">
        <f t="shared" si="3"/>
        <v>long</v>
      </c>
      <c r="N6" s="7" t="s">
        <v>49</v>
      </c>
    </row>
    <row r="7" spans="1:20" ht="16.5" thickBot="1" x14ac:dyDescent="0.3">
      <c r="B7" s="10">
        <v>6</v>
      </c>
      <c r="C7" s="11">
        <v>11</v>
      </c>
      <c r="D7" s="11">
        <v>6</v>
      </c>
      <c r="E7" s="11">
        <v>1.5</v>
      </c>
      <c r="F7" s="11">
        <v>30</v>
      </c>
      <c r="G7" s="11">
        <v>4</v>
      </c>
      <c r="H7">
        <f t="shared" si="0"/>
        <v>0.3</v>
      </c>
      <c r="I7">
        <f t="shared" si="4"/>
        <v>3.8499999999999996</v>
      </c>
      <c r="J7">
        <f t="shared" si="1"/>
        <v>7.4999999999999997E-2</v>
      </c>
      <c r="K7">
        <f t="shared" si="5"/>
        <v>0.62624999999999997</v>
      </c>
      <c r="L7">
        <f t="shared" si="2"/>
        <v>5.3012048192771086</v>
      </c>
      <c r="M7" t="str">
        <f t="shared" si="3"/>
        <v>short</v>
      </c>
    </row>
    <row r="8" spans="1:20" ht="16.5" thickBot="1" x14ac:dyDescent="0.3">
      <c r="B8" s="10">
        <v>7</v>
      </c>
      <c r="C8" s="11">
        <v>11</v>
      </c>
      <c r="D8" s="11">
        <v>6</v>
      </c>
      <c r="E8" s="11">
        <v>2</v>
      </c>
      <c r="F8" s="11">
        <v>40</v>
      </c>
      <c r="G8" s="11">
        <v>3</v>
      </c>
      <c r="H8">
        <f t="shared" si="0"/>
        <v>0.3</v>
      </c>
      <c r="I8">
        <f t="shared" si="4"/>
        <v>4.1499999999999995</v>
      </c>
      <c r="J8">
        <f t="shared" si="1"/>
        <v>0.1</v>
      </c>
      <c r="K8">
        <f t="shared" si="5"/>
        <v>0.72624999999999995</v>
      </c>
      <c r="L8">
        <f t="shared" si="2"/>
        <v>5.0226928895612701</v>
      </c>
      <c r="M8" t="str">
        <f t="shared" si="3"/>
        <v>short</v>
      </c>
    </row>
    <row r="9" spans="1:20" ht="16.5" thickBot="1" x14ac:dyDescent="0.3">
      <c r="B9" s="10">
        <v>8</v>
      </c>
      <c r="C9" s="11">
        <v>7</v>
      </c>
      <c r="D9" s="11">
        <v>2</v>
      </c>
      <c r="E9" s="11">
        <v>0.8</v>
      </c>
      <c r="F9" s="11">
        <v>16</v>
      </c>
      <c r="G9" s="11">
        <v>2.5</v>
      </c>
      <c r="H9">
        <f t="shared" si="0"/>
        <v>0.1</v>
      </c>
      <c r="I9">
        <f t="shared" si="4"/>
        <v>4.2499999999999991</v>
      </c>
      <c r="J9">
        <f t="shared" si="1"/>
        <v>4.0000000000000008E-2</v>
      </c>
      <c r="K9">
        <f t="shared" si="5"/>
        <v>0.76624999999999999</v>
      </c>
      <c r="L9">
        <f t="shared" si="2"/>
        <v>4.9062049062049056</v>
      </c>
      <c r="M9" t="str">
        <f t="shared" si="3"/>
        <v>short</v>
      </c>
    </row>
    <row r="10" spans="1:20" ht="16.5" thickBot="1" x14ac:dyDescent="0.3">
      <c r="B10" s="10">
        <v>9</v>
      </c>
      <c r="C10" s="11">
        <v>7</v>
      </c>
      <c r="D10" s="11">
        <v>2</v>
      </c>
      <c r="E10" s="11">
        <v>1</v>
      </c>
      <c r="F10" s="11">
        <v>20</v>
      </c>
      <c r="G10" s="11">
        <v>2</v>
      </c>
      <c r="H10">
        <f t="shared" si="0"/>
        <v>0.1</v>
      </c>
      <c r="I10">
        <f t="shared" si="4"/>
        <v>4.3499999999999988</v>
      </c>
      <c r="J10">
        <f t="shared" si="1"/>
        <v>0.05</v>
      </c>
      <c r="K10">
        <f t="shared" si="5"/>
        <v>0.81625000000000003</v>
      </c>
      <c r="L10">
        <f t="shared" si="2"/>
        <v>4.7476125511596168</v>
      </c>
      <c r="M10" t="str">
        <f t="shared" si="3"/>
        <v>short</v>
      </c>
    </row>
    <row r="11" spans="1:20" ht="16.5" thickBot="1" x14ac:dyDescent="0.3">
      <c r="B11" s="10">
        <v>10</v>
      </c>
      <c r="C11" s="11">
        <v>5.6</v>
      </c>
      <c r="D11" s="11">
        <v>0.6</v>
      </c>
      <c r="E11" s="11">
        <v>0.6</v>
      </c>
      <c r="F11" s="11">
        <v>6</v>
      </c>
      <c r="G11" s="11">
        <v>1</v>
      </c>
      <c r="H11">
        <f t="shared" si="0"/>
        <v>0.06</v>
      </c>
      <c r="I11">
        <f t="shared" si="4"/>
        <v>4.4099999999999984</v>
      </c>
      <c r="J11">
        <f t="shared" si="1"/>
        <v>0.06</v>
      </c>
      <c r="K11">
        <f t="shared" si="5"/>
        <v>0.87624999999999997</v>
      </c>
      <c r="L11" s="13">
        <f t="shared" si="2"/>
        <v>4.5172855313700371</v>
      </c>
      <c r="M11" t="str">
        <f t="shared" si="3"/>
        <v>short</v>
      </c>
      <c r="N11" s="13" t="s">
        <v>53</v>
      </c>
    </row>
    <row r="13" spans="1:20" ht="15.75" x14ac:dyDescent="0.25">
      <c r="A13" t="s">
        <v>40</v>
      </c>
      <c r="B13" s="12">
        <v>10</v>
      </c>
      <c r="H13" t="s">
        <v>48</v>
      </c>
      <c r="I13" t="s">
        <v>18</v>
      </c>
      <c r="K13" t="s">
        <v>20</v>
      </c>
      <c r="M13" t="s">
        <v>21</v>
      </c>
      <c r="N13" t="s">
        <v>26</v>
      </c>
      <c r="O13" t="s">
        <v>27</v>
      </c>
      <c r="P13" t="s">
        <v>28</v>
      </c>
      <c r="Q13" t="s">
        <v>22</v>
      </c>
      <c r="R13" t="s">
        <v>23</v>
      </c>
      <c r="S13" t="s">
        <v>24</v>
      </c>
      <c r="T13" t="s">
        <v>51</v>
      </c>
    </row>
    <row r="14" spans="1:20" x14ac:dyDescent="0.25">
      <c r="I14">
        <v>1</v>
      </c>
      <c r="J14">
        <f>E2/F2*(G2-$L$6)</f>
        <v>9.0978886756238012E-2</v>
      </c>
      <c r="K14">
        <f>J14/$J$19</f>
        <v>0.2347696879643387</v>
      </c>
      <c r="M14">
        <f>SUMPRODUCT(K14:K18,C2:C6)</f>
        <v>15.318722139673106</v>
      </c>
      <c r="N14">
        <f>SUMPRODUCT(K14:K18,E2:E6)</f>
        <v>1.406636948984646</v>
      </c>
      <c r="O14">
        <f>N14^2*B13</f>
        <v>19.786275062488336</v>
      </c>
      <c r="P14">
        <f>SUMPRODUCT(K14:K18,K14:K18,F2:F6)</f>
        <v>6.8410366500906044</v>
      </c>
      <c r="Q14">
        <f>O14+P14</f>
        <v>26.62731171257894</v>
      </c>
      <c r="R14">
        <f>Q14^0.5</f>
        <v>5.1601658609563064</v>
      </c>
      <c r="S14">
        <f>M14/R14</f>
        <v>2.9686491776514656</v>
      </c>
      <c r="T14">
        <f>(M14-5)/R14</f>
        <v>1.9996880754838358</v>
      </c>
    </row>
    <row r="15" spans="1:20" x14ac:dyDescent="0.25">
      <c r="I15">
        <v>2</v>
      </c>
      <c r="J15">
        <f t="shared" ref="J15:J18" si="6">E3/F3*(G3-$L$6)</f>
        <v>9.5585412667946276E-2</v>
      </c>
      <c r="K15">
        <f t="shared" ref="K15:K18" si="7">J15/$J$19</f>
        <v>0.24665676077265966</v>
      </c>
    </row>
    <row r="16" spans="1:20" x14ac:dyDescent="0.25">
      <c r="I16">
        <v>3</v>
      </c>
      <c r="J16">
        <f t="shared" si="6"/>
        <v>7.7447216890595041E-2</v>
      </c>
      <c r="K16">
        <f t="shared" si="7"/>
        <v>0.19985141158989597</v>
      </c>
    </row>
    <row r="17" spans="8:20" x14ac:dyDescent="0.25">
      <c r="I17">
        <v>4</v>
      </c>
      <c r="J17">
        <f t="shared" si="6"/>
        <v>0.10978886756238015</v>
      </c>
      <c r="K17">
        <f t="shared" si="7"/>
        <v>0.28330856859831616</v>
      </c>
    </row>
    <row r="18" spans="8:20" x14ac:dyDescent="0.25">
      <c r="I18">
        <v>5</v>
      </c>
      <c r="J18">
        <f t="shared" si="6"/>
        <v>1.3723608445297519E-2</v>
      </c>
      <c r="K18">
        <f t="shared" si="7"/>
        <v>3.541357107478952E-2</v>
      </c>
    </row>
    <row r="19" spans="8:20" x14ac:dyDescent="0.25">
      <c r="I19" t="s">
        <v>50</v>
      </c>
      <c r="J19">
        <f>SUM(J14:J18)</f>
        <v>0.38752399232245699</v>
      </c>
      <c r="K19">
        <f>SUM(K14:K18)</f>
        <v>0.99999999999999989</v>
      </c>
    </row>
    <row r="22" spans="8:20" x14ac:dyDescent="0.25">
      <c r="H22" t="s">
        <v>52</v>
      </c>
      <c r="I22" t="s">
        <v>18</v>
      </c>
      <c r="K22" t="s">
        <v>20</v>
      </c>
      <c r="M22" t="s">
        <v>21</v>
      </c>
      <c r="N22" t="s">
        <v>26</v>
      </c>
      <c r="O22" t="s">
        <v>27</v>
      </c>
      <c r="P22" t="s">
        <v>28</v>
      </c>
      <c r="Q22" t="s">
        <v>22</v>
      </c>
      <c r="R22" t="s">
        <v>23</v>
      </c>
      <c r="S22" t="s">
        <v>24</v>
      </c>
      <c r="T22" t="s">
        <v>51</v>
      </c>
    </row>
    <row r="23" spans="8:20" x14ac:dyDescent="0.25">
      <c r="I23">
        <v>1</v>
      </c>
      <c r="J23">
        <f>E2/F2*(G2-$L$11)</f>
        <v>0.10965428937259926</v>
      </c>
      <c r="K23">
        <f>J23/$J$33</f>
        <v>6.1545095220981842</v>
      </c>
      <c r="M23">
        <f>SUMPRODUCT(K23:K32,C2:C11)</f>
        <v>343.93496227091583</v>
      </c>
      <c r="N23">
        <f>SUMPRODUCT(K23:K32,E2:E11)</f>
        <v>25.353934602945408</v>
      </c>
      <c r="O23">
        <f>N23^2*B13</f>
        <v>6428.2199985043262</v>
      </c>
      <c r="P23">
        <f>SUMPRODUCT(K23:K32,K23:K32,F2:F11)</f>
        <v>12595.00713290595</v>
      </c>
      <c r="Q23">
        <f>O23+P23</f>
        <v>19023.227131410276</v>
      </c>
      <c r="R23">
        <f>Q23^0.5</f>
        <v>137.92471544799457</v>
      </c>
      <c r="S23">
        <f>M23/R23</f>
        <v>2.4936427177230525</v>
      </c>
      <c r="T23">
        <f>(M23-5)/R23</f>
        <v>2.4573910569256423</v>
      </c>
    </row>
    <row r="24" spans="8:20" x14ac:dyDescent="0.25">
      <c r="I24">
        <v>2</v>
      </c>
      <c r="J24">
        <f t="shared" ref="J24:J32" si="8">E3/F3*(G3-$L$11)</f>
        <v>0.13060179257362362</v>
      </c>
      <c r="K24">
        <f t="shared" ref="K24:K32" si="9">J24/$J$33</f>
        <v>7.3302191879263772</v>
      </c>
    </row>
    <row r="25" spans="8:20" x14ac:dyDescent="0.25">
      <c r="I25">
        <v>3</v>
      </c>
      <c r="J25">
        <f t="shared" si="8"/>
        <v>0.12413572343149815</v>
      </c>
      <c r="K25">
        <f t="shared" si="9"/>
        <v>6.9673014732300231</v>
      </c>
    </row>
    <row r="26" spans="8:20" x14ac:dyDescent="0.25">
      <c r="I26">
        <v>4</v>
      </c>
      <c r="J26">
        <f t="shared" si="8"/>
        <v>0.29654289372599257</v>
      </c>
      <c r="K26">
        <f t="shared" si="9"/>
        <v>16.64390945023284</v>
      </c>
    </row>
    <row r="27" spans="8:20" x14ac:dyDescent="0.25">
      <c r="I27">
        <v>5</v>
      </c>
      <c r="J27">
        <f t="shared" si="8"/>
        <v>3.7067861715749072E-2</v>
      </c>
      <c r="K27">
        <f t="shared" si="9"/>
        <v>2.080488681279105</v>
      </c>
    </row>
    <row r="28" spans="8:20" x14ac:dyDescent="0.25">
      <c r="I28">
        <v>6</v>
      </c>
      <c r="J28">
        <f t="shared" si="8"/>
        <v>-2.5864276568501855E-2</v>
      </c>
      <c r="K28">
        <f t="shared" si="9"/>
        <v>-1.4516708587854155</v>
      </c>
    </row>
    <row r="29" spans="8:20" x14ac:dyDescent="0.25">
      <c r="I29">
        <v>7</v>
      </c>
      <c r="J29">
        <f t="shared" si="8"/>
        <v>-7.5864276568501865E-2</v>
      </c>
      <c r="K29">
        <f t="shared" si="9"/>
        <v>-4.2579949694572292</v>
      </c>
    </row>
    <row r="30" spans="8:20" x14ac:dyDescent="0.25">
      <c r="I30">
        <v>8</v>
      </c>
      <c r="J30">
        <f t="shared" si="8"/>
        <v>-0.10086427656850186</v>
      </c>
      <c r="K30">
        <f t="shared" si="9"/>
        <v>-5.6611570247931349</v>
      </c>
    </row>
    <row r="31" spans="8:20" x14ac:dyDescent="0.25">
      <c r="I31">
        <v>9</v>
      </c>
      <c r="J31">
        <f t="shared" si="8"/>
        <v>-0.12586427656850185</v>
      </c>
      <c r="K31">
        <f t="shared" si="9"/>
        <v>-7.0643190801290414</v>
      </c>
    </row>
    <row r="32" spans="8:20" x14ac:dyDescent="0.25">
      <c r="I32">
        <v>10</v>
      </c>
      <c r="J32">
        <f t="shared" si="8"/>
        <v>-0.35172855313700369</v>
      </c>
      <c r="K32">
        <f t="shared" si="9"/>
        <v>-19.741286381601707</v>
      </c>
    </row>
    <row r="33" spans="9:11" x14ac:dyDescent="0.25">
      <c r="I33" t="s">
        <v>50</v>
      </c>
      <c r="J33">
        <f>SUM(J23:J32)</f>
        <v>1.7816901408451491E-2</v>
      </c>
      <c r="K33">
        <f>SUM(K23:K32)</f>
        <v>1.0000000000000071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3C3C-5368-44EF-9382-22F9DE629B10}">
  <dimension ref="B2:U45"/>
  <sheetViews>
    <sheetView topLeftCell="A4" workbookViewId="0">
      <selection activeCell="K8" sqref="K8"/>
    </sheetView>
  </sheetViews>
  <sheetFormatPr defaultRowHeight="15" x14ac:dyDescent="0.25"/>
  <cols>
    <col min="7" max="7" width="21" bestFit="1" customWidth="1"/>
    <col min="9" max="9" width="17" bestFit="1" customWidth="1"/>
  </cols>
  <sheetData>
    <row r="2" spans="2:13" ht="15.75" thickBot="1" x14ac:dyDescent="0.3">
      <c r="B2" t="s">
        <v>37</v>
      </c>
      <c r="C2" t="s">
        <v>38</v>
      </c>
      <c r="D2" t="s">
        <v>9</v>
      </c>
      <c r="E2" t="s">
        <v>41</v>
      </c>
      <c r="F2" t="s">
        <v>42</v>
      </c>
      <c r="G2" t="s">
        <v>55</v>
      </c>
      <c r="H2" t="s">
        <v>44</v>
      </c>
      <c r="I2" t="s">
        <v>56</v>
      </c>
      <c r="J2" t="s">
        <v>44</v>
      </c>
      <c r="K2" t="s">
        <v>46</v>
      </c>
      <c r="L2" t="s">
        <v>47</v>
      </c>
    </row>
    <row r="3" spans="2:13" ht="16.5" thickBot="1" x14ac:dyDescent="0.3">
      <c r="B3" s="8">
        <v>1</v>
      </c>
      <c r="C3" s="9">
        <v>19</v>
      </c>
      <c r="D3" s="9">
        <v>1</v>
      </c>
      <c r="E3" s="9">
        <v>20</v>
      </c>
      <c r="F3">
        <f>(C3-$C$18)/D3</f>
        <v>16</v>
      </c>
      <c r="G3">
        <f>(C3-$C$18)*D3/E3</f>
        <v>0.8</v>
      </c>
      <c r="H3">
        <f>G3</f>
        <v>0.8</v>
      </c>
      <c r="I3">
        <f>D3^2/E3</f>
        <v>0.05</v>
      </c>
      <c r="J3">
        <f>I3</f>
        <v>0.05</v>
      </c>
      <c r="K3">
        <f>$C$19*H3/(1+$C$19*J3)</f>
        <v>5.333333333333333</v>
      </c>
      <c r="L3" t="str">
        <f>IF(K3&lt;F3,"long","short")</f>
        <v>long</v>
      </c>
    </row>
    <row r="4" spans="2:13" ht="16.5" thickBot="1" x14ac:dyDescent="0.3">
      <c r="B4" s="10">
        <v>3</v>
      </c>
      <c r="C4" s="11">
        <v>11</v>
      </c>
      <c r="D4" s="11">
        <v>0.5</v>
      </c>
      <c r="E4" s="11">
        <v>10</v>
      </c>
      <c r="F4">
        <f>(C4-$C$18)/D4</f>
        <v>16</v>
      </c>
      <c r="G4">
        <f t="shared" ref="G4:G16" si="0">(C4-$C$18)*D4/E4</f>
        <v>0.4</v>
      </c>
      <c r="H4">
        <f>H3+G4</f>
        <v>1.2000000000000002</v>
      </c>
      <c r="I4">
        <f t="shared" ref="I4:I16" si="1">D4^2/E4</f>
        <v>2.5000000000000001E-2</v>
      </c>
      <c r="J4">
        <f>J3+I4</f>
        <v>7.5000000000000011E-2</v>
      </c>
      <c r="K4">
        <f t="shared" ref="K4:K16" si="2">$C$19*H4/(1+$C$19*J4)</f>
        <v>6.8571428571428585</v>
      </c>
      <c r="L4" t="str">
        <f t="shared" ref="L4:L16" si="3">IF(K4&lt;F4,"long","short")</f>
        <v>long</v>
      </c>
    </row>
    <row r="5" spans="2:13" ht="16.5" thickBot="1" x14ac:dyDescent="0.3">
      <c r="B5" s="10">
        <v>2</v>
      </c>
      <c r="C5" s="11">
        <v>23</v>
      </c>
      <c r="D5" s="11">
        <v>1.5</v>
      </c>
      <c r="E5" s="11">
        <v>30</v>
      </c>
      <c r="F5">
        <f>(C5-$C$18)/D5</f>
        <v>13.333333333333334</v>
      </c>
      <c r="G5">
        <f t="shared" si="0"/>
        <v>1</v>
      </c>
      <c r="H5">
        <f t="shared" ref="H5:H16" si="4">H4+G5</f>
        <v>2.2000000000000002</v>
      </c>
      <c r="I5">
        <f t="shared" si="1"/>
        <v>7.4999999999999997E-2</v>
      </c>
      <c r="J5">
        <f t="shared" ref="J5:J16" si="5">J4+I5</f>
        <v>0.15000000000000002</v>
      </c>
      <c r="K5">
        <f t="shared" si="2"/>
        <v>8.8000000000000007</v>
      </c>
      <c r="L5" t="str">
        <f t="shared" si="3"/>
        <v>long</v>
      </c>
    </row>
    <row r="6" spans="2:13" ht="16.5" thickBot="1" x14ac:dyDescent="0.3">
      <c r="B6" s="10">
        <v>6</v>
      </c>
      <c r="C6" s="11">
        <v>9</v>
      </c>
      <c r="D6" s="11">
        <v>0.5</v>
      </c>
      <c r="E6" s="11">
        <v>50</v>
      </c>
      <c r="F6">
        <f>(C6-$C$18)/D6</f>
        <v>12</v>
      </c>
      <c r="G6">
        <f t="shared" si="0"/>
        <v>0.06</v>
      </c>
      <c r="H6">
        <f t="shared" si="4"/>
        <v>2.2600000000000002</v>
      </c>
      <c r="I6">
        <f t="shared" si="1"/>
        <v>5.0000000000000001E-3</v>
      </c>
      <c r="J6">
        <f t="shared" si="5"/>
        <v>0.15500000000000003</v>
      </c>
      <c r="K6">
        <f t="shared" si="2"/>
        <v>8.8627450980392162</v>
      </c>
      <c r="L6" t="str">
        <f t="shared" si="3"/>
        <v>long</v>
      </c>
    </row>
    <row r="7" spans="2:13" ht="16.5" thickBot="1" x14ac:dyDescent="0.3">
      <c r="B7" s="10">
        <v>4</v>
      </c>
      <c r="C7" s="11">
        <v>25</v>
      </c>
      <c r="D7" s="11">
        <v>2</v>
      </c>
      <c r="E7" s="11">
        <v>40</v>
      </c>
      <c r="F7">
        <f>(C7-$C$18)/D7</f>
        <v>11</v>
      </c>
      <c r="G7">
        <f t="shared" si="0"/>
        <v>1.1000000000000001</v>
      </c>
      <c r="H7">
        <f t="shared" si="4"/>
        <v>3.3600000000000003</v>
      </c>
      <c r="I7">
        <f t="shared" si="1"/>
        <v>0.1</v>
      </c>
      <c r="J7">
        <f t="shared" si="5"/>
        <v>0.255</v>
      </c>
      <c r="K7">
        <f t="shared" si="2"/>
        <v>9.4647887323943678</v>
      </c>
      <c r="L7" t="str">
        <f t="shared" si="3"/>
        <v>long</v>
      </c>
    </row>
    <row r="8" spans="2:13" ht="16.5" thickBot="1" x14ac:dyDescent="0.3">
      <c r="B8" s="10">
        <v>5</v>
      </c>
      <c r="C8" s="11">
        <v>13</v>
      </c>
      <c r="D8" s="11">
        <v>1</v>
      </c>
      <c r="E8" s="11">
        <v>20</v>
      </c>
      <c r="F8">
        <f>(C8-$C$18)/D8</f>
        <v>10</v>
      </c>
      <c r="G8">
        <f t="shared" si="0"/>
        <v>0.5</v>
      </c>
      <c r="H8">
        <f t="shared" si="4"/>
        <v>3.8600000000000003</v>
      </c>
      <c r="I8">
        <f t="shared" si="1"/>
        <v>0.05</v>
      </c>
      <c r="J8">
        <f t="shared" si="5"/>
        <v>0.30499999999999999</v>
      </c>
      <c r="K8" s="6">
        <f t="shared" si="2"/>
        <v>9.5308641975308657</v>
      </c>
      <c r="L8" t="str">
        <f t="shared" si="3"/>
        <v>long</v>
      </c>
      <c r="M8" s="6" t="s">
        <v>49</v>
      </c>
    </row>
    <row r="9" spans="2:13" ht="16.5" thickBot="1" x14ac:dyDescent="0.3">
      <c r="B9" s="10">
        <v>7</v>
      </c>
      <c r="C9" s="11">
        <v>14</v>
      </c>
      <c r="D9" s="11">
        <v>1.5</v>
      </c>
      <c r="E9" s="11">
        <v>30</v>
      </c>
      <c r="F9">
        <f>(C9-$C$18)/D9</f>
        <v>7.333333333333333</v>
      </c>
      <c r="G9">
        <f t="shared" si="0"/>
        <v>0.55000000000000004</v>
      </c>
      <c r="H9">
        <f t="shared" si="4"/>
        <v>4.41</v>
      </c>
      <c r="I9">
        <f t="shared" si="1"/>
        <v>7.4999999999999997E-2</v>
      </c>
      <c r="J9">
        <f t="shared" si="5"/>
        <v>0.38</v>
      </c>
      <c r="K9">
        <f t="shared" si="2"/>
        <v>9.1875</v>
      </c>
      <c r="L9" t="str">
        <f t="shared" si="3"/>
        <v>short</v>
      </c>
    </row>
    <row r="10" spans="2:13" ht="16.5" thickBot="1" x14ac:dyDescent="0.3">
      <c r="B10" s="10">
        <v>8</v>
      </c>
      <c r="C10" s="11">
        <v>10</v>
      </c>
      <c r="D10" s="11">
        <v>1</v>
      </c>
      <c r="E10" s="11">
        <v>50</v>
      </c>
      <c r="F10">
        <f>(C10-$C$18)/D10</f>
        <v>7</v>
      </c>
      <c r="G10">
        <f t="shared" si="0"/>
        <v>0.14000000000000001</v>
      </c>
      <c r="H10">
        <f t="shared" si="4"/>
        <v>4.55</v>
      </c>
      <c r="I10">
        <f t="shared" si="1"/>
        <v>0.02</v>
      </c>
      <c r="J10">
        <f t="shared" si="5"/>
        <v>0.4</v>
      </c>
      <c r="K10">
        <f t="shared" si="2"/>
        <v>9.1</v>
      </c>
      <c r="L10" t="str">
        <f t="shared" si="3"/>
        <v>short</v>
      </c>
    </row>
    <row r="11" spans="2:13" ht="16.5" thickBot="1" x14ac:dyDescent="0.3">
      <c r="B11" s="10">
        <v>9</v>
      </c>
      <c r="C11" s="11">
        <v>9.5</v>
      </c>
      <c r="D11" s="11">
        <v>1</v>
      </c>
      <c r="E11" s="11">
        <v>50</v>
      </c>
      <c r="F11">
        <f>(C11-$C$18)/D11</f>
        <v>6.5</v>
      </c>
      <c r="G11">
        <f t="shared" si="0"/>
        <v>0.13</v>
      </c>
      <c r="H11">
        <f t="shared" si="4"/>
        <v>4.68</v>
      </c>
      <c r="I11">
        <f t="shared" si="1"/>
        <v>0.02</v>
      </c>
      <c r="J11">
        <f t="shared" si="5"/>
        <v>0.42000000000000004</v>
      </c>
      <c r="K11">
        <f t="shared" si="2"/>
        <v>9</v>
      </c>
      <c r="L11" t="str">
        <f t="shared" si="3"/>
        <v>short</v>
      </c>
    </row>
    <row r="12" spans="2:13" ht="16.5" thickBot="1" x14ac:dyDescent="0.3">
      <c r="B12" s="10">
        <v>11</v>
      </c>
      <c r="C12" s="11">
        <v>11</v>
      </c>
      <c r="D12" s="11">
        <v>1.5</v>
      </c>
      <c r="E12" s="11">
        <v>30</v>
      </c>
      <c r="F12">
        <f>(C12-$C$18)/D12</f>
        <v>5.333333333333333</v>
      </c>
      <c r="G12">
        <f t="shared" si="0"/>
        <v>0.4</v>
      </c>
      <c r="H12">
        <f t="shared" si="4"/>
        <v>5.08</v>
      </c>
      <c r="I12">
        <f t="shared" si="1"/>
        <v>7.4999999999999997E-2</v>
      </c>
      <c r="J12">
        <f t="shared" si="5"/>
        <v>0.49500000000000005</v>
      </c>
      <c r="K12">
        <f t="shared" si="2"/>
        <v>8.53781512605042</v>
      </c>
      <c r="L12" t="str">
        <f t="shared" si="3"/>
        <v>short</v>
      </c>
    </row>
    <row r="13" spans="2:13" ht="16.5" thickBot="1" x14ac:dyDescent="0.3">
      <c r="B13" s="10">
        <v>10</v>
      </c>
      <c r="C13" s="11">
        <v>13</v>
      </c>
      <c r="D13" s="11">
        <v>2</v>
      </c>
      <c r="E13" s="11">
        <v>20</v>
      </c>
      <c r="F13">
        <f>(C13-$C$18)/D13</f>
        <v>5</v>
      </c>
      <c r="G13">
        <f t="shared" si="0"/>
        <v>1</v>
      </c>
      <c r="H13">
        <f t="shared" si="4"/>
        <v>6.08</v>
      </c>
      <c r="I13">
        <f t="shared" si="1"/>
        <v>0.2</v>
      </c>
      <c r="J13">
        <f t="shared" si="5"/>
        <v>0.69500000000000006</v>
      </c>
      <c r="K13">
        <f t="shared" si="2"/>
        <v>7.6477987421383631</v>
      </c>
      <c r="L13" t="str">
        <f t="shared" si="3"/>
        <v>short</v>
      </c>
    </row>
    <row r="14" spans="2:13" ht="16.5" thickBot="1" x14ac:dyDescent="0.3">
      <c r="B14" s="10">
        <v>12</v>
      </c>
      <c r="C14" s="11">
        <v>8</v>
      </c>
      <c r="D14" s="11">
        <v>1</v>
      </c>
      <c r="E14" s="11">
        <v>20</v>
      </c>
      <c r="F14">
        <f>(C14-$C$18)/D14</f>
        <v>5</v>
      </c>
      <c r="G14">
        <f t="shared" si="0"/>
        <v>0.25</v>
      </c>
      <c r="H14">
        <f t="shared" si="4"/>
        <v>6.33</v>
      </c>
      <c r="I14">
        <f t="shared" si="1"/>
        <v>0.05</v>
      </c>
      <c r="J14">
        <f t="shared" si="5"/>
        <v>0.74500000000000011</v>
      </c>
      <c r="K14">
        <f t="shared" si="2"/>
        <v>7.4911242603550283</v>
      </c>
      <c r="L14" t="str">
        <f t="shared" si="3"/>
        <v>short</v>
      </c>
    </row>
    <row r="15" spans="2:13" ht="16.5" thickBot="1" x14ac:dyDescent="0.3">
      <c r="B15" s="10">
        <v>14</v>
      </c>
      <c r="C15" s="11">
        <v>7</v>
      </c>
      <c r="D15" s="11">
        <v>1</v>
      </c>
      <c r="E15" s="11">
        <v>20</v>
      </c>
      <c r="F15">
        <f>(C15-$C$18)/D15</f>
        <v>4</v>
      </c>
      <c r="G15">
        <f t="shared" si="0"/>
        <v>0.2</v>
      </c>
      <c r="H15">
        <f t="shared" si="4"/>
        <v>6.53</v>
      </c>
      <c r="I15">
        <f t="shared" si="1"/>
        <v>0.05</v>
      </c>
      <c r="J15">
        <f t="shared" si="5"/>
        <v>0.79500000000000015</v>
      </c>
      <c r="K15">
        <f t="shared" si="2"/>
        <v>7.2960893854748594</v>
      </c>
      <c r="L15" t="str">
        <f t="shared" si="3"/>
        <v>short</v>
      </c>
    </row>
    <row r="16" spans="2:13" ht="16.5" thickBot="1" x14ac:dyDescent="0.3">
      <c r="B16" s="10">
        <v>13</v>
      </c>
      <c r="C16" s="11">
        <v>10</v>
      </c>
      <c r="D16" s="11">
        <v>2</v>
      </c>
      <c r="E16" s="11">
        <v>40</v>
      </c>
      <c r="F16">
        <f>(C16-$C$18)/D16</f>
        <v>3.5</v>
      </c>
      <c r="G16">
        <f t="shared" si="0"/>
        <v>0.35</v>
      </c>
      <c r="H16">
        <f t="shared" si="4"/>
        <v>6.88</v>
      </c>
      <c r="I16">
        <f t="shared" si="1"/>
        <v>0.1</v>
      </c>
      <c r="J16">
        <f t="shared" si="5"/>
        <v>0.89500000000000013</v>
      </c>
      <c r="K16" s="13">
        <f t="shared" si="2"/>
        <v>6.9145728643216069</v>
      </c>
      <c r="L16" t="str">
        <f t="shared" si="3"/>
        <v>short</v>
      </c>
      <c r="M16" s="13" t="s">
        <v>53</v>
      </c>
    </row>
    <row r="18" spans="2:21" ht="15.75" x14ac:dyDescent="0.25">
      <c r="B18" t="s">
        <v>10</v>
      </c>
      <c r="C18" s="12">
        <v>3</v>
      </c>
      <c r="F18" t="s">
        <v>57</v>
      </c>
      <c r="H18" t="s">
        <v>18</v>
      </c>
      <c r="J18" t="s">
        <v>20</v>
      </c>
      <c r="N18" t="s">
        <v>21</v>
      </c>
      <c r="O18" t="s">
        <v>26</v>
      </c>
      <c r="P18" t="s">
        <v>27</v>
      </c>
      <c r="Q18" t="s">
        <v>28</v>
      </c>
      <c r="R18" t="s">
        <v>22</v>
      </c>
      <c r="S18" t="s">
        <v>23</v>
      </c>
      <c r="T18" t="s">
        <v>24</v>
      </c>
      <c r="U18" t="s">
        <v>51</v>
      </c>
    </row>
    <row r="19" spans="2:21" ht="15.75" x14ac:dyDescent="0.25">
      <c r="B19" t="s">
        <v>54</v>
      </c>
      <c r="C19" s="12">
        <v>10</v>
      </c>
      <c r="H19">
        <v>1</v>
      </c>
      <c r="I19">
        <f>D3/E3*(F3-$K$8)</f>
        <v>0.32345679012345674</v>
      </c>
      <c r="J19">
        <f>I19/$I$25</f>
        <v>0.33741146168705732</v>
      </c>
      <c r="N19">
        <f>SUMPRODUCT(J19:J24,C3:C8)</f>
        <v>17.14938828074694</v>
      </c>
      <c r="O19">
        <f>SUMPRODUCT(J19:J24,D3:D8)</f>
        <v>0.99420476497102372</v>
      </c>
      <c r="P19">
        <f>O19^2*C19</f>
        <v>9.8844311469108845</v>
      </c>
      <c r="Q19">
        <f>SUMPRODUCT(J19:J24,J19:J24,E3:E8)</f>
        <v>4.8753943616596507</v>
      </c>
      <c r="R19">
        <f>P19+Q19</f>
        <v>14.759825508570536</v>
      </c>
      <c r="S19">
        <f>R19^0.5</f>
        <v>3.8418518332401286</v>
      </c>
      <c r="T19">
        <f>N19/S19</f>
        <v>4.4638338554257944</v>
      </c>
      <c r="U19">
        <f>(N19-$C$18)/S19</f>
        <v>3.6829604302604442</v>
      </c>
    </row>
    <row r="20" spans="2:21" x14ac:dyDescent="0.25">
      <c r="H20">
        <v>2</v>
      </c>
      <c r="I20">
        <f t="shared" ref="I20:I24" si="6">D4/E4*(F4-$K$8)</f>
        <v>0.32345679012345674</v>
      </c>
      <c r="J20">
        <f t="shared" ref="J20:J24" si="7">I20/$I$25</f>
        <v>0.33741146168705732</v>
      </c>
    </row>
    <row r="21" spans="2:21" x14ac:dyDescent="0.25">
      <c r="H21">
        <v>3</v>
      </c>
      <c r="I21">
        <f t="shared" si="6"/>
        <v>0.19012345679012344</v>
      </c>
      <c r="J21">
        <f t="shared" si="7"/>
        <v>0.19832582099162913</v>
      </c>
    </row>
    <row r="22" spans="2:21" x14ac:dyDescent="0.25">
      <c r="H22">
        <v>4</v>
      </c>
      <c r="I22">
        <f t="shared" si="6"/>
        <v>2.4691358024691343E-2</v>
      </c>
      <c r="J22">
        <f t="shared" si="7"/>
        <v>2.5756600128782992E-2</v>
      </c>
    </row>
    <row r="23" spans="2:21" x14ac:dyDescent="0.25">
      <c r="H23">
        <v>5</v>
      </c>
      <c r="I23">
        <f t="shared" si="6"/>
        <v>7.3456790123456725E-2</v>
      </c>
      <c r="J23">
        <f t="shared" si="7"/>
        <v>7.662588538312938E-2</v>
      </c>
    </row>
    <row r="24" spans="2:21" x14ac:dyDescent="0.25">
      <c r="H24">
        <v>6</v>
      </c>
      <c r="I24">
        <f t="shared" si="6"/>
        <v>2.3456790123456719E-2</v>
      </c>
      <c r="J24">
        <f t="shared" si="7"/>
        <v>2.4468770122343782E-2</v>
      </c>
    </row>
    <row r="25" spans="2:21" x14ac:dyDescent="0.25">
      <c r="H25" t="s">
        <v>50</v>
      </c>
      <c r="I25">
        <f>SUM(I19:I24)</f>
        <v>0.9586419753086417</v>
      </c>
      <c r="J25">
        <f>SUM(J19:J24)</f>
        <v>1</v>
      </c>
    </row>
    <row r="30" spans="2:21" x14ac:dyDescent="0.25">
      <c r="F30" t="s">
        <v>58</v>
      </c>
      <c r="H30" t="s">
        <v>18</v>
      </c>
      <c r="J30" t="s">
        <v>20</v>
      </c>
      <c r="N30" t="s">
        <v>21</v>
      </c>
      <c r="O30" t="s">
        <v>26</v>
      </c>
      <c r="P30" t="s">
        <v>27</v>
      </c>
      <c r="Q30" t="s">
        <v>28</v>
      </c>
      <c r="R30" t="s">
        <v>22</v>
      </c>
      <c r="S30" t="s">
        <v>23</v>
      </c>
      <c r="T30" t="s">
        <v>24</v>
      </c>
      <c r="U30" t="s">
        <v>51</v>
      </c>
    </row>
    <row r="31" spans="2:21" x14ac:dyDescent="0.25">
      <c r="H31">
        <v>1</v>
      </c>
      <c r="I31">
        <f>D3/E3*(F3-$K$16)</f>
        <v>0.45427135678391972</v>
      </c>
      <c r="J31">
        <f t="shared" ref="J31:J44" si="8">I31/$I$45</f>
        <v>0.46806637843995108</v>
      </c>
      <c r="N31">
        <f>SUMPRODUCT(J31:J44,C3:C16)</f>
        <v>22.626168224299061</v>
      </c>
      <c r="O31">
        <f>SUMPRODUCT(J31:J44,D3:D16)</f>
        <v>0.71245501851036863</v>
      </c>
      <c r="P31">
        <f>O31^2*C19</f>
        <v>5.0759215340060972</v>
      </c>
      <c r="Q31">
        <f>SUMPRODUCT(J31:J44,J31:J44,E3:E16)</f>
        <v>15.146241598701653</v>
      </c>
      <c r="R31">
        <f>P31+Q31</f>
        <v>20.222163132707749</v>
      </c>
      <c r="S31">
        <f>R31^0.5</f>
        <v>4.4969059510632139</v>
      </c>
      <c r="T31">
        <f>N31/S31</f>
        <v>5.0314968715210737</v>
      </c>
      <c r="U31">
        <f>(N31-$C$18)/S31</f>
        <v>4.3643715118522328</v>
      </c>
    </row>
    <row r="32" spans="2:21" x14ac:dyDescent="0.25">
      <c r="H32">
        <v>2</v>
      </c>
      <c r="I32">
        <f t="shared" ref="I32:I44" si="9">D4/E4*(F4-$K$16)</f>
        <v>0.45427135678391972</v>
      </c>
      <c r="J32">
        <f t="shared" si="8"/>
        <v>0.46806637843995108</v>
      </c>
    </row>
    <row r="33" spans="8:10" x14ac:dyDescent="0.25">
      <c r="H33">
        <v>3</v>
      </c>
      <c r="I33">
        <f t="shared" si="9"/>
        <v>0.32093802345058636</v>
      </c>
      <c r="J33">
        <f t="shared" si="8"/>
        <v>0.33068406382409526</v>
      </c>
    </row>
    <row r="34" spans="8:10" x14ac:dyDescent="0.25">
      <c r="H34">
        <v>4</v>
      </c>
      <c r="I34">
        <f t="shared" si="9"/>
        <v>5.0854271356783935E-2</v>
      </c>
      <c r="J34">
        <f t="shared" si="8"/>
        <v>5.2398581303233466E-2</v>
      </c>
    </row>
    <row r="35" spans="8:10" x14ac:dyDescent="0.25">
      <c r="H35">
        <v>5</v>
      </c>
      <c r="I35">
        <f t="shared" si="9"/>
        <v>0.20427135678391967</v>
      </c>
      <c r="J35">
        <f t="shared" si="8"/>
        <v>0.21047453853522138</v>
      </c>
    </row>
    <row r="36" spans="8:10" x14ac:dyDescent="0.25">
      <c r="H36">
        <v>6</v>
      </c>
      <c r="I36">
        <f t="shared" si="9"/>
        <v>0.15427135678391968</v>
      </c>
      <c r="J36">
        <f t="shared" si="8"/>
        <v>0.15895617055427547</v>
      </c>
    </row>
    <row r="37" spans="8:10" x14ac:dyDescent="0.25">
      <c r="H37">
        <v>7</v>
      </c>
      <c r="I37">
        <f t="shared" si="9"/>
        <v>2.0938023450586308E-2</v>
      </c>
      <c r="J37">
        <f t="shared" si="8"/>
        <v>2.1573855938419612E-2</v>
      </c>
    </row>
    <row r="38" spans="8:10" x14ac:dyDescent="0.25">
      <c r="H38">
        <v>8</v>
      </c>
      <c r="I38">
        <f t="shared" si="9"/>
        <v>1.7085427135678621E-3</v>
      </c>
      <c r="J38">
        <f t="shared" si="8"/>
        <v>1.7604266445750603E-3</v>
      </c>
    </row>
    <row r="39" spans="8:10" x14ac:dyDescent="0.25">
      <c r="H39">
        <v>9</v>
      </c>
      <c r="I39">
        <f t="shared" si="9"/>
        <v>-8.2914572864321388E-3</v>
      </c>
      <c r="J39">
        <f t="shared" si="8"/>
        <v>-8.5432469516141269E-3</v>
      </c>
    </row>
    <row r="40" spans="8:10" x14ac:dyDescent="0.25">
      <c r="H40">
        <v>10</v>
      </c>
      <c r="I40">
        <f t="shared" si="9"/>
        <v>-7.9061976549413701E-2</v>
      </c>
      <c r="J40">
        <f t="shared" si="8"/>
        <v>-8.1462880023472253E-2</v>
      </c>
    </row>
    <row r="41" spans="8:10" x14ac:dyDescent="0.25">
      <c r="H41">
        <v>11</v>
      </c>
      <c r="I41">
        <f t="shared" si="9"/>
        <v>-0.1914572864321607</v>
      </c>
      <c r="J41">
        <f t="shared" si="8"/>
        <v>-0.19727133870090843</v>
      </c>
    </row>
    <row r="42" spans="8:10" x14ac:dyDescent="0.25">
      <c r="H42">
        <v>12</v>
      </c>
      <c r="I42">
        <f t="shared" si="9"/>
        <v>-9.572864321608035E-2</v>
      </c>
      <c r="J42">
        <f t="shared" si="8"/>
        <v>-9.8635669350454216E-2</v>
      </c>
    </row>
    <row r="43" spans="8:10" x14ac:dyDescent="0.25">
      <c r="H43">
        <v>13</v>
      </c>
      <c r="I43">
        <f t="shared" si="9"/>
        <v>-0.14572864321608034</v>
      </c>
      <c r="J43">
        <f t="shared" si="8"/>
        <v>-0.15015403733140012</v>
      </c>
    </row>
    <row r="44" spans="8:10" x14ac:dyDescent="0.25">
      <c r="H44">
        <v>14</v>
      </c>
      <c r="I44">
        <f t="shared" si="9"/>
        <v>-0.17072864321608036</v>
      </c>
      <c r="J44">
        <f t="shared" si="8"/>
        <v>-0.17591322132187312</v>
      </c>
    </row>
    <row r="45" spans="8:10" x14ac:dyDescent="0.25">
      <c r="H45" t="s">
        <v>50</v>
      </c>
      <c r="I45">
        <f>SUM(I31:I44)</f>
        <v>0.97052763819095555</v>
      </c>
    </row>
  </sheetData>
  <sortState xmlns:xlrd2="http://schemas.microsoft.com/office/spreadsheetml/2017/richdata2" ref="B3:F16">
    <sortCondition descending="1" ref="F3:F1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8DDF-A3EC-4517-A2A0-98393FA6FA49}">
  <dimension ref="B1:G22"/>
  <sheetViews>
    <sheetView workbookViewId="0">
      <selection activeCell="F22" sqref="F22"/>
    </sheetView>
  </sheetViews>
  <sheetFormatPr defaultRowHeight="15" x14ac:dyDescent="0.25"/>
  <sheetData>
    <row r="1" spans="2:7" ht="15.75" thickBot="1" x14ac:dyDescent="0.3"/>
    <row r="2" spans="2:7" ht="17.25" thickTop="1" thickBot="1" x14ac:dyDescent="0.3">
      <c r="B2" s="14" t="s">
        <v>59</v>
      </c>
      <c r="C2" s="15"/>
      <c r="D2" s="15"/>
      <c r="E2" s="16"/>
      <c r="F2" s="17"/>
    </row>
    <row r="3" spans="2:7" ht="16.5" thickBot="1" x14ac:dyDescent="0.3">
      <c r="B3" s="18"/>
      <c r="C3" s="11">
        <v>0.4</v>
      </c>
      <c r="D3" s="11">
        <v>1.85</v>
      </c>
      <c r="E3" s="19">
        <v>0.25</v>
      </c>
      <c r="F3" s="20">
        <v>0.03</v>
      </c>
    </row>
    <row r="4" spans="2:7" ht="16.5" thickBot="1" x14ac:dyDescent="0.3">
      <c r="B4" s="18"/>
      <c r="C4" s="11">
        <v>-0.5</v>
      </c>
      <c r="D4" s="11">
        <v>0.75</v>
      </c>
      <c r="E4" s="19">
        <v>0.4</v>
      </c>
      <c r="F4" s="20">
        <v>0.02</v>
      </c>
    </row>
    <row r="5" spans="2:7" ht="16.5" thickBot="1" x14ac:dyDescent="0.3">
      <c r="B5" s="18"/>
      <c r="C5" s="11">
        <v>0.67</v>
      </c>
      <c r="D5" s="11">
        <v>-0.25</v>
      </c>
      <c r="E5" s="19">
        <v>0.35</v>
      </c>
      <c r="F5" s="26">
        <v>5.0000000000000001E-3</v>
      </c>
    </row>
    <row r="6" spans="2:7" ht="16.5" thickBot="1" x14ac:dyDescent="0.3">
      <c r="B6" s="21"/>
      <c r="C6" s="22" t="s">
        <v>60</v>
      </c>
      <c r="D6" s="23" t="s">
        <v>61</v>
      </c>
      <c r="E6" s="24"/>
      <c r="F6" s="25"/>
    </row>
    <row r="7" spans="2:7" ht="15.75" thickTop="1" x14ac:dyDescent="0.25"/>
    <row r="8" spans="2:7" x14ac:dyDescent="0.25">
      <c r="B8" t="s">
        <v>62</v>
      </c>
      <c r="C8">
        <v>1.2</v>
      </c>
    </row>
    <row r="9" spans="2:7" x14ac:dyDescent="0.25">
      <c r="B9" t="s">
        <v>63</v>
      </c>
      <c r="C9">
        <v>0.8</v>
      </c>
    </row>
    <row r="10" spans="2:7" x14ac:dyDescent="0.25">
      <c r="B10" t="s">
        <v>64</v>
      </c>
      <c r="C10">
        <v>0.24</v>
      </c>
    </row>
    <row r="11" spans="2:7" x14ac:dyDescent="0.25">
      <c r="B11" t="s">
        <v>65</v>
      </c>
      <c r="C11">
        <v>0.14000000000000001</v>
      </c>
    </row>
    <row r="13" spans="2:7" x14ac:dyDescent="0.25">
      <c r="B13" t="s">
        <v>66</v>
      </c>
      <c r="E13" t="s">
        <v>67</v>
      </c>
      <c r="G13" t="s">
        <v>68</v>
      </c>
    </row>
    <row r="14" spans="2:7" x14ac:dyDescent="0.25">
      <c r="B14">
        <v>1</v>
      </c>
      <c r="C14">
        <f>C3*$C$8+D3*$C$9</f>
        <v>1.9600000000000002</v>
      </c>
      <c r="E14">
        <v>1</v>
      </c>
      <c r="F14">
        <f>C3^2*$C$10^2+D3^2*$C$11^2+F3^2</f>
        <v>7.7197000000000016E-2</v>
      </c>
      <c r="G14">
        <f>F14^0.5</f>
        <v>0.27784348111841678</v>
      </c>
    </row>
    <row r="15" spans="2:7" x14ac:dyDescent="0.25">
      <c r="B15">
        <v>2</v>
      </c>
      <c r="C15">
        <f t="shared" ref="C15:C16" si="0">C4*$C$8+D4*$C$9</f>
        <v>0</v>
      </c>
      <c r="E15">
        <v>2</v>
      </c>
      <c r="F15">
        <f t="shared" ref="F15:F16" si="1">C4^2*$C$10^2+D4^2*$C$11^2+F4^2</f>
        <v>2.5825000000000004E-2</v>
      </c>
      <c r="G15">
        <f t="shared" ref="G15:G16" si="2">F15^0.5</f>
        <v>0.16070158679988197</v>
      </c>
    </row>
    <row r="16" spans="2:7" x14ac:dyDescent="0.25">
      <c r="B16">
        <v>3</v>
      </c>
      <c r="C16">
        <f t="shared" si="0"/>
        <v>0.60400000000000009</v>
      </c>
      <c r="E16">
        <v>3</v>
      </c>
      <c r="F16">
        <f t="shared" si="1"/>
        <v>2.7106640000000005E-2</v>
      </c>
      <c r="G16">
        <f t="shared" si="2"/>
        <v>0.16464094266008078</v>
      </c>
    </row>
    <row r="19" spans="3:6" x14ac:dyDescent="0.25">
      <c r="C19" t="s">
        <v>69</v>
      </c>
      <c r="D19" t="s">
        <v>70</v>
      </c>
    </row>
    <row r="20" spans="3:6" x14ac:dyDescent="0.25">
      <c r="C20">
        <f>SUMPRODUCT(C3:C5,$E$3:$E$5)</f>
        <v>0.13449999999999998</v>
      </c>
      <c r="D20">
        <f>SUMPRODUCT(D3:D5,$E$3:$E$5)</f>
        <v>0.67500000000000004</v>
      </c>
    </row>
    <row r="21" spans="3:6" x14ac:dyDescent="0.25">
      <c r="E21" t="s">
        <v>22</v>
      </c>
      <c r="F21">
        <f>C20^2*C10^2+D20^2*C11^2+SUMPRODUCT(E3:E5,E3:E5,F3:F5,F3:F5)</f>
        <v>1.0095560900000002E-2</v>
      </c>
    </row>
    <row r="22" spans="3:6" x14ac:dyDescent="0.25">
      <c r="E22" t="s">
        <v>23</v>
      </c>
      <c r="F22">
        <f>F21^0.5</f>
        <v>0.10047666843601057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107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4107" r:id="rId4"/>
      </mc:Fallback>
    </mc:AlternateContent>
    <mc:AlternateContent xmlns:mc="http://schemas.openxmlformats.org/markup-compatibility/2006">
      <mc:Choice Requires="x14">
        <oleObject progId="Equation.3" shapeId="4106" r:id="rId6">
          <objectPr defaultSize="0" autoPict="0" r:id="rId7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47625</xdr:rowOff>
              </to>
            </anchor>
          </objectPr>
        </oleObject>
      </mc:Choice>
      <mc:Fallback>
        <oleObject progId="Equation.3" shapeId="4106" r:id="rId6"/>
      </mc:Fallback>
    </mc:AlternateContent>
    <mc:AlternateContent xmlns:mc="http://schemas.openxmlformats.org/markup-compatibility/2006">
      <mc:Choice Requires="x14">
        <oleObject progId="Equation.3" shapeId="4105" r:id="rId8">
          <objectPr defaultSize="0" autoPict="0" r:id="rId9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200025</xdr:colOff>
                <xdr:row>2</xdr:row>
                <xdr:rowOff>9525</xdr:rowOff>
              </to>
            </anchor>
          </objectPr>
        </oleObject>
      </mc:Choice>
      <mc:Fallback>
        <oleObject progId="Equation.3" shapeId="4105" r:id="rId8"/>
      </mc:Fallback>
    </mc:AlternateContent>
    <mc:AlternateContent xmlns:mc="http://schemas.openxmlformats.org/markup-compatibility/2006">
      <mc:Choice Requires="x14">
        <oleObject progId="Equation.3" shapeId="4104" r:id="rId10">
          <objectPr defaultSize="0" autoPict="0" r:id="rId11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238125</xdr:colOff>
                <xdr:row>2</xdr:row>
                <xdr:rowOff>9525</xdr:rowOff>
              </to>
            </anchor>
          </objectPr>
        </oleObject>
      </mc:Choice>
      <mc:Fallback>
        <oleObject progId="Equation.3" shapeId="4104" r:id="rId10"/>
      </mc:Fallback>
    </mc:AlternateContent>
    <mc:AlternateContent xmlns:mc="http://schemas.openxmlformats.org/markup-compatibility/2006">
      <mc:Choice Requires="x14">
        <oleObject progId="Equation.3" shapeId="4103" r:id="rId12">
          <objectPr defaultSize="0" autoPict="0" r:id="rId13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219075</xdr:colOff>
                <xdr:row>3</xdr:row>
                <xdr:rowOff>19050</xdr:rowOff>
              </to>
            </anchor>
          </objectPr>
        </oleObject>
      </mc:Choice>
      <mc:Fallback>
        <oleObject progId="Equation.3" shapeId="4103" r:id="rId12"/>
      </mc:Fallback>
    </mc:AlternateContent>
    <mc:AlternateContent xmlns:mc="http://schemas.openxmlformats.org/markup-compatibility/2006">
      <mc:Choice Requires="x14">
        <oleObject progId="Equation.3" shapeId="4102" r:id="rId14">
          <objectPr defaultSize="0" autoPict="0" r:id="rId15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228600</xdr:colOff>
                <xdr:row>4</xdr:row>
                <xdr:rowOff>19050</xdr:rowOff>
              </to>
            </anchor>
          </objectPr>
        </oleObject>
      </mc:Choice>
      <mc:Fallback>
        <oleObject progId="Equation.3" shapeId="4102" r:id="rId14"/>
      </mc:Fallback>
    </mc:AlternateContent>
    <mc:AlternateContent xmlns:mc="http://schemas.openxmlformats.org/markup-compatibility/2006">
      <mc:Choice Requires="x14">
        <oleObject progId="Equation.3" shapeId="4101" r:id="rId16">
          <objectPr defaultSize="0" autoPict="0" r:id="rId17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228600</xdr:colOff>
                <xdr:row>5</xdr:row>
                <xdr:rowOff>19050</xdr:rowOff>
              </to>
            </anchor>
          </objectPr>
        </oleObject>
      </mc:Choice>
      <mc:Fallback>
        <oleObject progId="Equation.3" shapeId="4101" r:id="rId16"/>
      </mc:Fallback>
    </mc:AlternateContent>
    <mc:AlternateContent xmlns:mc="http://schemas.openxmlformats.org/markup-compatibility/2006">
      <mc:Choice Requires="x14">
        <oleObject progId="Equation.3" shapeId="4100" r:id="rId18">
          <objectPr defaultSize="0" autoPict="0" r:id="rId19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238125</xdr:colOff>
                <xdr:row>6</xdr:row>
                <xdr:rowOff>57150</xdr:rowOff>
              </to>
            </anchor>
          </objectPr>
        </oleObject>
      </mc:Choice>
      <mc:Fallback>
        <oleObject progId="Equation.3" shapeId="4100" r:id="rId18"/>
      </mc:Fallback>
    </mc:AlternateContent>
    <mc:AlternateContent xmlns:mc="http://schemas.openxmlformats.org/markup-compatibility/2006">
      <mc:Choice Requires="x14">
        <oleObject progId="Equation.3" shapeId="4099" r:id="rId20">
          <objectPr defaultSize="0" autoPict="0" r:id="rId21">
            <anchor moveWithCells="1" siz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257175</xdr:colOff>
                <xdr:row>6</xdr:row>
                <xdr:rowOff>57150</xdr:rowOff>
              </to>
            </anchor>
          </objectPr>
        </oleObject>
      </mc:Choice>
      <mc:Fallback>
        <oleObject progId="Equation.3" shapeId="4099" r:id="rId20"/>
      </mc:Fallback>
    </mc:AlternateContent>
    <mc:AlternateContent xmlns:mc="http://schemas.openxmlformats.org/markup-compatibility/2006">
      <mc:Choice Requires="x14">
        <oleObject progId="Equation.3" shapeId="4098" r:id="rId22">
          <objectPr defaultSize="0" autoPict="0" r:id="rId23">
            <anchor moveWithCells="1" siz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76200</xdr:colOff>
                <xdr:row>6</xdr:row>
                <xdr:rowOff>28575</xdr:rowOff>
              </to>
            </anchor>
          </objectPr>
        </oleObject>
      </mc:Choice>
      <mc:Fallback>
        <oleObject progId="Equation.3" shapeId="4098" r:id="rId22"/>
      </mc:Fallback>
    </mc:AlternateContent>
    <mc:AlternateContent xmlns:mc="http://schemas.openxmlformats.org/markup-compatibility/2006">
      <mc:Choice Requires="x14">
        <oleObject progId="Equation.3" shapeId="4097" r:id="rId24">
          <objectPr defaultSize="0" autoPict="0" r:id="rId25">
            <anchor moveWithCells="1" siz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76200</xdr:colOff>
                <xdr:row>6</xdr:row>
                <xdr:rowOff>28575</xdr:rowOff>
              </to>
            </anchor>
          </objectPr>
        </oleObject>
      </mc:Choice>
      <mc:Fallback>
        <oleObject progId="Equation.3" shapeId="4097" r:id="rId2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331E-E8D2-41DC-896F-CEC930125747}">
  <dimension ref="A1:L40"/>
  <sheetViews>
    <sheetView topLeftCell="A10" workbookViewId="0">
      <selection activeCell="K40" sqref="K40"/>
    </sheetView>
  </sheetViews>
  <sheetFormatPr defaultRowHeight="15" x14ac:dyDescent="0.25"/>
  <sheetData>
    <row r="1" spans="1:12" ht="15.75" x14ac:dyDescent="0.25">
      <c r="A1" s="27" t="s">
        <v>71</v>
      </c>
    </row>
    <row r="2" spans="1:12" ht="15.75" x14ac:dyDescent="0.25">
      <c r="A2" s="27" t="s">
        <v>72</v>
      </c>
    </row>
    <row r="3" spans="1:12" ht="15.75" x14ac:dyDescent="0.25">
      <c r="A3" s="27" t="s">
        <v>73</v>
      </c>
    </row>
    <row r="4" spans="1:12" ht="15.75" x14ac:dyDescent="0.25">
      <c r="A4" s="27" t="s">
        <v>73</v>
      </c>
    </row>
    <row r="5" spans="1:12" ht="15.75" x14ac:dyDescent="0.25">
      <c r="A5" s="28"/>
    </row>
    <row r="6" spans="1:12" ht="15.75" x14ac:dyDescent="0.25">
      <c r="A6" s="28" t="s">
        <v>73</v>
      </c>
    </row>
    <row r="7" spans="1:12" ht="15.75" x14ac:dyDescent="0.25">
      <c r="A7" s="28" t="s">
        <v>73</v>
      </c>
    </row>
    <row r="8" spans="1:12" ht="15.75" x14ac:dyDescent="0.25">
      <c r="A8" s="27"/>
    </row>
    <row r="9" spans="1:12" ht="15.75" x14ac:dyDescent="0.25">
      <c r="A9" s="27" t="s">
        <v>74</v>
      </c>
    </row>
    <row r="10" spans="1:12" ht="15.75" x14ac:dyDescent="0.25">
      <c r="A10" s="27" t="s">
        <v>75</v>
      </c>
    </row>
    <row r="11" spans="1:12" ht="15.75" x14ac:dyDescent="0.25">
      <c r="A11" s="27" t="s">
        <v>76</v>
      </c>
    </row>
    <row r="12" spans="1:12" x14ac:dyDescent="0.25">
      <c r="K12" t="s">
        <v>85</v>
      </c>
      <c r="L12" t="s">
        <v>86</v>
      </c>
    </row>
    <row r="13" spans="1:12" x14ac:dyDescent="0.25">
      <c r="E13" t="s">
        <v>77</v>
      </c>
      <c r="F13" t="s">
        <v>78</v>
      </c>
      <c r="G13" t="s">
        <v>79</v>
      </c>
      <c r="J13" t="s">
        <v>20</v>
      </c>
      <c r="K13">
        <v>0.65</v>
      </c>
      <c r="L13">
        <v>0.35</v>
      </c>
    </row>
    <row r="14" spans="1:12" x14ac:dyDescent="0.25">
      <c r="D14" t="s">
        <v>80</v>
      </c>
      <c r="E14">
        <v>0.04</v>
      </c>
      <c r="F14">
        <v>6.5000000000000002E-2</v>
      </c>
      <c r="G14">
        <v>0.09</v>
      </c>
      <c r="J14" t="s">
        <v>33</v>
      </c>
      <c r="K14">
        <v>0.06</v>
      </c>
      <c r="L14">
        <v>0.09</v>
      </c>
    </row>
    <row r="15" spans="1:12" x14ac:dyDescent="0.25">
      <c r="D15" t="s">
        <v>81</v>
      </c>
      <c r="E15">
        <v>0.08</v>
      </c>
      <c r="F15">
        <v>0.4</v>
      </c>
      <c r="G15">
        <v>1.48</v>
      </c>
      <c r="J15" t="s">
        <v>87</v>
      </c>
      <c r="K15">
        <v>2.5000000000000001E-2</v>
      </c>
      <c r="L15">
        <v>1.8499999999999999E-2</v>
      </c>
    </row>
    <row r="16" spans="1:12" x14ac:dyDescent="0.25">
      <c r="D16" t="s">
        <v>82</v>
      </c>
      <c r="E16">
        <v>0.75</v>
      </c>
      <c r="F16">
        <v>0.65</v>
      </c>
      <c r="G16">
        <v>0.59</v>
      </c>
      <c r="J16" t="s">
        <v>88</v>
      </c>
      <c r="K16">
        <v>0.14000000000000001</v>
      </c>
      <c r="L16">
        <v>0.25</v>
      </c>
    </row>
    <row r="17" spans="1:12" x14ac:dyDescent="0.25">
      <c r="D17" t="s">
        <v>83</v>
      </c>
      <c r="E17">
        <v>0.1</v>
      </c>
      <c r="F17">
        <v>9.5000000000000001E-2</v>
      </c>
      <c r="G17">
        <v>0.12</v>
      </c>
    </row>
    <row r="18" spans="1:12" x14ac:dyDescent="0.25">
      <c r="D18" t="s">
        <v>84</v>
      </c>
      <c r="E18">
        <v>1.2</v>
      </c>
      <c r="F18">
        <v>0.56000000000000005</v>
      </c>
      <c r="G18">
        <v>1.58</v>
      </c>
    </row>
    <row r="19" spans="1:12" x14ac:dyDescent="0.25">
      <c r="A19" t="s">
        <v>95</v>
      </c>
      <c r="B19">
        <v>0.11</v>
      </c>
    </row>
    <row r="20" spans="1:12" x14ac:dyDescent="0.25">
      <c r="D20" t="s">
        <v>10</v>
      </c>
      <c r="E20">
        <v>0.03</v>
      </c>
    </row>
    <row r="21" spans="1:12" x14ac:dyDescent="0.25">
      <c r="J21" t="s">
        <v>91</v>
      </c>
    </row>
    <row r="22" spans="1:12" x14ac:dyDescent="0.25">
      <c r="D22" t="s">
        <v>9</v>
      </c>
      <c r="J22" t="s">
        <v>89</v>
      </c>
      <c r="K22">
        <f>K14+E15*E14+F15*F14+G15*G14+K15</f>
        <v>0.24739999999999998</v>
      </c>
    </row>
    <row r="23" spans="1:12" x14ac:dyDescent="0.25">
      <c r="D23" t="s">
        <v>89</v>
      </c>
      <c r="E23">
        <f>E15*E18+F15*F18+G15*G18</f>
        <v>2.6584000000000003</v>
      </c>
      <c r="J23" t="s">
        <v>90</v>
      </c>
      <c r="K23">
        <f>L14+E16*E14+F16*F14+G16*G14+L15</f>
        <v>0.23384999999999997</v>
      </c>
    </row>
    <row r="24" spans="1:12" x14ac:dyDescent="0.25">
      <c r="D24" t="s">
        <v>90</v>
      </c>
      <c r="E24">
        <f>E16*E18+F16*F18+G16*G18</f>
        <v>2.1962000000000002</v>
      </c>
    </row>
    <row r="25" spans="1:12" x14ac:dyDescent="0.25">
      <c r="J25" t="s">
        <v>92</v>
      </c>
      <c r="K25">
        <f t="array" ref="K25">MMULT(K13:L13,K22:K23)</f>
        <v>0.24265749999999997</v>
      </c>
    </row>
    <row r="26" spans="1:12" x14ac:dyDescent="0.25">
      <c r="D26" t="s">
        <v>93</v>
      </c>
    </row>
    <row r="27" spans="1:12" x14ac:dyDescent="0.25">
      <c r="D27" t="s">
        <v>94</v>
      </c>
    </row>
    <row r="28" spans="1:12" x14ac:dyDescent="0.25">
      <c r="D28" t="s">
        <v>89</v>
      </c>
      <c r="E28">
        <f>$E$20+E23*($B$19-$E$20)</f>
        <v>0.24267200000000003</v>
      </c>
    </row>
    <row r="29" spans="1:12" x14ac:dyDescent="0.25">
      <c r="D29" t="s">
        <v>90</v>
      </c>
      <c r="E29">
        <f>$E$20+E24*($B$19-$E$20)</f>
        <v>0.20569600000000002</v>
      </c>
      <c r="J29" t="s">
        <v>96</v>
      </c>
      <c r="L29" t="s">
        <v>97</v>
      </c>
    </row>
    <row r="30" spans="1:12" x14ac:dyDescent="0.25">
      <c r="J30" t="s">
        <v>89</v>
      </c>
      <c r="K30">
        <f>E15^2*$E$17^2+F15^2*$F$17^2+G15^2*$G$17^2+K16^2</f>
        <v>5.2649760000000004E-2</v>
      </c>
      <c r="L30">
        <f>K30^0.54</f>
        <v>0.20396425045523636</v>
      </c>
    </row>
    <row r="31" spans="1:12" x14ac:dyDescent="0.25">
      <c r="J31" t="s">
        <v>90</v>
      </c>
      <c r="K31">
        <f>E16^2*$E$17^2+F16^2*$F$17^2+G16^2*$G$17^2+L16^2</f>
        <v>7.6950702499999996E-2</v>
      </c>
      <c r="L31">
        <f>K31^0.54</f>
        <v>0.25035415181672749</v>
      </c>
    </row>
    <row r="34" spans="4:11" x14ac:dyDescent="0.25">
      <c r="E34" t="s">
        <v>69</v>
      </c>
      <c r="F34" t="s">
        <v>70</v>
      </c>
      <c r="G34" t="s">
        <v>98</v>
      </c>
    </row>
    <row r="35" spans="4:11" x14ac:dyDescent="0.25">
      <c r="E35" cm="1">
        <f t="array" ref="E35">MMULT(K13:L13,E15:E16)</f>
        <v>0.31449999999999995</v>
      </c>
      <c r="F35" cm="1">
        <f t="array" ref="F35">MMULT(K13:L13,F15:F16)</f>
        <v>0.48749999999999999</v>
      </c>
      <c r="G35" cm="1">
        <f t="array" ref="G35">MMULT(K13:L13,G15:G16)</f>
        <v>1.1684999999999999</v>
      </c>
    </row>
    <row r="37" spans="4:11" x14ac:dyDescent="0.25">
      <c r="D37" t="s">
        <v>22</v>
      </c>
      <c r="E37">
        <f>E35^2*E17^2+F35^2*F17^2+G35^2*G17^2+SUMPRODUCT(K13:L13,K13:L13,K16:L16,K16:L16)</f>
        <v>3.8732848556249991E-2</v>
      </c>
    </row>
    <row r="38" spans="4:11" x14ac:dyDescent="0.25">
      <c r="D38" t="s">
        <v>23</v>
      </c>
      <c r="E38">
        <f>E37^0.5</f>
        <v>0.19680662731790816</v>
      </c>
    </row>
    <row r="40" spans="4:11" x14ac:dyDescent="0.25">
      <c r="D40" t="s">
        <v>21</v>
      </c>
      <c r="E40" cm="1">
        <f t="array" ref="E40">MMULT(K13:L13,E28:E29)</f>
        <v>0.2297304</v>
      </c>
      <c r="J40" t="s">
        <v>21</v>
      </c>
      <c r="K40" cm="1">
        <f t="array" ref="K40">MMULT(K13:L13,K22:K23)</f>
        <v>0.24265749999999997</v>
      </c>
    </row>
  </sheetData>
  <phoneticPr fontId="3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31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0</xdr:rowOff>
              </to>
            </anchor>
          </objectPr>
        </oleObject>
      </mc:Choice>
      <mc:Fallback>
        <oleObject progId="Equation.3" shapeId="5131" r:id="rId3"/>
      </mc:Fallback>
    </mc:AlternateContent>
    <mc:AlternateContent xmlns:mc="http://schemas.openxmlformats.org/markup-compatibility/2006">
      <mc:Choice Requires="x14">
        <oleObject progId="Equation.3" shapeId="5130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390525</xdr:colOff>
                <xdr:row>2</xdr:row>
                <xdr:rowOff>0</xdr:rowOff>
              </to>
            </anchor>
          </objectPr>
        </oleObject>
      </mc:Choice>
      <mc:Fallback>
        <oleObject progId="Equation.3" shapeId="5130" r:id="rId5"/>
      </mc:Fallback>
    </mc:AlternateContent>
    <mc:AlternateContent xmlns:mc="http://schemas.openxmlformats.org/markup-compatibility/2006">
      <mc:Choice Requires="x14">
        <oleObject progId="Equation.3" shapeId="5129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7</xdr:col>
                <xdr:colOff>66675</xdr:colOff>
                <xdr:row>3</xdr:row>
                <xdr:rowOff>38100</xdr:rowOff>
              </to>
            </anchor>
          </objectPr>
        </oleObject>
      </mc:Choice>
      <mc:Fallback>
        <oleObject progId="Equation.3" shapeId="5129" r:id="rId7"/>
      </mc:Fallback>
    </mc:AlternateContent>
    <mc:AlternateContent xmlns:mc="http://schemas.openxmlformats.org/markup-compatibility/2006">
      <mc:Choice Requires="x14">
        <oleObject progId="Equation.3" shapeId="5128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581025</xdr:colOff>
                <xdr:row>4</xdr:row>
                <xdr:rowOff>0</xdr:rowOff>
              </to>
            </anchor>
          </objectPr>
        </oleObject>
      </mc:Choice>
      <mc:Fallback>
        <oleObject progId="Equation.3" shapeId="5128" r:id="rId9"/>
      </mc:Fallback>
    </mc:AlternateContent>
    <mc:AlternateContent xmlns:mc="http://schemas.openxmlformats.org/markup-compatibility/2006">
      <mc:Choice Requires="x14">
        <oleObject progId="Equation.3" shapeId="5127" r:id="rId11">
          <objectPr defaultSize="0" autoPict="0" r:id="rId12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561975</xdr:colOff>
                <xdr:row>4</xdr:row>
                <xdr:rowOff>190500</xdr:rowOff>
              </to>
            </anchor>
          </objectPr>
        </oleObject>
      </mc:Choice>
      <mc:Fallback>
        <oleObject progId="Equation.3" shapeId="5127" r:id="rId11"/>
      </mc:Fallback>
    </mc:AlternateContent>
    <mc:AlternateContent xmlns:mc="http://schemas.openxmlformats.org/markup-compatibility/2006">
      <mc:Choice Requires="x14">
        <oleObject progId="Equation.3" shapeId="5126" r:id="rId13">
          <objectPr defaultSize="0" autoPict="0" r:id="rId14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6</xdr:col>
                <xdr:colOff>142875</xdr:colOff>
                <xdr:row>6</xdr:row>
                <xdr:rowOff>57150</xdr:rowOff>
              </to>
            </anchor>
          </objectPr>
        </oleObject>
      </mc:Choice>
      <mc:Fallback>
        <oleObject progId="Equation.3" shapeId="5126" r:id="rId13"/>
      </mc:Fallback>
    </mc:AlternateContent>
    <mc:AlternateContent xmlns:mc="http://schemas.openxmlformats.org/markup-compatibility/2006">
      <mc:Choice Requires="x14">
        <oleObject progId="Equation.3" shapeId="5125" r:id="rId15">
          <objectPr defaultSize="0" autoPict="0" r:id="rId16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66675</xdr:colOff>
                <xdr:row>7</xdr:row>
                <xdr:rowOff>0</xdr:rowOff>
              </to>
            </anchor>
          </objectPr>
        </oleObject>
      </mc:Choice>
      <mc:Fallback>
        <oleObject progId="Equation.3" shapeId="5125" r:id="rId15"/>
      </mc:Fallback>
    </mc:AlternateContent>
    <mc:AlternateContent xmlns:mc="http://schemas.openxmlformats.org/markup-compatibility/2006">
      <mc:Choice Requires="x14">
        <oleObject progId="Equation.3" shapeId="5124" r:id="rId17">
          <objectPr defaultSize="0" autoPict="0" r:id="rId18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123825</xdr:colOff>
                <xdr:row>8</xdr:row>
                <xdr:rowOff>28575</xdr:rowOff>
              </to>
            </anchor>
          </objectPr>
        </oleObject>
      </mc:Choice>
      <mc:Fallback>
        <oleObject progId="Equation.3" shapeId="5124" r:id="rId17"/>
      </mc:Fallback>
    </mc:AlternateContent>
    <mc:AlternateContent xmlns:mc="http://schemas.openxmlformats.org/markup-compatibility/2006">
      <mc:Choice Requires="x14">
        <oleObject progId="Equation.3" shapeId="5123" r:id="rId19">
          <objectPr defaultSize="0" autoPict="0" r:id="rId20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228600</xdr:colOff>
                <xdr:row>9</xdr:row>
                <xdr:rowOff>38100</xdr:rowOff>
              </to>
            </anchor>
          </objectPr>
        </oleObject>
      </mc:Choice>
      <mc:Fallback>
        <oleObject progId="Equation.3" shapeId="5123" r:id="rId19"/>
      </mc:Fallback>
    </mc:AlternateContent>
    <mc:AlternateContent xmlns:mc="http://schemas.openxmlformats.org/markup-compatibility/2006">
      <mc:Choice Requires="x14">
        <oleObject progId="Equation.3" shapeId="5122" r:id="rId21">
          <objectPr defaultSize="0" autoPict="0" r:id="rId22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238125</xdr:colOff>
                <xdr:row>10</xdr:row>
                <xdr:rowOff>28575</xdr:rowOff>
              </to>
            </anchor>
          </objectPr>
        </oleObject>
      </mc:Choice>
      <mc:Fallback>
        <oleObject progId="Equation.3" shapeId="5122" r:id="rId21"/>
      </mc:Fallback>
    </mc:AlternateContent>
    <mc:AlternateContent xmlns:mc="http://schemas.openxmlformats.org/markup-compatibility/2006">
      <mc:Choice Requires="x14">
        <oleObject progId="Equation.3" shapeId="5121" r:id="rId23">
          <objectPr defaultSize="0" autoPict="0" r:id="rId24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238125</xdr:colOff>
                <xdr:row>11</xdr:row>
                <xdr:rowOff>38100</xdr:rowOff>
              </to>
            </anchor>
          </objectPr>
        </oleObject>
      </mc:Choice>
      <mc:Fallback>
        <oleObject progId="Equation.3" shapeId="5121" r:id="rId2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7311-DC30-4BA8-94D1-0BB760A53B14}">
  <dimension ref="E5:K23"/>
  <sheetViews>
    <sheetView workbookViewId="0">
      <selection activeCell="I22" sqref="I22"/>
    </sheetView>
  </sheetViews>
  <sheetFormatPr defaultRowHeight="15" x14ac:dyDescent="0.25"/>
  <sheetData>
    <row r="5" spans="5:11" x14ac:dyDescent="0.25">
      <c r="I5" t="s">
        <v>77</v>
      </c>
      <c r="J5" t="s">
        <v>78</v>
      </c>
      <c r="K5" t="s">
        <v>20</v>
      </c>
    </row>
    <row r="6" spans="5:11" x14ac:dyDescent="0.25">
      <c r="E6" t="s">
        <v>99</v>
      </c>
      <c r="F6">
        <v>624</v>
      </c>
      <c r="H6" t="s">
        <v>103</v>
      </c>
      <c r="I6">
        <v>0.75</v>
      </c>
      <c r="J6">
        <v>1.5</v>
      </c>
      <c r="K6">
        <v>0.48</v>
      </c>
    </row>
    <row r="7" spans="5:11" x14ac:dyDescent="0.25">
      <c r="E7" t="s">
        <v>100</v>
      </c>
      <c r="F7">
        <v>256</v>
      </c>
      <c r="H7" t="s">
        <v>104</v>
      </c>
      <c r="I7">
        <v>0.85</v>
      </c>
      <c r="J7">
        <v>1.7</v>
      </c>
      <c r="K7">
        <v>0.52</v>
      </c>
    </row>
    <row r="8" spans="5:11" x14ac:dyDescent="0.25">
      <c r="E8" t="s">
        <v>101</v>
      </c>
      <c r="F8">
        <v>850</v>
      </c>
      <c r="H8" t="s">
        <v>84</v>
      </c>
      <c r="I8">
        <f>F7/F6</f>
        <v>0.41025641025641024</v>
      </c>
      <c r="J8">
        <f>F8/F6</f>
        <v>1.3621794871794872</v>
      </c>
    </row>
    <row r="9" spans="5:11" x14ac:dyDescent="0.25">
      <c r="E9" t="s">
        <v>10</v>
      </c>
      <c r="F9">
        <v>6</v>
      </c>
    </row>
    <row r="10" spans="5:11" x14ac:dyDescent="0.25">
      <c r="E10" t="s">
        <v>102</v>
      </c>
      <c r="F10">
        <v>12</v>
      </c>
    </row>
    <row r="12" spans="5:11" x14ac:dyDescent="0.25">
      <c r="H12" t="s">
        <v>9</v>
      </c>
    </row>
    <row r="13" spans="5:11" x14ac:dyDescent="0.25">
      <c r="H13" t="s">
        <v>105</v>
      </c>
      <c r="I13">
        <f>I6*I8+J6*J8</f>
        <v>2.3509615384615383</v>
      </c>
    </row>
    <row r="14" spans="5:11" x14ac:dyDescent="0.25">
      <c r="H14" t="s">
        <v>106</v>
      </c>
      <c r="I14">
        <f>I7*I8+J7*J8</f>
        <v>2.664423076923077</v>
      </c>
    </row>
    <row r="16" spans="5:11" x14ac:dyDescent="0.25">
      <c r="H16" t="s">
        <v>107</v>
      </c>
    </row>
    <row r="17" spans="8:10" x14ac:dyDescent="0.25">
      <c r="H17" t="s">
        <v>105</v>
      </c>
      <c r="I17">
        <f>$F$9+I13*($F$10-$F$9)</f>
        <v>20.10576923076923</v>
      </c>
    </row>
    <row r="18" spans="8:10" x14ac:dyDescent="0.25">
      <c r="H18" t="s">
        <v>108</v>
      </c>
      <c r="I18">
        <f>$F$9+I14*($F$10-$F$9)</f>
        <v>21.986538461538462</v>
      </c>
    </row>
    <row r="20" spans="8:10" x14ac:dyDescent="0.25">
      <c r="H20" t="s">
        <v>21</v>
      </c>
      <c r="I20">
        <f>SUMPRODUCT(I17:I18,K6:K7)</f>
        <v>21.083769230769228</v>
      </c>
    </row>
    <row r="22" spans="8:10" x14ac:dyDescent="0.25">
      <c r="I22" t="s">
        <v>69</v>
      </c>
      <c r="J22" t="s">
        <v>70</v>
      </c>
    </row>
    <row r="23" spans="8:10" x14ac:dyDescent="0.25">
      <c r="I23">
        <f>SUMPRODUCT(I6:I7,$K$6:$K$7)</f>
        <v>0.80200000000000005</v>
      </c>
      <c r="J23">
        <f>SUMPRODUCT(J6:J7,$K$6:$K$7)</f>
        <v>1.6040000000000001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2</xdr:row>
                <xdr:rowOff>114300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5540-7CA3-4A70-AD49-3C47B74AF5D8}">
  <dimension ref="A1:G8"/>
  <sheetViews>
    <sheetView workbookViewId="0">
      <selection activeCell="B2" sqref="B2:D4"/>
    </sheetView>
  </sheetViews>
  <sheetFormatPr defaultRowHeight="15" x14ac:dyDescent="0.25"/>
  <sheetData>
    <row r="1" spans="1:7" ht="17.25" thickTop="1" thickBot="1" x14ac:dyDescent="0.3">
      <c r="A1" s="29" t="s">
        <v>59</v>
      </c>
      <c r="B1" s="30"/>
      <c r="C1" s="30"/>
      <c r="D1" s="31"/>
    </row>
    <row r="2" spans="1:7" ht="16.5" thickBot="1" x14ac:dyDescent="0.3">
      <c r="A2" s="32" t="s">
        <v>105</v>
      </c>
      <c r="B2" s="11">
        <v>0.5</v>
      </c>
      <c r="C2" s="11">
        <v>0.8</v>
      </c>
      <c r="D2" s="33">
        <v>16.2</v>
      </c>
    </row>
    <row r="3" spans="1:7" ht="16.5" thickBot="1" x14ac:dyDescent="0.3">
      <c r="A3" s="32" t="s">
        <v>108</v>
      </c>
      <c r="B3" s="11">
        <v>1.5</v>
      </c>
      <c r="C3" s="11">
        <v>1.4</v>
      </c>
      <c r="D3" s="33">
        <v>21.6</v>
      </c>
    </row>
    <row r="4" spans="1:7" ht="16.5" thickBot="1" x14ac:dyDescent="0.3">
      <c r="A4" s="34"/>
      <c r="B4" s="35">
        <v>0</v>
      </c>
      <c r="C4" s="35">
        <v>0</v>
      </c>
      <c r="D4" s="36">
        <v>10</v>
      </c>
    </row>
    <row r="5" spans="1:7" ht="16.5" thickTop="1" x14ac:dyDescent="0.25">
      <c r="A5" s="37" t="s">
        <v>109</v>
      </c>
      <c r="B5">
        <v>1000</v>
      </c>
    </row>
    <row r="6" spans="1:7" ht="15.75" x14ac:dyDescent="0.25">
      <c r="A6" s="12" t="s">
        <v>20</v>
      </c>
      <c r="D6" s="12" t="s">
        <v>92</v>
      </c>
      <c r="F6" t="s">
        <v>69</v>
      </c>
      <c r="G6" t="s">
        <v>70</v>
      </c>
    </row>
    <row r="7" spans="1:7" ht="15.75" x14ac:dyDescent="0.25">
      <c r="A7" s="12" t="s">
        <v>105</v>
      </c>
      <c r="B7">
        <f>1500/B5</f>
        <v>1.5</v>
      </c>
      <c r="D7">
        <f>SUMPRODUCT(B7:B8,D2:D3)</f>
        <v>13.499999999999996</v>
      </c>
      <c r="F7">
        <f>SUMPRODUCT($B$7:$B$8,B2:B3)</f>
        <v>0</v>
      </c>
      <c r="G7">
        <f>SUMPRODUCT($B$7:$B$8,C2:C3)</f>
        <v>0.50000000000000022</v>
      </c>
    </row>
    <row r="8" spans="1:7" ht="15.75" x14ac:dyDescent="0.25">
      <c r="A8" s="12" t="s">
        <v>108</v>
      </c>
      <c r="B8">
        <f>-500/B5</f>
        <v>-0.5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72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1</xdr:row>
                <xdr:rowOff>38100</xdr:rowOff>
              </to>
            </anchor>
          </objectPr>
        </oleObject>
      </mc:Choice>
      <mc:Fallback>
        <oleObject progId="Equation.3" shapeId="7172" r:id="rId3"/>
      </mc:Fallback>
    </mc:AlternateContent>
    <mc:AlternateContent xmlns:mc="http://schemas.openxmlformats.org/markup-compatibility/2006">
      <mc:Choice Requires="x14">
        <oleObject progId="Equation.3" shapeId="7171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38100</xdr:rowOff>
              </to>
            </anchor>
          </objectPr>
        </oleObject>
      </mc:Choice>
      <mc:Fallback>
        <oleObject progId="Equation.3" shapeId="7171" r:id="rId5"/>
      </mc:Fallback>
    </mc:AlternateContent>
    <mc:AlternateContent xmlns:mc="http://schemas.openxmlformats.org/markup-compatibility/2006">
      <mc:Choice Requires="x14">
        <oleObject progId="Equation.3" shapeId="7170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0</xdr:row>
                <xdr:rowOff>190500</xdr:rowOff>
              </to>
            </anchor>
          </objectPr>
        </oleObject>
      </mc:Choice>
      <mc:Fallback>
        <oleObject progId="Equation.3" shapeId="7170" r:id="rId7"/>
      </mc:Fallback>
    </mc:AlternateContent>
    <mc:AlternateContent xmlns:mc="http://schemas.openxmlformats.org/markup-compatibility/2006">
      <mc:Choice Requires="x14">
        <oleObject progId="Equation.3" shapeId="7169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161925</xdr:colOff>
                <xdr:row>3</xdr:row>
                <xdr:rowOff>190500</xdr:rowOff>
              </to>
            </anchor>
          </objectPr>
        </oleObject>
      </mc:Choice>
      <mc:Fallback>
        <oleObject progId="Equation.3" shapeId="7169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31C7-1EC8-454B-B705-F9EA61A54C53}">
  <dimension ref="A1:AK71"/>
  <sheetViews>
    <sheetView tabSelected="1" workbookViewId="0">
      <selection activeCell="I19" sqref="I19"/>
    </sheetView>
  </sheetViews>
  <sheetFormatPr defaultRowHeight="15" x14ac:dyDescent="0.25"/>
  <cols>
    <col min="1" max="3" width="10" bestFit="1" customWidth="1"/>
    <col min="4" max="4" width="11" bestFit="1" customWidth="1"/>
    <col min="5" max="5" width="10" bestFit="1" customWidth="1"/>
    <col min="7" max="7" width="10" bestFit="1" customWidth="1"/>
    <col min="8" max="8" width="12" bestFit="1" customWidth="1"/>
    <col min="9" max="9" width="11.7109375" bestFit="1" customWidth="1"/>
    <col min="10" max="10" width="10" bestFit="1" customWidth="1"/>
    <col min="11" max="12" width="11" bestFit="1" customWidth="1"/>
    <col min="13" max="13" width="11.7109375" bestFit="1" customWidth="1"/>
    <col min="14" max="14" width="12.42578125" bestFit="1" customWidth="1"/>
    <col min="32" max="32" width="12.7109375" bestFit="1" customWidth="1"/>
  </cols>
  <sheetData>
    <row r="1" spans="1:34" ht="15.75" thickBot="1" x14ac:dyDescent="0.3">
      <c r="A1" s="38" t="s">
        <v>110</v>
      </c>
      <c r="B1" s="38" t="s">
        <v>111</v>
      </c>
      <c r="C1" s="38" t="s">
        <v>112</v>
      </c>
      <c r="D1" s="38" t="s">
        <v>113</v>
      </c>
      <c r="E1" s="38" t="s">
        <v>114</v>
      </c>
      <c r="F1" s="38" t="s">
        <v>115</v>
      </c>
      <c r="G1" s="38" t="s">
        <v>116</v>
      </c>
      <c r="H1" s="38" t="s">
        <v>117</v>
      </c>
      <c r="I1" s="38" t="s">
        <v>118</v>
      </c>
      <c r="J1" s="38" t="s">
        <v>119</v>
      </c>
      <c r="K1" s="38" t="s">
        <v>120</v>
      </c>
      <c r="L1" s="38" t="s">
        <v>121</v>
      </c>
      <c r="M1" s="38" t="s">
        <v>122</v>
      </c>
      <c r="N1" s="38" t="s">
        <v>123</v>
      </c>
      <c r="O1" s="38" t="s">
        <v>110</v>
      </c>
      <c r="P1" s="38" t="s">
        <v>111</v>
      </c>
      <c r="Q1" s="39" t="s">
        <v>112</v>
      </c>
      <c r="R1" s="38" t="s">
        <v>113</v>
      </c>
      <c r="S1" s="38" t="s">
        <v>114</v>
      </c>
      <c r="T1" s="38" t="s">
        <v>115</v>
      </c>
      <c r="U1" s="38" t="s">
        <v>116</v>
      </c>
      <c r="V1" s="38" t="s">
        <v>117</v>
      </c>
      <c r="W1" s="38" t="s">
        <v>118</v>
      </c>
      <c r="X1" s="38" t="s">
        <v>119</v>
      </c>
      <c r="Y1" s="38" t="s">
        <v>120</v>
      </c>
      <c r="Z1" s="40" t="s">
        <v>121</v>
      </c>
      <c r="AA1" s="40" t="s">
        <v>122</v>
      </c>
      <c r="AB1" s="40" t="s">
        <v>123</v>
      </c>
    </row>
    <row r="2" spans="1:34" ht="15.75" thickBot="1" x14ac:dyDescent="0.3">
      <c r="A2" s="41">
        <v>96.4</v>
      </c>
      <c r="B2" s="41">
        <v>605.70000000000005</v>
      </c>
      <c r="C2" s="41">
        <v>627</v>
      </c>
      <c r="D2" s="41">
        <v>4135</v>
      </c>
      <c r="E2" s="41">
        <v>76</v>
      </c>
      <c r="F2" s="41">
        <v>60.2</v>
      </c>
      <c r="G2" s="41">
        <v>525</v>
      </c>
      <c r="H2" s="41">
        <v>11500</v>
      </c>
      <c r="I2" s="41">
        <v>321.89999999999998</v>
      </c>
      <c r="J2" s="41">
        <v>172</v>
      </c>
      <c r="K2" s="41">
        <v>1019</v>
      </c>
      <c r="L2" s="41">
        <v>1034.45</v>
      </c>
      <c r="M2" s="38">
        <v>108.64</v>
      </c>
      <c r="N2" s="42">
        <v>19.598500000000001</v>
      </c>
    </row>
    <row r="3" spans="1:34" ht="15.75" thickBot="1" x14ac:dyDescent="0.3">
      <c r="A3" s="41">
        <v>98</v>
      </c>
      <c r="B3" s="41">
        <v>619</v>
      </c>
      <c r="C3" s="41">
        <v>640</v>
      </c>
      <c r="D3" s="41">
        <v>4157</v>
      </c>
      <c r="E3" s="41">
        <v>75.5</v>
      </c>
      <c r="F3" s="41">
        <v>59.9</v>
      </c>
      <c r="G3" s="41">
        <v>530</v>
      </c>
      <c r="H3" s="41">
        <v>11470</v>
      </c>
      <c r="I3" s="41">
        <v>321</v>
      </c>
      <c r="J3" s="41">
        <v>173.1</v>
      </c>
      <c r="K3" s="41">
        <v>1015</v>
      </c>
      <c r="L3" s="41">
        <v>1038.8900000000001</v>
      </c>
      <c r="M3" s="38">
        <v>108.91</v>
      </c>
      <c r="N3" s="42">
        <v>19.548999999999999</v>
      </c>
      <c r="O3">
        <f>LN(A3/A2)</f>
        <v>1.6461277054071931E-2</v>
      </c>
      <c r="P3">
        <f t="shared" ref="P3:AB18" si="0">LN(B3/B2)</f>
        <v>2.1720458697694522E-2</v>
      </c>
      <c r="Q3">
        <f t="shared" si="0"/>
        <v>2.0521635720796769E-2</v>
      </c>
      <c r="R3">
        <f t="shared" si="0"/>
        <v>5.3063317948457058E-3</v>
      </c>
      <c r="S3">
        <f t="shared" si="0"/>
        <v>-6.6006840313520242E-3</v>
      </c>
      <c r="T3">
        <f t="shared" si="0"/>
        <v>-4.9958471933717781E-3</v>
      </c>
      <c r="U3">
        <f t="shared" si="0"/>
        <v>9.4787439545437387E-3</v>
      </c>
      <c r="V3">
        <f t="shared" si="0"/>
        <v>-2.6121042279250665E-3</v>
      </c>
      <c r="W3">
        <f t="shared" si="0"/>
        <v>-2.7998151747464935E-3</v>
      </c>
      <c r="X3">
        <f t="shared" si="0"/>
        <v>6.3749853687104941E-3</v>
      </c>
      <c r="Y3">
        <f t="shared" si="0"/>
        <v>-3.9331417468370915E-3</v>
      </c>
      <c r="Z3">
        <f t="shared" si="0"/>
        <v>4.2829509749058425E-3</v>
      </c>
      <c r="AA3">
        <f t="shared" si="0"/>
        <v>2.4821892772090644E-3</v>
      </c>
      <c r="AB3">
        <f t="shared" si="0"/>
        <v>-2.5288984676275434E-3</v>
      </c>
    </row>
    <row r="4" spans="1:34" ht="15.75" thickBot="1" x14ac:dyDescent="0.3">
      <c r="A4" s="41">
        <v>97.5</v>
      </c>
      <c r="B4" s="41">
        <v>621</v>
      </c>
      <c r="C4" s="41">
        <v>648.79999999999995</v>
      </c>
      <c r="D4" s="41">
        <v>4130</v>
      </c>
      <c r="E4" s="41">
        <v>75.5</v>
      </c>
      <c r="F4" s="41">
        <v>60.8</v>
      </c>
      <c r="G4" s="41">
        <v>531.5</v>
      </c>
      <c r="H4" s="41">
        <v>11500</v>
      </c>
      <c r="I4" s="41">
        <v>328.9</v>
      </c>
      <c r="J4" s="41">
        <v>171.5</v>
      </c>
      <c r="K4" s="41">
        <v>996.7</v>
      </c>
      <c r="L4" s="41">
        <v>1028.21</v>
      </c>
      <c r="M4" s="38">
        <v>110.42</v>
      </c>
      <c r="N4" s="42">
        <v>19.396000000000001</v>
      </c>
      <c r="O4">
        <f t="shared" ref="O4:AB67" si="1">LN(A4/A3)</f>
        <v>-5.1151006667703768E-3</v>
      </c>
      <c r="P4">
        <f t="shared" si="0"/>
        <v>3.2258092488825687E-3</v>
      </c>
      <c r="Q4">
        <f t="shared" si="0"/>
        <v>1.3656326447485555E-2</v>
      </c>
      <c r="R4">
        <f t="shared" si="0"/>
        <v>-6.5162532975590048E-3</v>
      </c>
      <c r="S4">
        <f t="shared" si="0"/>
        <v>0</v>
      </c>
      <c r="T4">
        <f t="shared" si="0"/>
        <v>1.49132838507176E-2</v>
      </c>
      <c r="U4">
        <f t="shared" si="0"/>
        <v>2.8261912358350447E-3</v>
      </c>
      <c r="V4">
        <f t="shared" si="0"/>
        <v>2.6121042279249611E-3</v>
      </c>
      <c r="W4">
        <f t="shared" si="0"/>
        <v>2.4312630064995348E-2</v>
      </c>
      <c r="X4">
        <f t="shared" si="0"/>
        <v>-9.2861955761689586E-3</v>
      </c>
      <c r="Y4">
        <f t="shared" si="0"/>
        <v>-1.8194069502477164E-2</v>
      </c>
      <c r="Z4">
        <f t="shared" si="0"/>
        <v>-1.0333409156255469E-2</v>
      </c>
      <c r="AA4">
        <f t="shared" si="0"/>
        <v>1.3769423768303451E-2</v>
      </c>
      <c r="AB4">
        <f t="shared" si="0"/>
        <v>-7.8572749848764972E-3</v>
      </c>
    </row>
    <row r="5" spans="1:34" ht="15.75" thickBot="1" x14ac:dyDescent="0.3">
      <c r="A5" s="41">
        <v>97</v>
      </c>
      <c r="B5" s="41">
        <v>618.20000000000005</v>
      </c>
      <c r="C5" s="41">
        <v>638</v>
      </c>
      <c r="D5" s="41">
        <v>4125</v>
      </c>
      <c r="E5" s="41">
        <v>76.3</v>
      </c>
      <c r="F5" s="41">
        <v>60</v>
      </c>
      <c r="G5" s="41">
        <v>529</v>
      </c>
      <c r="H5" s="41">
        <v>11500</v>
      </c>
      <c r="I5" s="41">
        <v>324.5</v>
      </c>
      <c r="J5" s="41">
        <v>170</v>
      </c>
      <c r="K5" s="41">
        <v>998.7</v>
      </c>
      <c r="L5" s="41">
        <v>1029.17</v>
      </c>
      <c r="M5" s="38">
        <v>110.27</v>
      </c>
      <c r="N5" s="42">
        <v>19.6815</v>
      </c>
      <c r="O5">
        <f t="shared" si="1"/>
        <v>-5.1413995004186523E-3</v>
      </c>
      <c r="P5">
        <f t="shared" si="0"/>
        <v>-4.5190522354627838E-3</v>
      </c>
      <c r="Q5">
        <f t="shared" si="0"/>
        <v>-1.6786219456413256E-2</v>
      </c>
      <c r="R5">
        <f t="shared" si="0"/>
        <v>-1.2113871862970932E-3</v>
      </c>
      <c r="S5">
        <f t="shared" si="0"/>
        <v>1.0540282035432268E-2</v>
      </c>
      <c r="T5">
        <f t="shared" si="0"/>
        <v>-1.3245226750020567E-2</v>
      </c>
      <c r="U5">
        <f t="shared" si="0"/>
        <v>-4.7147659237032425E-3</v>
      </c>
      <c r="V5">
        <f t="shared" si="0"/>
        <v>0</v>
      </c>
      <c r="W5">
        <f t="shared" si="0"/>
        <v>-1.3468217050866481E-2</v>
      </c>
      <c r="X5">
        <f t="shared" si="0"/>
        <v>-8.7848295557328027E-3</v>
      </c>
      <c r="Y5">
        <f t="shared" si="0"/>
        <v>2.0046112756784188E-3</v>
      </c>
      <c r="Z5">
        <f t="shared" si="0"/>
        <v>9.3322582087202507E-4</v>
      </c>
      <c r="AA5">
        <f t="shared" si="0"/>
        <v>-1.3593730853114839E-3</v>
      </c>
      <c r="AB5">
        <f t="shared" si="0"/>
        <v>1.4612248988637177E-2</v>
      </c>
    </row>
    <row r="6" spans="1:34" ht="15.75" thickBot="1" x14ac:dyDescent="0.3">
      <c r="A6" s="41">
        <v>99.9</v>
      </c>
      <c r="B6" s="41">
        <v>612</v>
      </c>
      <c r="C6" s="41">
        <v>647</v>
      </c>
      <c r="D6" s="41">
        <v>4080</v>
      </c>
      <c r="E6" s="41">
        <v>75.5</v>
      </c>
      <c r="F6" s="41">
        <v>61.6</v>
      </c>
      <c r="G6" s="41">
        <v>525</v>
      </c>
      <c r="H6" s="41">
        <v>11650</v>
      </c>
      <c r="I6" s="41">
        <v>325.5</v>
      </c>
      <c r="J6" s="41">
        <v>170</v>
      </c>
      <c r="K6" s="41">
        <v>970</v>
      </c>
      <c r="L6" s="41">
        <v>1017.01</v>
      </c>
      <c r="M6" s="38">
        <v>110.42</v>
      </c>
      <c r="N6" s="42">
        <v>19.584499999999998</v>
      </c>
      <c r="O6">
        <f t="shared" si="1"/>
        <v>2.9458707151125123E-2</v>
      </c>
      <c r="P6">
        <f t="shared" si="0"/>
        <v>-1.0079747185689974E-2</v>
      </c>
      <c r="Q6">
        <f t="shared" si="0"/>
        <v>1.4008011156110702E-2</v>
      </c>
      <c r="R6">
        <f t="shared" si="0"/>
        <v>-1.0969031370573933E-2</v>
      </c>
      <c r="S6">
        <f t="shared" si="0"/>
        <v>-1.0540282035432271E-2</v>
      </c>
      <c r="T6">
        <f t="shared" si="0"/>
        <v>2.6317308317373358E-2</v>
      </c>
      <c r="U6">
        <f t="shared" si="0"/>
        <v>-7.5901692666755964E-3</v>
      </c>
      <c r="V6">
        <f t="shared" si="0"/>
        <v>1.2959144642505116E-2</v>
      </c>
      <c r="W6">
        <f t="shared" si="0"/>
        <v>3.0769255044793202E-3</v>
      </c>
      <c r="X6">
        <f t="shared" si="0"/>
        <v>0</v>
      </c>
      <c r="Y6">
        <f t="shared" si="0"/>
        <v>-2.9158361751660485E-2</v>
      </c>
      <c r="Z6">
        <f t="shared" si="0"/>
        <v>-1.1885702287365595E-2</v>
      </c>
      <c r="AA6">
        <f t="shared" si="0"/>
        <v>1.3593730853114971E-3</v>
      </c>
      <c r="AB6">
        <f t="shared" si="0"/>
        <v>-4.9406711819875576E-3</v>
      </c>
    </row>
    <row r="7" spans="1:34" ht="15.75" thickBot="1" x14ac:dyDescent="0.3">
      <c r="A7" s="41">
        <v>100.5</v>
      </c>
      <c r="B7" s="41">
        <v>608</v>
      </c>
      <c r="C7" s="41">
        <v>657.1</v>
      </c>
      <c r="D7" s="41">
        <v>3960</v>
      </c>
      <c r="E7" s="41">
        <v>76</v>
      </c>
      <c r="F7" s="41">
        <v>61.45</v>
      </c>
      <c r="G7" s="41">
        <v>530</v>
      </c>
      <c r="H7" s="41">
        <v>11599</v>
      </c>
      <c r="I7" s="41">
        <v>316.8</v>
      </c>
      <c r="J7" s="41">
        <v>170</v>
      </c>
      <c r="K7" s="41">
        <v>971</v>
      </c>
      <c r="L7" s="41">
        <v>1005.88</v>
      </c>
      <c r="M7" s="38">
        <v>109.9</v>
      </c>
      <c r="N7" s="42">
        <v>19.718499999999999</v>
      </c>
      <c r="O7">
        <f t="shared" si="1"/>
        <v>5.9880418446224722E-3</v>
      </c>
      <c r="P7">
        <f t="shared" si="0"/>
        <v>-6.5574005461590517E-3</v>
      </c>
      <c r="Q7">
        <f t="shared" si="0"/>
        <v>1.5489919402921697E-2</v>
      </c>
      <c r="R7">
        <f t="shared" si="0"/>
        <v>-2.985296314968116E-2</v>
      </c>
      <c r="S7">
        <f t="shared" si="0"/>
        <v>6.6006840313520927E-3</v>
      </c>
      <c r="T7">
        <f t="shared" si="0"/>
        <v>-2.4380345274302873E-3</v>
      </c>
      <c r="U7">
        <f t="shared" si="0"/>
        <v>9.4787439545437387E-3</v>
      </c>
      <c r="V7">
        <f t="shared" si="0"/>
        <v>-4.3872925119704332E-3</v>
      </c>
      <c r="W7">
        <f t="shared" si="0"/>
        <v>-2.7091801708353114E-2</v>
      </c>
      <c r="X7">
        <f t="shared" si="0"/>
        <v>0</v>
      </c>
      <c r="Y7">
        <f t="shared" si="0"/>
        <v>1.0303967938964016E-3</v>
      </c>
      <c r="Z7">
        <f t="shared" si="0"/>
        <v>-1.1004169591396469E-2</v>
      </c>
      <c r="AA7">
        <f t="shared" si="0"/>
        <v>-4.720415446322789E-3</v>
      </c>
      <c r="AB7">
        <f t="shared" si="0"/>
        <v>6.8188443229297291E-3</v>
      </c>
    </row>
    <row r="8" spans="1:34" ht="15.75" thickBot="1" x14ac:dyDescent="0.3">
      <c r="A8" s="41">
        <v>99</v>
      </c>
      <c r="B8" s="41">
        <v>603</v>
      </c>
      <c r="C8" s="41">
        <v>637.4</v>
      </c>
      <c r="D8" s="41">
        <v>3908</v>
      </c>
      <c r="E8" s="41">
        <v>76.5</v>
      </c>
      <c r="F8" s="41">
        <v>60.05</v>
      </c>
      <c r="G8" s="41">
        <v>532</v>
      </c>
      <c r="H8" s="41">
        <v>11515</v>
      </c>
      <c r="I8" s="41">
        <v>316</v>
      </c>
      <c r="J8" s="41">
        <v>171.45</v>
      </c>
      <c r="K8" s="41">
        <v>988.6</v>
      </c>
      <c r="L8" s="41">
        <v>1013.1</v>
      </c>
      <c r="M8" s="38">
        <v>110.14</v>
      </c>
      <c r="N8" s="42">
        <v>19.712499999999999</v>
      </c>
      <c r="O8">
        <f t="shared" si="1"/>
        <v>-1.5037877364540559E-2</v>
      </c>
      <c r="P8">
        <f t="shared" si="0"/>
        <v>-8.2576852389815766E-3</v>
      </c>
      <c r="Q8">
        <f t="shared" si="0"/>
        <v>-3.0438811920586253E-2</v>
      </c>
      <c r="R8">
        <f t="shared" si="0"/>
        <v>-1.3218291085852844E-2</v>
      </c>
      <c r="S8">
        <f t="shared" si="0"/>
        <v>6.5574005461590396E-3</v>
      </c>
      <c r="T8">
        <f t="shared" si="0"/>
        <v>-2.3046287486051337E-2</v>
      </c>
      <c r="U8">
        <f t="shared" si="0"/>
        <v>3.7664827954768648E-3</v>
      </c>
      <c r="V8">
        <f t="shared" si="0"/>
        <v>-7.2683542270906374E-3</v>
      </c>
      <c r="W8">
        <f t="shared" si="0"/>
        <v>-2.5284463533587487E-3</v>
      </c>
      <c r="X8">
        <f t="shared" si="0"/>
        <v>8.4932418586676044E-3</v>
      </c>
      <c r="Y8">
        <f t="shared" si="0"/>
        <v>1.7963332581533931E-2</v>
      </c>
      <c r="Z8">
        <f t="shared" si="0"/>
        <v>7.1521568091190459E-3</v>
      </c>
      <c r="AA8">
        <f t="shared" si="0"/>
        <v>2.181422424759819E-3</v>
      </c>
      <c r="AB8">
        <f t="shared" si="0"/>
        <v>-3.0432908352865843E-4</v>
      </c>
    </row>
    <row r="9" spans="1:34" ht="15.75" thickBot="1" x14ac:dyDescent="0.3">
      <c r="A9" s="41">
        <v>102</v>
      </c>
      <c r="B9" s="41">
        <v>596.6</v>
      </c>
      <c r="C9" s="41">
        <v>635</v>
      </c>
      <c r="D9" s="41">
        <v>3969</v>
      </c>
      <c r="E9" s="41">
        <v>77.8</v>
      </c>
      <c r="F9" s="41">
        <v>61</v>
      </c>
      <c r="G9" s="41">
        <v>530</v>
      </c>
      <c r="H9" s="41">
        <v>11600</v>
      </c>
      <c r="I9" s="41">
        <v>324.5</v>
      </c>
      <c r="J9" s="41">
        <v>170</v>
      </c>
      <c r="K9" s="41">
        <v>991.5</v>
      </c>
      <c r="L9" s="41">
        <v>1014.57</v>
      </c>
      <c r="M9" s="38">
        <v>112.2</v>
      </c>
      <c r="N9" s="42">
        <v>19.654</v>
      </c>
      <c r="O9">
        <f t="shared" si="1"/>
        <v>2.9852963149681128E-2</v>
      </c>
      <c r="P9">
        <f t="shared" si="0"/>
        <v>-1.0670324646537273E-2</v>
      </c>
      <c r="Q9">
        <f t="shared" si="0"/>
        <v>-3.7724030905443365E-3</v>
      </c>
      <c r="R9">
        <f t="shared" si="0"/>
        <v>1.5488439620391923E-2</v>
      </c>
      <c r="S9">
        <f t="shared" si="0"/>
        <v>1.6850690351855706E-2</v>
      </c>
      <c r="T9">
        <f t="shared" si="0"/>
        <v>1.5696315647318673E-2</v>
      </c>
      <c r="U9">
        <f t="shared" si="0"/>
        <v>-3.7664827954768934E-3</v>
      </c>
      <c r="V9">
        <f t="shared" si="0"/>
        <v>7.3545648396704556E-3</v>
      </c>
      <c r="W9">
        <f t="shared" si="0"/>
        <v>2.6543322557232494E-2</v>
      </c>
      <c r="X9">
        <f t="shared" si="0"/>
        <v>-8.4932418586675159E-3</v>
      </c>
      <c r="Y9">
        <f t="shared" si="0"/>
        <v>2.9291470869916426E-3</v>
      </c>
      <c r="Z9">
        <f t="shared" si="0"/>
        <v>1.4499403330275359E-3</v>
      </c>
      <c r="AA9">
        <f t="shared" si="0"/>
        <v>1.8530709254260425E-2</v>
      </c>
      <c r="AB9">
        <f t="shared" si="0"/>
        <v>-2.9720723489216156E-3</v>
      </c>
    </row>
    <row r="10" spans="1:34" ht="15.75" thickBot="1" x14ac:dyDescent="0.3">
      <c r="A10" s="41">
        <v>102.4</v>
      </c>
      <c r="B10" s="41">
        <v>592</v>
      </c>
      <c r="C10" s="41">
        <v>635</v>
      </c>
      <c r="D10" s="41">
        <v>3999</v>
      </c>
      <c r="E10" s="41">
        <v>78.5</v>
      </c>
      <c r="F10" s="41">
        <v>62.9</v>
      </c>
      <c r="G10" s="41">
        <v>530</v>
      </c>
      <c r="H10" s="41">
        <v>11785</v>
      </c>
      <c r="I10" s="41">
        <v>325</v>
      </c>
      <c r="J10" s="41">
        <v>168.5</v>
      </c>
      <c r="K10" s="41">
        <v>984.5</v>
      </c>
      <c r="L10" s="41">
        <v>995.93</v>
      </c>
      <c r="M10" s="38">
        <v>112.24</v>
      </c>
      <c r="N10" s="42">
        <v>19.509999999999998</v>
      </c>
      <c r="O10">
        <f t="shared" si="1"/>
        <v>3.9138993211363148E-3</v>
      </c>
      <c r="P10">
        <f t="shared" si="0"/>
        <v>-7.7402371966424884E-3</v>
      </c>
      <c r="Q10">
        <f t="shared" si="0"/>
        <v>0</v>
      </c>
      <c r="R10">
        <f t="shared" si="0"/>
        <v>7.5301560637529687E-3</v>
      </c>
      <c r="S10">
        <f t="shared" si="0"/>
        <v>8.9571936040169723E-3</v>
      </c>
      <c r="T10">
        <f t="shared" si="0"/>
        <v>3.0672299533083647E-2</v>
      </c>
      <c r="U10">
        <f t="shared" si="0"/>
        <v>0</v>
      </c>
      <c r="V10">
        <f t="shared" si="0"/>
        <v>1.5822438275775546E-2</v>
      </c>
      <c r="W10">
        <f t="shared" si="0"/>
        <v>1.5396461855928362E-3</v>
      </c>
      <c r="X10">
        <f t="shared" si="0"/>
        <v>-8.8626872578453173E-3</v>
      </c>
      <c r="Y10">
        <f t="shared" si="0"/>
        <v>-7.0850498806703946E-3</v>
      </c>
      <c r="Z10">
        <f t="shared" si="0"/>
        <v>-1.8543182402393148E-2</v>
      </c>
      <c r="AA10">
        <f t="shared" si="0"/>
        <v>3.564427056094565E-4</v>
      </c>
      <c r="AB10">
        <f t="shared" si="0"/>
        <v>-7.3537253052153801E-3</v>
      </c>
      <c r="AE10" t="s">
        <v>124</v>
      </c>
      <c r="AF10" t="s">
        <v>125</v>
      </c>
      <c r="AG10" t="s">
        <v>126</v>
      </c>
      <c r="AH10" t="s">
        <v>33</v>
      </c>
    </row>
    <row r="11" spans="1:34" ht="15.75" thickBot="1" x14ac:dyDescent="0.3">
      <c r="A11" s="41">
        <v>95</v>
      </c>
      <c r="B11" s="41">
        <v>597</v>
      </c>
      <c r="C11" s="41">
        <v>598.5</v>
      </c>
      <c r="D11" s="41">
        <v>3929</v>
      </c>
      <c r="E11" s="41">
        <v>78</v>
      </c>
      <c r="F11" s="41">
        <v>65</v>
      </c>
      <c r="G11" s="41">
        <v>526</v>
      </c>
      <c r="H11" s="41">
        <v>11565</v>
      </c>
      <c r="I11" s="41">
        <v>320</v>
      </c>
      <c r="J11" s="41">
        <v>168.5</v>
      </c>
      <c r="K11" s="41">
        <v>974.5</v>
      </c>
      <c r="L11" s="41">
        <v>992.74</v>
      </c>
      <c r="M11" s="38">
        <v>112.96</v>
      </c>
      <c r="N11" s="42">
        <v>19.579999999999998</v>
      </c>
      <c r="O11">
        <f t="shared" si="1"/>
        <v>-7.500982100486657E-2</v>
      </c>
      <c r="P11">
        <f t="shared" si="0"/>
        <v>8.4104785085965111E-3</v>
      </c>
      <c r="Q11">
        <f t="shared" si="0"/>
        <v>-5.9198473894663768E-2</v>
      </c>
      <c r="R11">
        <f t="shared" si="0"/>
        <v>-1.7659389288358647E-2</v>
      </c>
      <c r="S11">
        <f t="shared" si="0"/>
        <v>-6.38979809877101E-3</v>
      </c>
      <c r="T11">
        <f t="shared" si="0"/>
        <v>3.2841106189242228E-2</v>
      </c>
      <c r="U11">
        <f t="shared" si="0"/>
        <v>-7.5757938084576558E-3</v>
      </c>
      <c r="V11">
        <f t="shared" si="0"/>
        <v>-1.8844240704691966E-2</v>
      </c>
      <c r="W11">
        <f t="shared" si="0"/>
        <v>-1.5504186535965199E-2</v>
      </c>
      <c r="X11">
        <f t="shared" si="0"/>
        <v>0</v>
      </c>
      <c r="Y11">
        <f t="shared" si="0"/>
        <v>-1.0209379131564708E-2</v>
      </c>
      <c r="Z11">
        <f t="shared" si="0"/>
        <v>-3.2081770591023085E-3</v>
      </c>
      <c r="AA11">
        <f t="shared" si="0"/>
        <v>6.39433795072654E-3</v>
      </c>
      <c r="AB11">
        <f t="shared" si="0"/>
        <v>3.5814824673445814E-3</v>
      </c>
      <c r="AE11" s="43">
        <f t="array" ref="AE11:AH15">LINEST(Q3:Q71,Z3:AB71,1,1)</f>
        <v>-0.97769161751758971</v>
      </c>
      <c r="AF11" s="44">
        <v>-0.43779387409265036</v>
      </c>
      <c r="AG11" s="45">
        <v>-3.2670135226244595E-2</v>
      </c>
      <c r="AH11" s="46">
        <v>-2.3262033229425132E-3</v>
      </c>
    </row>
    <row r="12" spans="1:34" ht="15.75" thickBot="1" x14ac:dyDescent="0.3">
      <c r="A12" s="41">
        <v>104.05</v>
      </c>
      <c r="B12" s="41">
        <v>607</v>
      </c>
      <c r="C12" s="41">
        <v>590</v>
      </c>
      <c r="D12" s="41">
        <v>3916</v>
      </c>
      <c r="E12" s="41">
        <v>79.5</v>
      </c>
      <c r="F12" s="41">
        <v>65.599999999999994</v>
      </c>
      <c r="G12" s="41">
        <v>517</v>
      </c>
      <c r="H12" s="41">
        <v>11650</v>
      </c>
      <c r="I12" s="41">
        <v>316</v>
      </c>
      <c r="J12" s="41">
        <v>167</v>
      </c>
      <c r="K12" s="41">
        <v>995.6</v>
      </c>
      <c r="L12" s="41">
        <v>1013.75</v>
      </c>
      <c r="M12" s="38">
        <v>114.55</v>
      </c>
      <c r="N12" s="42">
        <v>19.512499999999999</v>
      </c>
      <c r="O12">
        <f t="shared" si="1"/>
        <v>9.0994661239102478E-2</v>
      </c>
      <c r="P12">
        <f t="shared" si="0"/>
        <v>1.6611677666896175E-2</v>
      </c>
      <c r="Q12">
        <f t="shared" si="0"/>
        <v>-1.4303988098262759E-2</v>
      </c>
      <c r="R12">
        <f t="shared" si="0"/>
        <v>-3.3142159080588071E-3</v>
      </c>
      <c r="S12">
        <f t="shared" si="0"/>
        <v>1.9048194970694411E-2</v>
      </c>
      <c r="T12">
        <f t="shared" si="0"/>
        <v>9.1884260544061701E-3</v>
      </c>
      <c r="U12">
        <f t="shared" si="0"/>
        <v>-1.7258338229280711E-2</v>
      </c>
      <c r="V12">
        <f t="shared" si="0"/>
        <v>7.3228843283070421E-3</v>
      </c>
      <c r="W12">
        <f t="shared" si="0"/>
        <v>-1.2578782206860073E-2</v>
      </c>
      <c r="X12">
        <f t="shared" si="0"/>
        <v>-8.9419373756612821E-3</v>
      </c>
      <c r="Y12">
        <f t="shared" si="0"/>
        <v>2.1421051545821509E-2</v>
      </c>
      <c r="Z12">
        <f t="shared" si="0"/>
        <v>2.0942808498458785E-2</v>
      </c>
      <c r="AA12">
        <f t="shared" si="0"/>
        <v>1.3977635154572714E-2</v>
      </c>
      <c r="AB12">
        <f t="shared" si="0"/>
        <v>-3.4533512608138578E-3</v>
      </c>
      <c r="AE12">
        <v>0.42515508989437845</v>
      </c>
      <c r="AF12">
        <v>0.28847131207230109</v>
      </c>
      <c r="AG12">
        <v>0.28229545400382466</v>
      </c>
      <c r="AH12">
        <v>2.5405229609164362E-3</v>
      </c>
    </row>
    <row r="13" spans="1:34" ht="15.75" thickBot="1" x14ac:dyDescent="0.3">
      <c r="A13" s="41">
        <v>109.1</v>
      </c>
      <c r="B13" s="41">
        <v>613.5</v>
      </c>
      <c r="C13" s="41">
        <v>611</v>
      </c>
      <c r="D13" s="41">
        <v>4050</v>
      </c>
      <c r="E13" s="41">
        <v>81.099999999999994</v>
      </c>
      <c r="F13" s="41">
        <v>66.7</v>
      </c>
      <c r="G13" s="41">
        <v>520</v>
      </c>
      <c r="H13" s="41">
        <v>11650</v>
      </c>
      <c r="I13" s="41">
        <v>316</v>
      </c>
      <c r="J13" s="41">
        <v>168</v>
      </c>
      <c r="K13" s="41">
        <v>977.9</v>
      </c>
      <c r="L13" s="41">
        <v>1000.07</v>
      </c>
      <c r="M13" s="38">
        <v>113.74</v>
      </c>
      <c r="N13" s="42">
        <v>19.359000000000002</v>
      </c>
      <c r="O13">
        <f t="shared" si="1"/>
        <v>4.7393339999381653E-2</v>
      </c>
      <c r="P13">
        <f t="shared" si="0"/>
        <v>1.0651473091467795E-2</v>
      </c>
      <c r="Q13">
        <f t="shared" si="0"/>
        <v>3.4974422271830181E-2</v>
      </c>
      <c r="R13">
        <f t="shared" si="0"/>
        <v>3.3646156450183755E-2</v>
      </c>
      <c r="S13">
        <f t="shared" si="0"/>
        <v>1.9925939461081017E-2</v>
      </c>
      <c r="T13">
        <f t="shared" si="0"/>
        <v>1.6629256971534747E-2</v>
      </c>
      <c r="U13">
        <f t="shared" si="0"/>
        <v>5.7859370670439265E-3</v>
      </c>
      <c r="V13">
        <f t="shared" si="0"/>
        <v>0</v>
      </c>
      <c r="W13">
        <f t="shared" si="0"/>
        <v>0</v>
      </c>
      <c r="X13">
        <f t="shared" si="0"/>
        <v>5.9701669865037544E-3</v>
      </c>
      <c r="Y13">
        <f t="shared" si="0"/>
        <v>-1.793815517520753E-2</v>
      </c>
      <c r="Z13">
        <f t="shared" si="0"/>
        <v>-1.3586328897371233E-2</v>
      </c>
      <c r="AA13">
        <f t="shared" si="0"/>
        <v>-7.0962670208508764E-3</v>
      </c>
      <c r="AB13">
        <f t="shared" si="0"/>
        <v>-7.8978582197379577E-3</v>
      </c>
      <c r="AE13">
        <v>9.8566215741223942E-2</v>
      </c>
      <c r="AF13">
        <v>2.0917177455348681E-2</v>
      </c>
      <c r="AG13" t="e">
        <v>#N/A</v>
      </c>
      <c r="AH13" t="e">
        <v>#N/A</v>
      </c>
    </row>
    <row r="14" spans="1:34" ht="15.75" thickBot="1" x14ac:dyDescent="0.3">
      <c r="A14" s="41">
        <v>113.2</v>
      </c>
      <c r="B14" s="41">
        <v>605</v>
      </c>
      <c r="C14" s="41">
        <v>592</v>
      </c>
      <c r="D14" s="41">
        <v>4026</v>
      </c>
      <c r="E14" s="41">
        <v>81.3</v>
      </c>
      <c r="F14" s="41">
        <v>65.5</v>
      </c>
      <c r="G14" s="41">
        <v>524</v>
      </c>
      <c r="H14" s="41">
        <v>11630</v>
      </c>
      <c r="I14" s="41">
        <v>314</v>
      </c>
      <c r="J14" s="41">
        <v>168</v>
      </c>
      <c r="K14" s="41">
        <v>964.7</v>
      </c>
      <c r="L14" s="41">
        <v>993.06</v>
      </c>
      <c r="M14" s="38">
        <v>114.19</v>
      </c>
      <c r="N14" s="42">
        <v>19.3155</v>
      </c>
      <c r="O14">
        <f t="shared" si="1"/>
        <v>3.6891272930057444E-2</v>
      </c>
      <c r="P14">
        <f t="shared" si="0"/>
        <v>-1.3951806120124673E-2</v>
      </c>
      <c r="Q14">
        <f t="shared" si="0"/>
        <v>-3.1590324287589587E-2</v>
      </c>
      <c r="R14">
        <f t="shared" si="0"/>
        <v>-5.9435539008479941E-3</v>
      </c>
      <c r="S14">
        <f t="shared" si="0"/>
        <v>2.4630554323978138E-3</v>
      </c>
      <c r="T14">
        <f t="shared" si="0"/>
        <v>-1.8154810280371827E-2</v>
      </c>
      <c r="U14">
        <f t="shared" si="0"/>
        <v>7.6628727455690972E-3</v>
      </c>
      <c r="V14">
        <f t="shared" si="0"/>
        <v>-1.7182134811365277E-3</v>
      </c>
      <c r="W14">
        <f t="shared" si="0"/>
        <v>-6.34922767865878E-3</v>
      </c>
      <c r="X14">
        <f t="shared" si="0"/>
        <v>0</v>
      </c>
      <c r="Y14">
        <f t="shared" si="0"/>
        <v>-1.3590243141721466E-2</v>
      </c>
      <c r="Z14">
        <f t="shared" si="0"/>
        <v>-7.0341913517474198E-3</v>
      </c>
      <c r="AA14">
        <f t="shared" si="0"/>
        <v>3.9485858349029967E-3</v>
      </c>
      <c r="AB14">
        <f t="shared" si="0"/>
        <v>-2.2495452220012806E-3</v>
      </c>
      <c r="AE14">
        <v>2.3691161551215854</v>
      </c>
      <c r="AF14">
        <v>65</v>
      </c>
      <c r="AG14" t="e">
        <v>#N/A</v>
      </c>
      <c r="AH14" t="e">
        <v>#N/A</v>
      </c>
    </row>
    <row r="15" spans="1:34" ht="15.75" thickBot="1" x14ac:dyDescent="0.3">
      <c r="A15" s="41">
        <v>111.45</v>
      </c>
      <c r="B15" s="41">
        <v>599</v>
      </c>
      <c r="C15" s="41">
        <v>586.5</v>
      </c>
      <c r="D15" s="41">
        <v>4050</v>
      </c>
      <c r="E15" s="41">
        <v>87.15</v>
      </c>
      <c r="F15" s="41">
        <v>66.45</v>
      </c>
      <c r="G15" s="41">
        <v>517</v>
      </c>
      <c r="H15" s="41">
        <v>11579</v>
      </c>
      <c r="I15" s="41">
        <v>309.8</v>
      </c>
      <c r="J15" s="41">
        <v>168</v>
      </c>
      <c r="K15" s="41">
        <v>964</v>
      </c>
      <c r="L15" s="41">
        <v>1003.72</v>
      </c>
      <c r="M15" s="38">
        <v>116.23</v>
      </c>
      <c r="N15" s="42">
        <v>19.100000000000001</v>
      </c>
      <c r="O15">
        <f t="shared" si="1"/>
        <v>-1.5580105937204696E-2</v>
      </c>
      <c r="P15">
        <f t="shared" si="0"/>
        <v>-9.9668599153921473E-3</v>
      </c>
      <c r="Q15">
        <f t="shared" si="0"/>
        <v>-9.3339667904755591E-3</v>
      </c>
      <c r="R15">
        <f t="shared" si="0"/>
        <v>5.9435539008481373E-3</v>
      </c>
      <c r="S15">
        <f t="shared" si="0"/>
        <v>6.9484755412265037E-2</v>
      </c>
      <c r="T15">
        <f t="shared" si="0"/>
        <v>1.4399642518048093E-2</v>
      </c>
      <c r="U15">
        <f t="shared" si="0"/>
        <v>-1.3448809812613084E-2</v>
      </c>
      <c r="V15">
        <f t="shared" si="0"/>
        <v>-4.3948539004371092E-3</v>
      </c>
      <c r="W15">
        <f t="shared" si="0"/>
        <v>-1.3466057925485107E-2</v>
      </c>
      <c r="X15">
        <f t="shared" si="0"/>
        <v>0</v>
      </c>
      <c r="Y15">
        <f t="shared" si="0"/>
        <v>-7.2587756596238849E-4</v>
      </c>
      <c r="Z15">
        <f t="shared" si="0"/>
        <v>1.0677291713515677E-2</v>
      </c>
      <c r="AA15">
        <f t="shared" si="0"/>
        <v>1.7707258942059927E-2</v>
      </c>
      <c r="AB15">
        <f t="shared" si="0"/>
        <v>-1.1219547347226947E-2</v>
      </c>
      <c r="AE15">
        <v>3.1096661818116496E-3</v>
      </c>
      <c r="AF15">
        <v>2.8439340325405561E-2</v>
      </c>
      <c r="AG15" t="e">
        <v>#N/A</v>
      </c>
      <c r="AH15" t="e">
        <v>#N/A</v>
      </c>
    </row>
    <row r="16" spans="1:34" ht="15.75" thickBot="1" x14ac:dyDescent="0.3">
      <c r="A16" s="41">
        <v>113.1</v>
      </c>
      <c r="B16" s="41">
        <v>605.4</v>
      </c>
      <c r="C16" s="41">
        <v>602</v>
      </c>
      <c r="D16" s="41">
        <v>4085</v>
      </c>
      <c r="E16" s="41">
        <v>88.6</v>
      </c>
      <c r="F16" s="41">
        <v>68.45</v>
      </c>
      <c r="G16" s="41">
        <v>520</v>
      </c>
      <c r="H16" s="41">
        <v>11555</v>
      </c>
      <c r="I16" s="41">
        <v>307.60000000000002</v>
      </c>
      <c r="J16" s="41">
        <v>169</v>
      </c>
      <c r="K16" s="41">
        <v>963.5</v>
      </c>
      <c r="L16" s="41">
        <v>1000.9</v>
      </c>
      <c r="M16" s="38">
        <v>117.04</v>
      </c>
      <c r="N16" s="42">
        <v>18.942</v>
      </c>
      <c r="O16">
        <f t="shared" si="1"/>
        <v>1.4696323290196824E-2</v>
      </c>
      <c r="P16">
        <f t="shared" si="0"/>
        <v>1.0627798472168926E-2</v>
      </c>
      <c r="Q16">
        <f t="shared" si="0"/>
        <v>2.6084777215290858E-2</v>
      </c>
      <c r="R16">
        <f t="shared" si="0"/>
        <v>8.6048471935184275E-3</v>
      </c>
      <c r="S16">
        <f t="shared" si="0"/>
        <v>1.6501085645005197E-2</v>
      </c>
      <c r="T16">
        <f t="shared" si="0"/>
        <v>2.9653766575203556E-2</v>
      </c>
      <c r="U16">
        <f t="shared" si="0"/>
        <v>5.7859370670439265E-3</v>
      </c>
      <c r="V16">
        <f t="shared" si="0"/>
        <v>-2.074868903791932E-3</v>
      </c>
      <c r="W16">
        <f t="shared" si="0"/>
        <v>-7.1266903512793422E-3</v>
      </c>
      <c r="X16">
        <f t="shared" si="0"/>
        <v>5.9347355198145265E-3</v>
      </c>
      <c r="Y16">
        <f t="shared" si="0"/>
        <v>-5.1880675612453117E-4</v>
      </c>
      <c r="Z16">
        <f t="shared" si="0"/>
        <v>-2.813502669046689E-3</v>
      </c>
      <c r="AA16">
        <f t="shared" si="0"/>
        <v>6.9447700562522948E-3</v>
      </c>
      <c r="AB16">
        <f t="shared" si="0"/>
        <v>-8.3066562486746997E-3</v>
      </c>
    </row>
    <row r="17" spans="1:37" ht="15.75" thickBot="1" x14ac:dyDescent="0.3">
      <c r="A17" s="41">
        <v>112.5</v>
      </c>
      <c r="B17" s="41">
        <v>616.20000000000005</v>
      </c>
      <c r="C17" s="41">
        <v>585</v>
      </c>
      <c r="D17" s="41">
        <v>4084</v>
      </c>
      <c r="E17" s="41">
        <v>86</v>
      </c>
      <c r="F17" s="41">
        <v>68</v>
      </c>
      <c r="G17" s="41">
        <v>515</v>
      </c>
      <c r="H17" s="41">
        <v>11600</v>
      </c>
      <c r="I17" s="41">
        <v>308.39999999999998</v>
      </c>
      <c r="J17" s="41">
        <v>169.95</v>
      </c>
      <c r="K17" s="41">
        <v>975.9</v>
      </c>
      <c r="L17" s="41">
        <v>1003.69</v>
      </c>
      <c r="M17" s="38">
        <v>117.4</v>
      </c>
      <c r="N17" s="42">
        <v>19.024000000000001</v>
      </c>
      <c r="O17">
        <f t="shared" si="1"/>
        <v>-5.3191614775999329E-3</v>
      </c>
      <c r="P17">
        <f t="shared" si="0"/>
        <v>1.7682189574949422E-2</v>
      </c>
      <c r="Q17">
        <f t="shared" si="0"/>
        <v>-2.8645598076964564E-2</v>
      </c>
      <c r="R17">
        <f t="shared" si="0"/>
        <v>-2.4482800954711792E-4</v>
      </c>
      <c r="S17">
        <f t="shared" si="0"/>
        <v>-2.9784561357527425E-2</v>
      </c>
      <c r="T17">
        <f t="shared" si="0"/>
        <v>-6.5958465583511889E-3</v>
      </c>
      <c r="U17">
        <f t="shared" si="0"/>
        <v>-9.6619109117368589E-3</v>
      </c>
      <c r="V17">
        <f t="shared" si="0"/>
        <v>3.8868543859748054E-3</v>
      </c>
      <c r="W17">
        <f t="shared" si="0"/>
        <v>2.5974040576854712E-3</v>
      </c>
      <c r="X17">
        <f t="shared" si="0"/>
        <v>5.6055612190514699E-3</v>
      </c>
      <c r="Y17">
        <f t="shared" si="0"/>
        <v>1.2787634292994272E-2</v>
      </c>
      <c r="Z17">
        <f t="shared" si="0"/>
        <v>2.7836134087538831E-3</v>
      </c>
      <c r="AA17">
        <f t="shared" si="0"/>
        <v>3.0711506821271967E-3</v>
      </c>
      <c r="AB17">
        <f t="shared" si="0"/>
        <v>4.3196611445163796E-3</v>
      </c>
    </row>
    <row r="18" spans="1:37" ht="15.75" thickBot="1" x14ac:dyDescent="0.3">
      <c r="A18" s="41">
        <v>113.2</v>
      </c>
      <c r="B18" s="41">
        <v>618.9</v>
      </c>
      <c r="C18" s="41">
        <v>590.79999999999995</v>
      </c>
      <c r="D18" s="41">
        <v>4020</v>
      </c>
      <c r="E18" s="41">
        <v>85.3</v>
      </c>
      <c r="F18" s="41">
        <v>68.8</v>
      </c>
      <c r="G18" s="41">
        <v>524</v>
      </c>
      <c r="H18" s="41">
        <v>11700</v>
      </c>
      <c r="I18" s="41">
        <v>308</v>
      </c>
      <c r="J18" s="41">
        <v>170</v>
      </c>
      <c r="K18" s="41">
        <v>955</v>
      </c>
      <c r="L18" s="41">
        <v>999.06</v>
      </c>
      <c r="M18" s="38">
        <v>118.48</v>
      </c>
      <c r="N18" s="42">
        <v>18.956</v>
      </c>
      <c r="O18">
        <f t="shared" si="1"/>
        <v>6.202944124607865E-3</v>
      </c>
      <c r="P18">
        <f t="shared" si="0"/>
        <v>4.3721225827481197E-3</v>
      </c>
      <c r="Q18">
        <f t="shared" si="0"/>
        <v>9.8657034253681192E-3</v>
      </c>
      <c r="R18">
        <f t="shared" si="0"/>
        <v>-1.5794997671489376E-2</v>
      </c>
      <c r="S18">
        <f t="shared" si="0"/>
        <v>-8.172841755874358E-3</v>
      </c>
      <c r="T18">
        <f t="shared" si="0"/>
        <v>1.1696039763191236E-2</v>
      </c>
      <c r="U18">
        <f t="shared" si="0"/>
        <v>1.7324783657305921E-2</v>
      </c>
      <c r="V18">
        <f t="shared" si="0"/>
        <v>8.583743691391435E-3</v>
      </c>
      <c r="W18">
        <f t="shared" si="0"/>
        <v>-1.2978587155998407E-3</v>
      </c>
      <c r="X18">
        <f t="shared" si="0"/>
        <v>2.9416090813685897E-4</v>
      </c>
      <c r="Y18">
        <f t="shared" si="0"/>
        <v>-2.164878166668514E-2</v>
      </c>
      <c r="Z18">
        <f t="shared" si="0"/>
        <v>-4.6236507286465996E-3</v>
      </c>
      <c r="AA18">
        <f t="shared" si="0"/>
        <v>9.1572625655472976E-3</v>
      </c>
      <c r="AB18">
        <f t="shared" si="0"/>
        <v>-3.5808358430842006E-3</v>
      </c>
      <c r="AE18" t="s">
        <v>127</v>
      </c>
    </row>
    <row r="19" spans="1:37" ht="15.75" thickBot="1" x14ac:dyDescent="0.3">
      <c r="A19" s="41">
        <v>113.1</v>
      </c>
      <c r="B19" s="41">
        <v>625</v>
      </c>
      <c r="C19" s="41">
        <v>592.20000000000005</v>
      </c>
      <c r="D19" s="41">
        <v>3940</v>
      </c>
      <c r="E19" s="41">
        <v>87.4</v>
      </c>
      <c r="F19" s="41">
        <v>69.8</v>
      </c>
      <c r="G19" s="41">
        <v>530</v>
      </c>
      <c r="H19" s="41">
        <v>11595</v>
      </c>
      <c r="I19" s="41">
        <v>308.5</v>
      </c>
      <c r="J19" s="41">
        <v>172</v>
      </c>
      <c r="K19" s="41">
        <v>968.5</v>
      </c>
      <c r="L19" s="41">
        <v>1009.84</v>
      </c>
      <c r="M19" s="38">
        <v>118.43</v>
      </c>
      <c r="N19" s="42">
        <v>18.851999999999997</v>
      </c>
      <c r="O19">
        <f t="shared" si="1"/>
        <v>-8.8378264700790629E-4</v>
      </c>
      <c r="P19">
        <f t="shared" si="1"/>
        <v>9.8079409910856747E-3</v>
      </c>
      <c r="Q19">
        <f t="shared" si="1"/>
        <v>2.3668650102662441E-3</v>
      </c>
      <c r="R19">
        <f t="shared" si="1"/>
        <v>-2.0101179321087265E-2</v>
      </c>
      <c r="S19">
        <f t="shared" si="1"/>
        <v>2.4320828163856383E-2</v>
      </c>
      <c r="T19">
        <f t="shared" si="1"/>
        <v>1.4430264829028837E-2</v>
      </c>
      <c r="U19">
        <f t="shared" si="1"/>
        <v>1.1385322225125429E-2</v>
      </c>
      <c r="V19">
        <f t="shared" si="1"/>
        <v>-9.0148710962154269E-3</v>
      </c>
      <c r="W19">
        <f t="shared" si="1"/>
        <v>1.6220603718680509E-3</v>
      </c>
      <c r="X19">
        <f t="shared" si="1"/>
        <v>1.1696039763191236E-2</v>
      </c>
      <c r="Y19">
        <f t="shared" si="1"/>
        <v>1.4037142366320384E-2</v>
      </c>
      <c r="Z19">
        <f t="shared" si="1"/>
        <v>1.0732344539525819E-2</v>
      </c>
      <c r="AA19">
        <f t="shared" si="1"/>
        <v>-4.2210122613961103E-4</v>
      </c>
      <c r="AB19">
        <f t="shared" si="1"/>
        <v>-5.501495043857549E-3</v>
      </c>
      <c r="AK19" t="s">
        <v>17</v>
      </c>
    </row>
    <row r="20" spans="1:37" ht="15.75" thickBot="1" x14ac:dyDescent="0.3">
      <c r="A20" s="41">
        <v>110</v>
      </c>
      <c r="B20" s="41">
        <v>633.9</v>
      </c>
      <c r="C20" s="41">
        <v>608.5</v>
      </c>
      <c r="D20" s="41">
        <v>3908</v>
      </c>
      <c r="E20" s="41">
        <v>87</v>
      </c>
      <c r="F20" s="41">
        <v>69.8</v>
      </c>
      <c r="G20" s="41">
        <v>530.1</v>
      </c>
      <c r="H20" s="41">
        <v>11340</v>
      </c>
      <c r="I20" s="41">
        <v>313</v>
      </c>
      <c r="J20" s="41">
        <v>170.2</v>
      </c>
      <c r="K20" s="41">
        <v>944.9</v>
      </c>
      <c r="L20" s="41">
        <v>1002.37</v>
      </c>
      <c r="M20" s="38">
        <v>117.89</v>
      </c>
      <c r="N20" s="42">
        <v>18.8245</v>
      </c>
      <c r="O20">
        <f t="shared" si="1"/>
        <v>-2.7792017329658483E-2</v>
      </c>
      <c r="P20">
        <f t="shared" si="1"/>
        <v>1.4139563553719238E-2</v>
      </c>
      <c r="Q20">
        <f t="shared" si="1"/>
        <v>2.7152496760090933E-2</v>
      </c>
      <c r="R20">
        <f t="shared" si="1"/>
        <v>-8.1549891293061436E-3</v>
      </c>
      <c r="S20">
        <f t="shared" si="1"/>
        <v>-4.5871640069061539E-3</v>
      </c>
      <c r="T20">
        <f t="shared" si="1"/>
        <v>0</v>
      </c>
      <c r="U20">
        <f t="shared" si="1"/>
        <v>1.886614475928532E-4</v>
      </c>
      <c r="V20">
        <f t="shared" si="1"/>
        <v>-2.2237672407888924E-2</v>
      </c>
      <c r="W20">
        <f t="shared" si="1"/>
        <v>1.4481347194710656E-2</v>
      </c>
      <c r="X20">
        <f t="shared" si="1"/>
        <v>-1.0520260674179389E-2</v>
      </c>
      <c r="Y20">
        <f t="shared" si="1"/>
        <v>-2.4669381058470344E-2</v>
      </c>
      <c r="Z20">
        <f t="shared" si="1"/>
        <v>-7.4247064829906185E-3</v>
      </c>
      <c r="AA20">
        <f t="shared" si="1"/>
        <v>-4.570082429367712E-3</v>
      </c>
      <c r="AB20">
        <f t="shared" si="1"/>
        <v>-1.4597961532280997E-3</v>
      </c>
      <c r="AE20">
        <f>COUNT(Q3:Q71)</f>
        <v>69</v>
      </c>
      <c r="AF20">
        <f>SUM(Z3:Z71)</f>
        <v>-7.1945653359845929E-2</v>
      </c>
      <c r="AG20">
        <f t="shared" ref="AG20:AH20" si="2">SUM(AA3:AA71)</f>
        <v>1.9777359137847894E-2</v>
      </c>
      <c r="AH20">
        <f t="shared" si="2"/>
        <v>1.2927281312754722E-2</v>
      </c>
      <c r="AK20">
        <f>SUM(Q3:Q71)</f>
        <v>-0.17945485631187891</v>
      </c>
    </row>
    <row r="21" spans="1:37" ht="15.75" thickBot="1" x14ac:dyDescent="0.3">
      <c r="A21" s="41">
        <v>106.7</v>
      </c>
      <c r="B21" s="41">
        <v>638</v>
      </c>
      <c r="C21" s="41">
        <v>605.5</v>
      </c>
      <c r="D21" s="41">
        <v>3850</v>
      </c>
      <c r="E21" s="41">
        <v>85</v>
      </c>
      <c r="F21" s="41">
        <v>70.2</v>
      </c>
      <c r="G21" s="41">
        <v>528</v>
      </c>
      <c r="H21" s="41">
        <v>11200</v>
      </c>
      <c r="I21" s="41">
        <v>313.5</v>
      </c>
      <c r="J21" s="41">
        <v>171</v>
      </c>
      <c r="K21" s="41">
        <v>940</v>
      </c>
      <c r="L21" s="41">
        <v>998.96</v>
      </c>
      <c r="M21" s="38">
        <v>118.29</v>
      </c>
      <c r="N21" s="42">
        <v>18.837000000000003</v>
      </c>
      <c r="O21">
        <f t="shared" si="1"/>
        <v>-3.0459207484708574E-2</v>
      </c>
      <c r="P21">
        <f t="shared" si="1"/>
        <v>6.4470700546692501E-3</v>
      </c>
      <c r="Q21">
        <f t="shared" si="1"/>
        <v>-4.9423494344349216E-3</v>
      </c>
      <c r="R21">
        <f t="shared" si="1"/>
        <v>-1.4952585880843437E-2</v>
      </c>
      <c r="S21">
        <f t="shared" si="1"/>
        <v>-2.3256862164267235E-2</v>
      </c>
      <c r="T21">
        <f t="shared" si="1"/>
        <v>5.7143012634386352E-3</v>
      </c>
      <c r="U21">
        <f t="shared" si="1"/>
        <v>-3.9693842874989694E-3</v>
      </c>
      <c r="V21">
        <f t="shared" si="1"/>
        <v>-1.2422519998557209E-2</v>
      </c>
      <c r="W21">
        <f t="shared" si="1"/>
        <v>1.5961695328221347E-3</v>
      </c>
      <c r="X21">
        <f t="shared" si="1"/>
        <v>4.6893403633861208E-3</v>
      </c>
      <c r="Y21">
        <f t="shared" si="1"/>
        <v>-5.199226524530638E-3</v>
      </c>
      <c r="Z21">
        <f t="shared" si="1"/>
        <v>-3.4077371547258386E-3</v>
      </c>
      <c r="AA21">
        <f t="shared" si="1"/>
        <v>3.3872502536093827E-3</v>
      </c>
      <c r="AB21">
        <f t="shared" si="1"/>
        <v>6.6380789182596766E-4</v>
      </c>
      <c r="AE21">
        <f t="array" ref="AE21:AE23">TRANSPOSE(AF20:AH20)</f>
        <v>-7.1945653359845929E-2</v>
      </c>
      <c r="AF21">
        <f>SUMPRODUCT($Z$3:$Z$71,Z3:Z71)</f>
        <v>5.8680904906713476E-3</v>
      </c>
      <c r="AG21">
        <f t="shared" ref="AG21:AH21" si="3">SUMPRODUCT($Z$3:$Z$71,AA3:AA71)</f>
        <v>1.2794150812113353E-3</v>
      </c>
      <c r="AH21">
        <f t="shared" si="3"/>
        <v>-4.2361317652120953E-5</v>
      </c>
      <c r="AK21">
        <f>SUMPRODUCT($Q$3:$Q$71,Z3:Z71)</f>
        <v>-5.4305487173372368E-4</v>
      </c>
    </row>
    <row r="22" spans="1:37" ht="15.75" thickBot="1" x14ac:dyDescent="0.3">
      <c r="A22" s="41">
        <v>106.5</v>
      </c>
      <c r="B22" s="41">
        <v>635</v>
      </c>
      <c r="C22" s="41">
        <v>585</v>
      </c>
      <c r="D22" s="41">
        <v>3851</v>
      </c>
      <c r="E22" s="41">
        <v>83.8</v>
      </c>
      <c r="F22" s="41">
        <v>70.150000000000006</v>
      </c>
      <c r="G22" s="41">
        <v>530</v>
      </c>
      <c r="H22" s="41">
        <v>11554</v>
      </c>
      <c r="I22" s="41">
        <v>328.7</v>
      </c>
      <c r="J22" s="41">
        <v>169</v>
      </c>
      <c r="K22" s="41">
        <v>940.4</v>
      </c>
      <c r="L22" s="41">
        <v>994.13</v>
      </c>
      <c r="M22" s="38">
        <v>118.9</v>
      </c>
      <c r="N22" s="42">
        <v>18.878499999999999</v>
      </c>
      <c r="O22">
        <f t="shared" si="1"/>
        <v>-1.8761731582278519E-3</v>
      </c>
      <c r="P22">
        <f t="shared" si="1"/>
        <v>-4.7132844520982016E-3</v>
      </c>
      <c r="Q22">
        <f t="shared" si="1"/>
        <v>-3.4442715761290404E-2</v>
      </c>
      <c r="R22">
        <f t="shared" si="1"/>
        <v>2.597065330789053E-4</v>
      </c>
      <c r="S22">
        <f t="shared" si="1"/>
        <v>-1.4218249002279137E-2</v>
      </c>
      <c r="T22">
        <f t="shared" si="1"/>
        <v>-7.1250448329544997E-4</v>
      </c>
      <c r="U22">
        <f t="shared" si="1"/>
        <v>3.7807228399061523E-3</v>
      </c>
      <c r="V22">
        <f t="shared" si="1"/>
        <v>3.111791905802502E-2</v>
      </c>
      <c r="W22">
        <f t="shared" si="1"/>
        <v>4.7346120597198213E-2</v>
      </c>
      <c r="X22">
        <f t="shared" si="1"/>
        <v>-1.176484157958637E-2</v>
      </c>
      <c r="Y22">
        <f t="shared" si="1"/>
        <v>4.2544140186483246E-4</v>
      </c>
      <c r="Z22">
        <f t="shared" si="1"/>
        <v>-4.8467549936405951E-3</v>
      </c>
      <c r="AA22">
        <f t="shared" si="1"/>
        <v>5.1435671390906504E-3</v>
      </c>
      <c r="AB22">
        <f t="shared" si="1"/>
        <v>2.2006876084788214E-3</v>
      </c>
      <c r="AE22">
        <v>1.9777359137847894E-2</v>
      </c>
      <c r="AF22">
        <f t="array" ref="AF22:AF23">TRANSPOSE(AG21:AH21)</f>
        <v>1.2794150812113353E-3</v>
      </c>
      <c r="AG22">
        <f>SUMPRODUCT($AA$3:$AA$71,AA3:AA71)</f>
        <v>5.6217854026198964E-3</v>
      </c>
      <c r="AH22">
        <f>SUMPRODUCT($AA$3:$AA$71,AB3:AB71)</f>
        <v>-4.0685073850768485E-4</v>
      </c>
      <c r="AK22">
        <f>SUMPRODUCT($Q$3:$Q$71,AA3:AA71)</f>
        <v>-2.1512134763698293E-3</v>
      </c>
    </row>
    <row r="23" spans="1:37" ht="15.75" thickBot="1" x14ac:dyDescent="0.3">
      <c r="A23" s="41">
        <v>103.3</v>
      </c>
      <c r="B23" s="41">
        <v>628</v>
      </c>
      <c r="C23" s="41">
        <v>587.4</v>
      </c>
      <c r="D23" s="41">
        <v>3788</v>
      </c>
      <c r="E23" s="41">
        <v>80.599999999999994</v>
      </c>
      <c r="F23" s="41">
        <v>71.5</v>
      </c>
      <c r="G23" s="41">
        <v>533</v>
      </c>
      <c r="H23" s="41">
        <v>11450</v>
      </c>
      <c r="I23" s="41">
        <v>328.8</v>
      </c>
      <c r="J23" s="41">
        <v>168.5</v>
      </c>
      <c r="K23" s="41">
        <v>963</v>
      </c>
      <c r="L23" s="41">
        <v>986.17</v>
      </c>
      <c r="M23" s="38">
        <v>117.17</v>
      </c>
      <c r="N23" s="42">
        <v>18.843499999999999</v>
      </c>
      <c r="O23">
        <f t="shared" si="1"/>
        <v>-3.0507609023886977E-2</v>
      </c>
      <c r="P23">
        <f t="shared" si="1"/>
        <v>-1.108483242449293E-2</v>
      </c>
      <c r="Q23">
        <f t="shared" si="1"/>
        <v>4.0941715326631468E-3</v>
      </c>
      <c r="R23">
        <f t="shared" si="1"/>
        <v>-1.6494679508940076E-2</v>
      </c>
      <c r="S23">
        <f t="shared" si="1"/>
        <v>-3.8934357975454768E-2</v>
      </c>
      <c r="T23">
        <f t="shared" si="1"/>
        <v>1.9061643151491867E-2</v>
      </c>
      <c r="U23">
        <f t="shared" si="1"/>
        <v>5.6444176196771313E-3</v>
      </c>
      <c r="V23">
        <f t="shared" si="1"/>
        <v>-9.0419673588251204E-3</v>
      </c>
      <c r="W23">
        <f t="shared" si="1"/>
        <v>3.0418251185130603E-4</v>
      </c>
      <c r="X23">
        <f t="shared" si="1"/>
        <v>-2.9629651306570721E-3</v>
      </c>
      <c r="Y23">
        <f t="shared" si="1"/>
        <v>2.3748095132211162E-2</v>
      </c>
      <c r="Z23">
        <f t="shared" si="1"/>
        <v>-8.0392292790602109E-3</v>
      </c>
      <c r="AA23">
        <f t="shared" si="1"/>
        <v>-1.4656932016672002E-2</v>
      </c>
      <c r="AB23">
        <f t="shared" si="1"/>
        <v>-1.8556815674513148E-3</v>
      </c>
      <c r="AE23">
        <v>1.2927281312754722E-2</v>
      </c>
      <c r="AF23">
        <v>-4.2361317652120953E-5</v>
      </c>
      <c r="AG23">
        <f>AH22</f>
        <v>-4.0685073850768485E-4</v>
      </c>
      <c r="AH23" s="43">
        <f>SUMPRODUCT(AB3:AB71,AB3:AB71)</f>
        <v>2.4537669302597538E-3</v>
      </c>
      <c r="AK23">
        <f>SUMPRODUCT($Q$3:$Q$71,AB3:AB71)</f>
        <v>-2.2495981328383794E-3</v>
      </c>
    </row>
    <row r="24" spans="1:37" ht="15.75" thickBot="1" x14ac:dyDescent="0.3">
      <c r="A24" s="41">
        <v>101</v>
      </c>
      <c r="B24" s="41">
        <v>626.70000000000005</v>
      </c>
      <c r="C24" s="41">
        <v>578</v>
      </c>
      <c r="D24" s="41">
        <v>3800</v>
      </c>
      <c r="E24" s="41">
        <v>81</v>
      </c>
      <c r="F24" s="41">
        <v>69</v>
      </c>
      <c r="G24" s="41">
        <v>528.6</v>
      </c>
      <c r="H24" s="41">
        <v>11565</v>
      </c>
      <c r="I24" s="41">
        <v>328.2</v>
      </c>
      <c r="J24" s="41">
        <v>170.85</v>
      </c>
      <c r="K24" s="41">
        <v>972.1</v>
      </c>
      <c r="L24" s="41">
        <v>998.74</v>
      </c>
      <c r="M24" s="38">
        <v>117.03</v>
      </c>
      <c r="N24" s="42">
        <v>18.863500000000002</v>
      </c>
      <c r="O24">
        <f t="shared" si="1"/>
        <v>-2.2516859284333404E-2</v>
      </c>
      <c r="P24">
        <f t="shared" si="1"/>
        <v>-2.0722092375687986E-3</v>
      </c>
      <c r="Q24">
        <f t="shared" si="1"/>
        <v>-1.6132150092142188E-2</v>
      </c>
      <c r="R24">
        <f t="shared" si="1"/>
        <v>3.162891408508217E-3</v>
      </c>
      <c r="S24">
        <f t="shared" si="1"/>
        <v>4.9505051598562047E-3</v>
      </c>
      <c r="T24">
        <f t="shared" si="1"/>
        <v>-3.559094510270263E-2</v>
      </c>
      <c r="U24">
        <f t="shared" si="1"/>
        <v>-8.289421995655636E-3</v>
      </c>
      <c r="V24">
        <f t="shared" si="1"/>
        <v>9.9935656831537517E-3</v>
      </c>
      <c r="W24">
        <f t="shared" si="1"/>
        <v>-1.8264845260344098E-3</v>
      </c>
      <c r="X24">
        <f t="shared" si="1"/>
        <v>1.3850228768884318E-2</v>
      </c>
      <c r="Y24">
        <f t="shared" si="1"/>
        <v>9.4052680288978074E-3</v>
      </c>
      <c r="Z24">
        <f t="shared" si="1"/>
        <v>1.2665730980525258E-2</v>
      </c>
      <c r="AA24">
        <f t="shared" si="1"/>
        <v>-1.1955594933894201E-3</v>
      </c>
      <c r="AB24">
        <f t="shared" si="1"/>
        <v>1.0608110894812829E-3</v>
      </c>
    </row>
    <row r="25" spans="1:37" ht="15.75" thickBot="1" x14ac:dyDescent="0.3">
      <c r="A25" s="41">
        <v>105.2</v>
      </c>
      <c r="B25" s="41">
        <v>615</v>
      </c>
      <c r="C25" s="41">
        <v>597.79999999999995</v>
      </c>
      <c r="D25" s="41">
        <v>3780</v>
      </c>
      <c r="E25" s="41">
        <v>83.45</v>
      </c>
      <c r="F25" s="41">
        <v>70.099999999999994</v>
      </c>
      <c r="G25" s="41">
        <v>529</v>
      </c>
      <c r="H25" s="41">
        <v>11500</v>
      </c>
      <c r="I25" s="41">
        <v>329</v>
      </c>
      <c r="J25" s="41">
        <v>169</v>
      </c>
      <c r="K25" s="41">
        <v>999.2</v>
      </c>
      <c r="L25" s="41">
        <v>1007.53</v>
      </c>
      <c r="M25" s="38">
        <v>116.06</v>
      </c>
      <c r="N25" s="42">
        <v>18.990000000000002</v>
      </c>
      <c r="O25">
        <f t="shared" si="1"/>
        <v>4.0742783462350073E-2</v>
      </c>
      <c r="P25">
        <f t="shared" si="1"/>
        <v>-1.8845689424111977E-2</v>
      </c>
      <c r="Q25">
        <f t="shared" si="1"/>
        <v>3.3682381177459988E-2</v>
      </c>
      <c r="R25">
        <f t="shared" si="1"/>
        <v>-5.2770571008437812E-3</v>
      </c>
      <c r="S25">
        <f t="shared" si="1"/>
        <v>2.9798495435405404E-2</v>
      </c>
      <c r="T25">
        <f t="shared" si="1"/>
        <v>1.5816289443285007E-2</v>
      </c>
      <c r="U25">
        <f t="shared" si="1"/>
        <v>7.564296881105749E-4</v>
      </c>
      <c r="V25">
        <f t="shared" si="1"/>
        <v>-5.6362603141981021E-3</v>
      </c>
      <c r="W25">
        <f t="shared" si="1"/>
        <v>2.4345721093814538E-3</v>
      </c>
      <c r="X25">
        <f t="shared" si="1"/>
        <v>-1.0887263638227368E-2</v>
      </c>
      <c r="Y25">
        <f t="shared" si="1"/>
        <v>2.7496278984344633E-2</v>
      </c>
      <c r="Z25">
        <f t="shared" si="1"/>
        <v>8.7625855377452145E-3</v>
      </c>
      <c r="AA25">
        <f t="shared" si="1"/>
        <v>-8.3230134242126257E-3</v>
      </c>
      <c r="AB25">
        <f t="shared" si="1"/>
        <v>6.6836868936035188E-3</v>
      </c>
      <c r="AE25" t="s">
        <v>15</v>
      </c>
    </row>
    <row r="26" spans="1:37" ht="15.75" thickBot="1" x14ac:dyDescent="0.3">
      <c r="A26" s="41">
        <v>108</v>
      </c>
      <c r="B26" s="41">
        <v>612</v>
      </c>
      <c r="C26" s="41">
        <v>610</v>
      </c>
      <c r="D26" s="41">
        <v>3780</v>
      </c>
      <c r="E26" s="41">
        <v>83</v>
      </c>
      <c r="F26" s="41">
        <v>70.400000000000006</v>
      </c>
      <c r="G26" s="41">
        <v>529</v>
      </c>
      <c r="H26" s="41">
        <v>11570</v>
      </c>
      <c r="I26" s="41">
        <v>326</v>
      </c>
      <c r="J26" s="41">
        <v>169.85</v>
      </c>
      <c r="K26" s="41">
        <v>1003</v>
      </c>
      <c r="L26" s="41">
        <v>1016.81</v>
      </c>
      <c r="M26" s="38">
        <v>115.55</v>
      </c>
      <c r="N26" s="42">
        <v>18.831</v>
      </c>
      <c r="O26">
        <f t="shared" si="1"/>
        <v>2.6267926820610105E-2</v>
      </c>
      <c r="P26">
        <f t="shared" si="1"/>
        <v>-4.8899852941917919E-3</v>
      </c>
      <c r="Q26">
        <f t="shared" si="1"/>
        <v>2.0202707317519469E-2</v>
      </c>
      <c r="R26">
        <f t="shared" si="1"/>
        <v>0</v>
      </c>
      <c r="S26">
        <f t="shared" si="1"/>
        <v>-5.4070423112461659E-3</v>
      </c>
      <c r="T26">
        <f t="shared" si="1"/>
        <v>4.2704691234525059E-3</v>
      </c>
      <c r="U26">
        <f t="shared" si="1"/>
        <v>0</v>
      </c>
      <c r="V26">
        <f t="shared" si="1"/>
        <v>6.0685058363808787E-3</v>
      </c>
      <c r="W26">
        <f t="shared" si="1"/>
        <v>-9.1603693986642785E-3</v>
      </c>
      <c r="X26">
        <f t="shared" si="1"/>
        <v>5.0169796835194003E-3</v>
      </c>
      <c r="Y26">
        <f t="shared" si="1"/>
        <v>3.7958291505674775E-3</v>
      </c>
      <c r="Z26">
        <f t="shared" si="1"/>
        <v>9.1684845501907534E-3</v>
      </c>
      <c r="AA26">
        <f t="shared" si="1"/>
        <v>-4.4039620420725512E-3</v>
      </c>
      <c r="AB26">
        <f t="shared" si="1"/>
        <v>-8.4080768206902488E-3</v>
      </c>
      <c r="AE26">
        <f t="array" ref="AE26:AH29">MINVERSE(AE20:AH23)</f>
        <v>1.4751632586096295E-2</v>
      </c>
      <c r="AF26">
        <v>0.20303545892892044</v>
      </c>
      <c r="AG26">
        <v>-0.10473059465316598</v>
      </c>
      <c r="AH26">
        <v>-9.1576494776435965E-2</v>
      </c>
      <c r="AJ26" t="s">
        <v>33</v>
      </c>
      <c r="AK26" s="46">
        <f t="array" ref="AK26:AK29">MMULT(AE26:AH29,AK20:AK23)</f>
        <v>-2.3262033229425137E-3</v>
      </c>
    </row>
    <row r="27" spans="1:37" ht="15.75" thickBot="1" x14ac:dyDescent="0.3">
      <c r="A27" s="41">
        <v>110.7</v>
      </c>
      <c r="B27" s="41">
        <v>613.79999999999995</v>
      </c>
      <c r="C27" s="41">
        <v>632.29999999999995</v>
      </c>
      <c r="D27" s="41">
        <v>3790</v>
      </c>
      <c r="E27" s="41">
        <v>83</v>
      </c>
      <c r="F27" s="41">
        <v>70.75</v>
      </c>
      <c r="G27" s="41">
        <v>522.5</v>
      </c>
      <c r="H27" s="41">
        <v>11490</v>
      </c>
      <c r="I27" s="41">
        <v>325.89999999999998</v>
      </c>
      <c r="J27" s="41">
        <v>169</v>
      </c>
      <c r="K27" s="41">
        <v>1002</v>
      </c>
      <c r="L27" s="41">
        <v>1021.44</v>
      </c>
      <c r="M27" s="38">
        <v>115.55</v>
      </c>
      <c r="N27" s="42">
        <v>18.901</v>
      </c>
      <c r="O27">
        <f t="shared" si="1"/>
        <v>2.4692612590371633E-2</v>
      </c>
      <c r="P27">
        <f t="shared" si="1"/>
        <v>2.9368596733097057E-3</v>
      </c>
      <c r="Q27">
        <f t="shared" si="1"/>
        <v>3.5905007897210538E-2</v>
      </c>
      <c r="R27">
        <f t="shared" si="1"/>
        <v>2.6420094628385759E-3</v>
      </c>
      <c r="S27">
        <f t="shared" si="1"/>
        <v>0</v>
      </c>
      <c r="T27">
        <f t="shared" si="1"/>
        <v>4.9592733593502086E-3</v>
      </c>
      <c r="U27">
        <f t="shared" si="1"/>
        <v>-1.2363448019333319E-2</v>
      </c>
      <c r="V27">
        <f t="shared" si="1"/>
        <v>-6.9384493449208672E-3</v>
      </c>
      <c r="W27">
        <f t="shared" si="1"/>
        <v>-3.0679552319189465E-4</v>
      </c>
      <c r="X27">
        <f t="shared" si="1"/>
        <v>-5.0169796835193778E-3</v>
      </c>
      <c r="Y27">
        <f t="shared" si="1"/>
        <v>-9.975063171254136E-4</v>
      </c>
      <c r="Z27">
        <f t="shared" si="1"/>
        <v>4.5431207786843664E-3</v>
      </c>
      <c r="AA27">
        <f t="shared" si="1"/>
        <v>0</v>
      </c>
      <c r="AB27">
        <f t="shared" si="1"/>
        <v>3.7103827153148559E-3</v>
      </c>
      <c r="AE27">
        <v>0.20303545892892044</v>
      </c>
      <c r="AF27">
        <v>182.13843776124187</v>
      </c>
      <c r="AG27">
        <v>-42.525775955956007</v>
      </c>
      <c r="AH27">
        <v>-4.9763143671407351</v>
      </c>
      <c r="AJ27" t="s">
        <v>126</v>
      </c>
      <c r="AK27" s="45">
        <v>-3.2670135226244588E-2</v>
      </c>
    </row>
    <row r="28" spans="1:37" ht="15.75" thickBot="1" x14ac:dyDescent="0.3">
      <c r="A28" s="41">
        <v>110.05</v>
      </c>
      <c r="B28" s="41">
        <v>612.1</v>
      </c>
      <c r="C28" s="41">
        <v>643</v>
      </c>
      <c r="D28" s="41">
        <v>3818</v>
      </c>
      <c r="E28" s="41">
        <v>88.5</v>
      </c>
      <c r="F28" s="41">
        <v>69.900000000000006</v>
      </c>
      <c r="G28" s="41">
        <v>526</v>
      </c>
      <c r="H28" s="41">
        <v>11420</v>
      </c>
      <c r="I28" s="41">
        <v>326.8</v>
      </c>
      <c r="J28" s="41">
        <v>170.4</v>
      </c>
      <c r="K28" s="41">
        <v>995</v>
      </c>
      <c r="L28" s="41">
        <v>1017.86</v>
      </c>
      <c r="M28" s="38">
        <v>115.42</v>
      </c>
      <c r="N28" s="42">
        <v>18.88</v>
      </c>
      <c r="O28">
        <f t="shared" si="1"/>
        <v>-5.889031742120571E-3</v>
      </c>
      <c r="P28">
        <f t="shared" si="1"/>
        <v>-2.773474328611491E-3</v>
      </c>
      <c r="Q28">
        <f t="shared" si="1"/>
        <v>1.6780759173051989E-2</v>
      </c>
      <c r="R28">
        <f t="shared" si="1"/>
        <v>7.3607062092209069E-3</v>
      </c>
      <c r="S28">
        <f t="shared" si="1"/>
        <v>6.4161944217285855E-2</v>
      </c>
      <c r="T28">
        <f t="shared" si="1"/>
        <v>-1.2086887283582317E-2</v>
      </c>
      <c r="U28">
        <f t="shared" si="1"/>
        <v>6.676228898743892E-3</v>
      </c>
      <c r="V28">
        <f t="shared" si="1"/>
        <v>-6.1108876328001488E-3</v>
      </c>
      <c r="W28">
        <f t="shared" si="1"/>
        <v>2.7577771423320579E-3</v>
      </c>
      <c r="X28">
        <f t="shared" si="1"/>
        <v>8.2498994721418393E-3</v>
      </c>
      <c r="Y28">
        <f t="shared" si="1"/>
        <v>-7.0105444862173004E-3</v>
      </c>
      <c r="Z28">
        <f t="shared" si="1"/>
        <v>-3.5110122861924686E-3</v>
      </c>
      <c r="AA28">
        <f t="shared" si="1"/>
        <v>-1.1256874375693456E-3</v>
      </c>
      <c r="AB28">
        <f t="shared" si="1"/>
        <v>-1.1116700014647102E-3</v>
      </c>
      <c r="AE28">
        <v>-0.10473059465316598</v>
      </c>
      <c r="AF28">
        <v>-42.525775955956007</v>
      </c>
      <c r="AG28">
        <v>190.19500103996637</v>
      </c>
      <c r="AH28">
        <v>31.353185846748886</v>
      </c>
      <c r="AJ28" t="s">
        <v>125</v>
      </c>
      <c r="AK28" s="44">
        <v>-0.43779387409265003</v>
      </c>
    </row>
    <row r="29" spans="1:37" ht="15.75" thickBot="1" x14ac:dyDescent="0.3">
      <c r="A29" s="41">
        <v>114.5</v>
      </c>
      <c r="B29" s="41">
        <v>615</v>
      </c>
      <c r="C29" s="41">
        <v>631.1</v>
      </c>
      <c r="D29" s="41">
        <v>3808</v>
      </c>
      <c r="E29" s="41">
        <v>87.4</v>
      </c>
      <c r="F29" s="41">
        <v>70</v>
      </c>
      <c r="G29" s="41">
        <v>526</v>
      </c>
      <c r="H29" s="41">
        <v>11250</v>
      </c>
      <c r="I29" s="41">
        <v>325.5</v>
      </c>
      <c r="J29" s="41">
        <v>169.95</v>
      </c>
      <c r="K29" s="41">
        <v>995</v>
      </c>
      <c r="L29" s="41">
        <v>1019.97</v>
      </c>
      <c r="M29" s="38">
        <v>115.22</v>
      </c>
      <c r="N29" s="42">
        <v>19.020499999999998</v>
      </c>
      <c r="O29">
        <f t="shared" si="1"/>
        <v>3.9640015021823655E-2</v>
      </c>
      <c r="P29">
        <f t="shared" si="1"/>
        <v>4.7265999494936674E-3</v>
      </c>
      <c r="Q29">
        <f t="shared" si="1"/>
        <v>-1.8680395647425473E-2</v>
      </c>
      <c r="R29">
        <f t="shared" si="1"/>
        <v>-2.6226083744369947E-3</v>
      </c>
      <c r="S29">
        <f t="shared" si="1"/>
        <v>-1.2507269352394008E-2</v>
      </c>
      <c r="T29">
        <f t="shared" si="1"/>
        <v>1.4295928095943715E-3</v>
      </c>
      <c r="U29">
        <f t="shared" si="1"/>
        <v>0</v>
      </c>
      <c r="V29">
        <f t="shared" si="1"/>
        <v>-1.4998075577435009E-2</v>
      </c>
      <c r="W29">
        <f t="shared" si="1"/>
        <v>-3.9859013372239155E-3</v>
      </c>
      <c r="X29">
        <f t="shared" si="1"/>
        <v>-2.644338253090424E-3</v>
      </c>
      <c r="Y29">
        <f t="shared" si="1"/>
        <v>0</v>
      </c>
      <c r="Z29">
        <f t="shared" si="1"/>
        <v>2.0708309859341972E-3</v>
      </c>
      <c r="AA29">
        <f t="shared" si="1"/>
        <v>-1.7343049785833477E-3</v>
      </c>
      <c r="AB29">
        <f t="shared" si="1"/>
        <v>7.4141841721337438E-3</v>
      </c>
      <c r="AE29">
        <v>-9.1576494776435965E-2</v>
      </c>
      <c r="AF29">
        <v>-4.9763143671407351</v>
      </c>
      <c r="AG29">
        <v>31.35318584674889</v>
      </c>
      <c r="AH29">
        <v>413.1317796287089</v>
      </c>
      <c r="AJ29" t="s">
        <v>124</v>
      </c>
      <c r="AK29" s="43">
        <v>-0.97769161751758926</v>
      </c>
    </row>
    <row r="30" spans="1:37" ht="15.75" thickBot="1" x14ac:dyDescent="0.3">
      <c r="A30" s="41">
        <v>115.2</v>
      </c>
      <c r="B30" s="41">
        <v>615</v>
      </c>
      <c r="C30" s="41">
        <v>632.5</v>
      </c>
      <c r="D30" s="41">
        <v>3838</v>
      </c>
      <c r="E30" s="41">
        <v>88</v>
      </c>
      <c r="F30" s="41">
        <v>72.5</v>
      </c>
      <c r="G30" s="41">
        <v>512</v>
      </c>
      <c r="H30" s="41">
        <v>11220</v>
      </c>
      <c r="I30" s="41">
        <v>326.5</v>
      </c>
      <c r="J30" s="41">
        <v>170.5</v>
      </c>
      <c r="K30" s="41">
        <v>1003</v>
      </c>
      <c r="L30" s="41">
        <v>1012.57</v>
      </c>
      <c r="M30" s="38">
        <v>113.92</v>
      </c>
      <c r="N30" s="42">
        <v>19.102</v>
      </c>
      <c r="O30">
        <f t="shared" si="1"/>
        <v>6.0949252674965615E-3</v>
      </c>
      <c r="P30">
        <f t="shared" si="1"/>
        <v>0</v>
      </c>
      <c r="Q30">
        <f t="shared" si="1"/>
        <v>2.2158920114813824E-3</v>
      </c>
      <c r="R30">
        <f t="shared" si="1"/>
        <v>7.8472806563892605E-3</v>
      </c>
      <c r="S30">
        <f t="shared" si="1"/>
        <v>6.8415318167165638E-3</v>
      </c>
      <c r="T30">
        <f t="shared" si="1"/>
        <v>3.5091319811270193E-2</v>
      </c>
      <c r="U30">
        <f t="shared" si="1"/>
        <v>-2.6976587698202083E-2</v>
      </c>
      <c r="V30">
        <f t="shared" si="1"/>
        <v>-2.6702285558789208E-3</v>
      </c>
      <c r="W30">
        <f t="shared" si="1"/>
        <v>3.0674870678618796E-3</v>
      </c>
      <c r="X30">
        <f t="shared" si="1"/>
        <v>3.23102058144654E-3</v>
      </c>
      <c r="Y30">
        <f t="shared" si="1"/>
        <v>8.0080508033427509E-3</v>
      </c>
      <c r="Z30">
        <f t="shared" si="1"/>
        <v>-7.2815616876825391E-3</v>
      </c>
      <c r="AA30">
        <f t="shared" si="1"/>
        <v>-1.1346896640571433E-2</v>
      </c>
      <c r="AB30">
        <f t="shared" si="1"/>
        <v>4.2756967230574072E-3</v>
      </c>
    </row>
    <row r="31" spans="1:37" ht="15.75" thickBot="1" x14ac:dyDescent="0.3">
      <c r="A31" s="41">
        <v>109.5</v>
      </c>
      <c r="B31" s="41">
        <v>613</v>
      </c>
      <c r="C31" s="41">
        <v>627.6</v>
      </c>
      <c r="D31" s="41">
        <v>3745</v>
      </c>
      <c r="E31" s="41">
        <v>90.5</v>
      </c>
      <c r="F31" s="41">
        <v>73.7</v>
      </c>
      <c r="G31" s="41">
        <v>503.7</v>
      </c>
      <c r="H31" s="41">
        <v>11175</v>
      </c>
      <c r="I31" s="41">
        <v>322.5</v>
      </c>
      <c r="J31" s="41">
        <v>170</v>
      </c>
      <c r="K31" s="41">
        <v>1000</v>
      </c>
      <c r="L31" s="41">
        <v>1024.29</v>
      </c>
      <c r="M31" s="38">
        <v>113.88</v>
      </c>
      <c r="N31" s="42">
        <v>18.982999999999997</v>
      </c>
      <c r="O31">
        <f t="shared" si="1"/>
        <v>-5.0745199005235435E-2</v>
      </c>
      <c r="P31">
        <f t="shared" si="1"/>
        <v>-3.2573318703065105E-3</v>
      </c>
      <c r="Q31">
        <f t="shared" si="1"/>
        <v>-7.7771997427977507E-3</v>
      </c>
      <c r="R31">
        <f t="shared" si="1"/>
        <v>-2.4529780616325408E-2</v>
      </c>
      <c r="S31">
        <f t="shared" si="1"/>
        <v>2.8013036227673888E-2</v>
      </c>
      <c r="T31">
        <f t="shared" si="1"/>
        <v>1.6416237334661948E-2</v>
      </c>
      <c r="U31">
        <f t="shared" si="1"/>
        <v>-1.6343772287902979E-2</v>
      </c>
      <c r="V31">
        <f t="shared" si="1"/>
        <v>-4.0187595949177438E-3</v>
      </c>
      <c r="W31">
        <f t="shared" si="1"/>
        <v>-1.2326812480658521E-2</v>
      </c>
      <c r="X31">
        <f t="shared" si="1"/>
        <v>-2.9368596733097135E-3</v>
      </c>
      <c r="Y31">
        <f t="shared" si="1"/>
        <v>-2.9955089797984512E-3</v>
      </c>
      <c r="Z31">
        <f t="shared" si="1"/>
        <v>1.1508036236623886E-2</v>
      </c>
      <c r="AA31">
        <f t="shared" si="1"/>
        <v>-3.5118525382891997E-4</v>
      </c>
      <c r="AB31">
        <f t="shared" si="1"/>
        <v>-6.249199804141202E-3</v>
      </c>
    </row>
    <row r="32" spans="1:37" ht="15.75" thickBot="1" x14ac:dyDescent="0.3">
      <c r="A32" s="41">
        <v>110.05</v>
      </c>
      <c r="B32" s="41">
        <v>617</v>
      </c>
      <c r="C32" s="41">
        <v>633.29999999999995</v>
      </c>
      <c r="D32" s="41">
        <v>3899</v>
      </c>
      <c r="E32" s="41">
        <v>90</v>
      </c>
      <c r="F32" s="41">
        <v>70</v>
      </c>
      <c r="G32" s="41">
        <v>501</v>
      </c>
      <c r="H32" s="41">
        <v>11050</v>
      </c>
      <c r="I32" s="41">
        <v>327</v>
      </c>
      <c r="J32" s="41">
        <v>171.95</v>
      </c>
      <c r="K32" s="41">
        <v>1018</v>
      </c>
      <c r="L32" s="41">
        <v>1021.86</v>
      </c>
      <c r="M32" s="38">
        <v>114.59</v>
      </c>
      <c r="N32" s="42">
        <v>19.118000000000002</v>
      </c>
      <c r="O32">
        <f t="shared" si="1"/>
        <v>5.0102587159151241E-3</v>
      </c>
      <c r="P32">
        <f t="shared" si="1"/>
        <v>6.5040879691764825E-3</v>
      </c>
      <c r="Q32">
        <f t="shared" si="1"/>
        <v>9.0412226635070096E-3</v>
      </c>
      <c r="R32">
        <f t="shared" si="1"/>
        <v>4.029849303127752E-2</v>
      </c>
      <c r="S32">
        <f t="shared" si="1"/>
        <v>-5.5401803756153561E-3</v>
      </c>
      <c r="T32">
        <f t="shared" si="1"/>
        <v>-5.1507557145931922E-2</v>
      </c>
      <c r="U32">
        <f t="shared" si="1"/>
        <v>-5.3747516667399823E-3</v>
      </c>
      <c r="V32">
        <f t="shared" si="1"/>
        <v>-1.1248712535870653E-2</v>
      </c>
      <c r="W32">
        <f t="shared" si="1"/>
        <v>1.3857034661426281E-2</v>
      </c>
      <c r="X32">
        <f t="shared" si="1"/>
        <v>1.1405299828013454E-2</v>
      </c>
      <c r="Y32">
        <f t="shared" si="1"/>
        <v>1.7839918128331016E-2</v>
      </c>
      <c r="Z32">
        <f t="shared" si="1"/>
        <v>-2.3751935512182519E-3</v>
      </c>
      <c r="AA32">
        <f t="shared" si="1"/>
        <v>6.2152780285201232E-3</v>
      </c>
      <c r="AB32">
        <f t="shared" si="1"/>
        <v>7.0864578331663753E-3</v>
      </c>
    </row>
    <row r="33" spans="1:28" ht="15.75" thickBot="1" x14ac:dyDescent="0.3">
      <c r="A33" s="41">
        <v>109</v>
      </c>
      <c r="B33" s="41">
        <v>622</v>
      </c>
      <c r="C33" s="41">
        <v>614.29999999999995</v>
      </c>
      <c r="D33" s="41">
        <v>3887</v>
      </c>
      <c r="E33" s="41">
        <v>87.9</v>
      </c>
      <c r="F33" s="41">
        <v>72</v>
      </c>
      <c r="G33" s="41">
        <v>505</v>
      </c>
      <c r="H33" s="41">
        <v>10860</v>
      </c>
      <c r="I33" s="41">
        <v>327</v>
      </c>
      <c r="J33" s="41">
        <v>171.8</v>
      </c>
      <c r="K33" s="41">
        <v>995.9</v>
      </c>
      <c r="L33" s="41">
        <v>1026.82</v>
      </c>
      <c r="M33" s="38">
        <v>113.68</v>
      </c>
      <c r="N33" s="42">
        <v>19.222999999999999</v>
      </c>
      <c r="O33">
        <f t="shared" si="1"/>
        <v>-9.5869257433269569E-3</v>
      </c>
      <c r="P33">
        <f t="shared" si="1"/>
        <v>8.0710688337917204E-3</v>
      </c>
      <c r="Q33">
        <f t="shared" si="1"/>
        <v>-3.0460835352502894E-2</v>
      </c>
      <c r="R33">
        <f t="shared" si="1"/>
        <v>-3.0824581303742168E-3</v>
      </c>
      <c r="S33">
        <f t="shared" si="1"/>
        <v>-2.3609865639133736E-2</v>
      </c>
      <c r="T33">
        <f t="shared" si="1"/>
        <v>2.8170876966696224E-2</v>
      </c>
      <c r="U33">
        <f t="shared" si="1"/>
        <v>7.9523281904950154E-3</v>
      </c>
      <c r="V33">
        <f t="shared" si="1"/>
        <v>-1.7344113457972495E-2</v>
      </c>
      <c r="W33">
        <f t="shared" si="1"/>
        <v>0</v>
      </c>
      <c r="X33">
        <f t="shared" si="1"/>
        <v>-8.7272732812011507E-4</v>
      </c>
      <c r="Y33">
        <f t="shared" si="1"/>
        <v>-2.1948346172874167E-2</v>
      </c>
      <c r="Z33">
        <f t="shared" si="1"/>
        <v>4.8421517183635607E-3</v>
      </c>
      <c r="AA33">
        <f t="shared" si="1"/>
        <v>-7.9730566495116277E-3</v>
      </c>
      <c r="AB33">
        <f t="shared" si="1"/>
        <v>5.477179129152172E-3</v>
      </c>
    </row>
    <row r="34" spans="1:28" ht="15.75" thickBot="1" x14ac:dyDescent="0.3">
      <c r="A34" s="41">
        <v>108</v>
      </c>
      <c r="B34" s="41">
        <v>643</v>
      </c>
      <c r="C34" s="41">
        <v>615.6</v>
      </c>
      <c r="D34" s="41">
        <v>3937</v>
      </c>
      <c r="E34" s="41">
        <v>88.3</v>
      </c>
      <c r="F34" s="41">
        <v>71.5</v>
      </c>
      <c r="G34" s="41">
        <v>505</v>
      </c>
      <c r="H34" s="41">
        <v>10900</v>
      </c>
      <c r="I34" s="41">
        <v>329</v>
      </c>
      <c r="J34" s="41">
        <v>172</v>
      </c>
      <c r="K34" s="41">
        <v>985</v>
      </c>
      <c r="L34" s="41">
        <v>1025.26</v>
      </c>
      <c r="M34" s="38">
        <v>112.72</v>
      </c>
      <c r="N34" s="42">
        <v>19.2515</v>
      </c>
      <c r="O34">
        <f t="shared" si="1"/>
        <v>-9.2166551049239522E-3</v>
      </c>
      <c r="P34">
        <f t="shared" si="1"/>
        <v>3.320463149843994E-2</v>
      </c>
      <c r="Q34">
        <f t="shared" si="1"/>
        <v>2.113993794842619E-3</v>
      </c>
      <c r="R34">
        <f t="shared" si="1"/>
        <v>1.2781360091514296E-2</v>
      </c>
      <c r="S34">
        <f t="shared" si="1"/>
        <v>4.5403029187830101E-3</v>
      </c>
      <c r="T34">
        <f t="shared" si="1"/>
        <v>-6.9686693160933158E-3</v>
      </c>
      <c r="U34">
        <f t="shared" si="1"/>
        <v>0</v>
      </c>
      <c r="V34">
        <f t="shared" si="1"/>
        <v>3.6764747293086273E-3</v>
      </c>
      <c r="W34">
        <f t="shared" si="1"/>
        <v>6.0975798681185377E-3</v>
      </c>
      <c r="X34">
        <f t="shared" si="1"/>
        <v>1.1634672632980494E-3</v>
      </c>
      <c r="Y34">
        <f t="shared" si="1"/>
        <v>-1.1005209765504972E-2</v>
      </c>
      <c r="Z34">
        <f t="shared" si="1"/>
        <v>-1.5204088539565333E-3</v>
      </c>
      <c r="AA34">
        <f t="shared" si="1"/>
        <v>-8.4806161984205385E-3</v>
      </c>
      <c r="AB34">
        <f t="shared" si="1"/>
        <v>1.4815010052247805E-3</v>
      </c>
    </row>
    <row r="35" spans="1:28" ht="15.75" thickBot="1" x14ac:dyDescent="0.3">
      <c r="A35" s="41">
        <v>109</v>
      </c>
      <c r="B35" s="41">
        <v>647.1</v>
      </c>
      <c r="C35" s="41">
        <v>624.5</v>
      </c>
      <c r="D35" s="41">
        <v>3926</v>
      </c>
      <c r="E35" s="41">
        <v>89.8</v>
      </c>
      <c r="F35" s="41">
        <v>68.099999999999994</v>
      </c>
      <c r="G35" s="41">
        <v>505.1</v>
      </c>
      <c r="H35" s="41">
        <v>10800</v>
      </c>
      <c r="I35" s="41">
        <v>329.3</v>
      </c>
      <c r="J35" s="41">
        <v>170</v>
      </c>
      <c r="K35" s="41">
        <v>994.9</v>
      </c>
      <c r="L35" s="41">
        <v>1042.52</v>
      </c>
      <c r="M35" s="38">
        <v>111.71</v>
      </c>
      <c r="N35" s="42">
        <v>19.234999999999999</v>
      </c>
      <c r="O35">
        <f t="shared" si="1"/>
        <v>9.2166551049240476E-3</v>
      </c>
      <c r="P35">
        <f t="shared" si="1"/>
        <v>6.3561178256011149E-3</v>
      </c>
      <c r="Q35">
        <f t="shared" si="1"/>
        <v>1.4353927600908246E-2</v>
      </c>
      <c r="R35">
        <f t="shared" si="1"/>
        <v>-2.7979161073310968E-3</v>
      </c>
      <c r="S35">
        <f t="shared" si="1"/>
        <v>1.6844867698239559E-2</v>
      </c>
      <c r="T35">
        <f t="shared" si="1"/>
        <v>-4.8720236544495324E-2</v>
      </c>
      <c r="U35">
        <f t="shared" si="1"/>
        <v>1.9800019864706612E-4</v>
      </c>
      <c r="V35">
        <f t="shared" si="1"/>
        <v>-9.2166551049239522E-3</v>
      </c>
      <c r="W35">
        <f t="shared" si="1"/>
        <v>9.1143861694673186E-4</v>
      </c>
      <c r="X35">
        <f t="shared" si="1"/>
        <v>-1.1696039763191298E-2</v>
      </c>
      <c r="Y35">
        <f t="shared" si="1"/>
        <v>1.0000588423225019E-2</v>
      </c>
      <c r="Z35">
        <f t="shared" si="1"/>
        <v>1.669462019800487E-2</v>
      </c>
      <c r="AA35">
        <f t="shared" si="1"/>
        <v>-9.0006400076678705E-3</v>
      </c>
      <c r="AB35">
        <f t="shared" si="1"/>
        <v>-8.5744357168942762E-4</v>
      </c>
    </row>
    <row r="36" spans="1:28" ht="15.75" thickBot="1" x14ac:dyDescent="0.3">
      <c r="A36" s="41">
        <v>111.9</v>
      </c>
      <c r="B36" s="41">
        <v>652.9</v>
      </c>
      <c r="C36" s="41">
        <v>645.5</v>
      </c>
      <c r="D36" s="41">
        <v>3980</v>
      </c>
      <c r="E36" s="41">
        <v>92.65</v>
      </c>
      <c r="F36" s="41">
        <v>68.05</v>
      </c>
      <c r="G36" s="41">
        <v>507.3</v>
      </c>
      <c r="H36" s="41">
        <v>10725</v>
      </c>
      <c r="I36" s="41">
        <v>330</v>
      </c>
      <c r="J36" s="41">
        <v>170</v>
      </c>
      <c r="K36" s="41">
        <v>988.9</v>
      </c>
      <c r="L36" s="41">
        <v>1042.26</v>
      </c>
      <c r="M36" s="38">
        <v>111.01</v>
      </c>
      <c r="N36" s="42">
        <v>19.0975</v>
      </c>
      <c r="O36">
        <f t="shared" si="1"/>
        <v>2.625773308873593E-2</v>
      </c>
      <c r="P36">
        <f t="shared" si="1"/>
        <v>8.9231361293674004E-3</v>
      </c>
      <c r="Q36">
        <f t="shared" ref="Q36:AB99" si="4">LN(C36/C35)</f>
        <v>3.3073880721064798E-2</v>
      </c>
      <c r="R36">
        <f t="shared" si="4"/>
        <v>1.3660723442077085E-2</v>
      </c>
      <c r="S36">
        <f t="shared" si="4"/>
        <v>3.1243977423214969E-2</v>
      </c>
      <c r="T36">
        <f t="shared" si="4"/>
        <v>-7.3448405799160976E-4</v>
      </c>
      <c r="U36">
        <f t="shared" si="4"/>
        <v>4.3461150986374387E-3</v>
      </c>
      <c r="V36">
        <f t="shared" si="4"/>
        <v>-6.9686693160933158E-3</v>
      </c>
      <c r="W36">
        <f t="shared" si="4"/>
        <v>2.123465078207344E-3</v>
      </c>
      <c r="X36">
        <f t="shared" si="4"/>
        <v>0</v>
      </c>
      <c r="Y36">
        <f t="shared" si="4"/>
        <v>-6.0490153193688556E-3</v>
      </c>
      <c r="Z36">
        <f t="shared" si="4"/>
        <v>-2.4942679932453817E-4</v>
      </c>
      <c r="AA36">
        <f t="shared" si="4"/>
        <v>-6.2859402382011232E-3</v>
      </c>
      <c r="AB36">
        <f t="shared" si="4"/>
        <v>-7.1740997708807132E-3</v>
      </c>
    </row>
    <row r="37" spans="1:28" ht="15.75" thickBot="1" x14ac:dyDescent="0.3">
      <c r="A37" s="41">
        <v>110.8</v>
      </c>
      <c r="B37" s="41">
        <v>651.70000000000005</v>
      </c>
      <c r="C37" s="41">
        <v>648.9</v>
      </c>
      <c r="D37" s="41">
        <v>3970</v>
      </c>
      <c r="E37" s="41">
        <v>90.55</v>
      </c>
      <c r="F37" s="41">
        <v>68</v>
      </c>
      <c r="G37" s="41">
        <v>504</v>
      </c>
      <c r="H37" s="41">
        <v>10753</v>
      </c>
      <c r="I37" s="41">
        <v>329.5</v>
      </c>
      <c r="J37" s="41">
        <v>170.3</v>
      </c>
      <c r="K37" s="41">
        <v>984.9</v>
      </c>
      <c r="L37" s="41">
        <v>1039.31</v>
      </c>
      <c r="M37" s="38">
        <v>110.97</v>
      </c>
      <c r="N37" s="42">
        <v>19.224</v>
      </c>
      <c r="O37">
        <f t="shared" ref="O37:S100" si="5">LN(A37/A36)</f>
        <v>-9.8788410046961959E-3</v>
      </c>
      <c r="P37">
        <f t="shared" si="5"/>
        <v>-1.8396448542529937E-3</v>
      </c>
      <c r="Q37">
        <f t="shared" si="4"/>
        <v>5.2534113404254963E-3</v>
      </c>
      <c r="R37">
        <f t="shared" si="4"/>
        <v>-2.5157245972472469E-3</v>
      </c>
      <c r="S37">
        <f t="shared" si="4"/>
        <v>-2.2926768401946459E-2</v>
      </c>
      <c r="T37">
        <f t="shared" si="4"/>
        <v>-7.3502392136832041E-4</v>
      </c>
      <c r="U37">
        <f t="shared" si="4"/>
        <v>-6.5262765012757528E-3</v>
      </c>
      <c r="V37">
        <f t="shared" si="4"/>
        <v>2.6073205943085583E-3</v>
      </c>
      <c r="W37">
        <f t="shared" si="4"/>
        <v>-1.5163005179639638E-3</v>
      </c>
      <c r="X37">
        <f t="shared" si="4"/>
        <v>1.7631506183810029E-3</v>
      </c>
      <c r="Y37">
        <f t="shared" si="4"/>
        <v>-4.0531011002885023E-3</v>
      </c>
      <c r="Z37">
        <f t="shared" si="4"/>
        <v>-2.8344009329329314E-3</v>
      </c>
      <c r="AA37">
        <f t="shared" si="4"/>
        <v>-3.6039283208350828E-4</v>
      </c>
      <c r="AB37">
        <f t="shared" si="4"/>
        <v>6.6020620007901445E-3</v>
      </c>
    </row>
    <row r="38" spans="1:28" ht="15.75" thickBot="1" x14ac:dyDescent="0.3">
      <c r="A38" s="41">
        <v>116.3</v>
      </c>
      <c r="B38" s="41">
        <v>648.5</v>
      </c>
      <c r="C38" s="41">
        <v>651.9</v>
      </c>
      <c r="D38" s="41">
        <v>3935</v>
      </c>
      <c r="E38" s="41">
        <v>89</v>
      </c>
      <c r="F38" s="41">
        <v>65.25</v>
      </c>
      <c r="G38" s="41">
        <v>504.5</v>
      </c>
      <c r="H38" s="41">
        <v>10715</v>
      </c>
      <c r="I38" s="41">
        <v>327.8</v>
      </c>
      <c r="J38" s="41">
        <v>172.65</v>
      </c>
      <c r="K38" s="41">
        <v>986.9</v>
      </c>
      <c r="L38" s="41">
        <v>1042.3399999999999</v>
      </c>
      <c r="M38" s="38">
        <v>111.72</v>
      </c>
      <c r="N38" s="42">
        <v>19.241</v>
      </c>
      <c r="O38">
        <f t="shared" si="5"/>
        <v>4.844628521143534E-2</v>
      </c>
      <c r="P38">
        <f t="shared" si="5"/>
        <v>-4.9223295818361917E-3</v>
      </c>
      <c r="Q38">
        <f t="shared" si="4"/>
        <v>4.6125543033709426E-3</v>
      </c>
      <c r="R38">
        <f t="shared" si="4"/>
        <v>-8.8552128297325495E-3</v>
      </c>
      <c r="S38">
        <f t="shared" si="4"/>
        <v>-1.7265814597282533E-2</v>
      </c>
      <c r="T38">
        <f t="shared" si="4"/>
        <v>-4.1281658973303874E-2</v>
      </c>
      <c r="U38">
        <f t="shared" si="4"/>
        <v>9.9157172229502751E-4</v>
      </c>
      <c r="V38">
        <f t="shared" si="4"/>
        <v>-3.540156482848869E-3</v>
      </c>
      <c r="W38">
        <f t="shared" si="4"/>
        <v>-5.1726876328325715E-3</v>
      </c>
      <c r="X38">
        <f t="shared" si="4"/>
        <v>1.3704836167358772E-2</v>
      </c>
      <c r="Y38">
        <f t="shared" si="4"/>
        <v>2.0286040023048263E-3</v>
      </c>
      <c r="Z38">
        <f t="shared" si="4"/>
        <v>2.9111542669435289E-3</v>
      </c>
      <c r="AA38">
        <f t="shared" si="4"/>
        <v>6.7358465645037035E-3</v>
      </c>
      <c r="AB38">
        <f t="shared" si="4"/>
        <v>8.8392050471138115E-4</v>
      </c>
    </row>
    <row r="39" spans="1:28" ht="15.75" thickBot="1" x14ac:dyDescent="0.3">
      <c r="A39" s="41">
        <v>109</v>
      </c>
      <c r="B39" s="41">
        <v>644</v>
      </c>
      <c r="C39" s="41">
        <v>664.8</v>
      </c>
      <c r="D39" s="41">
        <v>3959</v>
      </c>
      <c r="E39" s="41">
        <v>94.6</v>
      </c>
      <c r="F39" s="41">
        <v>65.2</v>
      </c>
      <c r="G39" s="41">
        <v>505</v>
      </c>
      <c r="H39" s="41">
        <v>10800</v>
      </c>
      <c r="I39" s="41">
        <v>326.5</v>
      </c>
      <c r="J39" s="41">
        <v>174.4</v>
      </c>
      <c r="K39" s="41">
        <v>990</v>
      </c>
      <c r="L39" s="41">
        <v>1047.43</v>
      </c>
      <c r="M39" s="38">
        <v>111.32</v>
      </c>
      <c r="N39" s="42">
        <v>19.11</v>
      </c>
      <c r="O39">
        <f t="shared" si="5"/>
        <v>-6.4825177295475073E-2</v>
      </c>
      <c r="P39">
        <f t="shared" si="5"/>
        <v>-6.9632776521449894E-3</v>
      </c>
      <c r="Q39">
        <f t="shared" si="4"/>
        <v>1.9595067610744754E-2</v>
      </c>
      <c r="R39">
        <f t="shared" si="4"/>
        <v>6.0805862546269357E-3</v>
      </c>
      <c r="S39">
        <f t="shared" si="4"/>
        <v>6.1021106325692735E-2</v>
      </c>
      <c r="T39">
        <f t="shared" si="4"/>
        <v>-7.6657727019546209E-4</v>
      </c>
      <c r="U39">
        <f t="shared" si="4"/>
        <v>9.9058948169608823E-4</v>
      </c>
      <c r="V39">
        <f t="shared" si="4"/>
        <v>7.9015052046336656E-3</v>
      </c>
      <c r="W39">
        <f t="shared" si="4"/>
        <v>-3.9737175932435982E-3</v>
      </c>
      <c r="X39">
        <f t="shared" si="4"/>
        <v>1.0085087638877962E-2</v>
      </c>
      <c r="Y39">
        <f t="shared" si="4"/>
        <v>3.1362259506741998E-3</v>
      </c>
      <c r="Z39">
        <f t="shared" si="4"/>
        <v>4.8713591117972455E-3</v>
      </c>
      <c r="AA39">
        <f t="shared" si="4"/>
        <v>-3.5868044192859986E-3</v>
      </c>
      <c r="AB39">
        <f t="shared" si="4"/>
        <v>-6.8316606866975589E-3</v>
      </c>
    </row>
    <row r="40" spans="1:28" ht="15.75" thickBot="1" x14ac:dyDescent="0.3">
      <c r="A40" s="41">
        <v>112.25</v>
      </c>
      <c r="B40" s="41">
        <v>644.9</v>
      </c>
      <c r="C40" s="41">
        <v>671</v>
      </c>
      <c r="D40" s="41">
        <v>3961</v>
      </c>
      <c r="E40" s="41">
        <v>100</v>
      </c>
      <c r="F40" s="41">
        <v>67.5</v>
      </c>
      <c r="G40" s="41">
        <v>502</v>
      </c>
      <c r="H40" s="41">
        <v>10840</v>
      </c>
      <c r="I40" s="41">
        <v>325</v>
      </c>
      <c r="J40" s="41">
        <v>173.8</v>
      </c>
      <c r="K40" s="41">
        <v>1004</v>
      </c>
      <c r="L40" s="41">
        <v>1053.7</v>
      </c>
      <c r="M40" s="38">
        <v>110.3</v>
      </c>
      <c r="N40" s="42">
        <v>19.215</v>
      </c>
      <c r="O40">
        <f t="shared" si="5"/>
        <v>2.9380644393219961E-2</v>
      </c>
      <c r="P40">
        <f t="shared" si="5"/>
        <v>1.3965399119779706E-3</v>
      </c>
      <c r="Q40">
        <f t="shared" si="4"/>
        <v>9.2828934304433428E-3</v>
      </c>
      <c r="R40">
        <f t="shared" si="4"/>
        <v>5.050505157861119E-4</v>
      </c>
      <c r="S40">
        <f t="shared" si="4"/>
        <v>5.5512709930258759E-2</v>
      </c>
      <c r="T40">
        <f t="shared" si="4"/>
        <v>3.4668128945876779E-2</v>
      </c>
      <c r="U40">
        <f t="shared" si="4"/>
        <v>-5.9583095836306353E-3</v>
      </c>
      <c r="V40">
        <f t="shared" si="4"/>
        <v>3.6968618813262026E-3</v>
      </c>
      <c r="W40">
        <f t="shared" si="4"/>
        <v>-4.6047663867482902E-3</v>
      </c>
      <c r="X40">
        <f t="shared" si="4"/>
        <v>-3.4462986435875977E-3</v>
      </c>
      <c r="Y40">
        <f t="shared" si="4"/>
        <v>1.4042357123038984E-2</v>
      </c>
      <c r="Z40">
        <f t="shared" si="4"/>
        <v>5.9682348177871316E-3</v>
      </c>
      <c r="AA40">
        <f t="shared" si="4"/>
        <v>-9.2050103982332619E-3</v>
      </c>
      <c r="AB40">
        <f t="shared" si="4"/>
        <v>5.4794657646255705E-3</v>
      </c>
    </row>
    <row r="41" spans="1:28" ht="15.75" thickBot="1" x14ac:dyDescent="0.3">
      <c r="A41" s="41">
        <v>108.3</v>
      </c>
      <c r="B41" s="41">
        <v>655.1</v>
      </c>
      <c r="C41" s="41">
        <v>667</v>
      </c>
      <c r="D41" s="41">
        <v>3999</v>
      </c>
      <c r="E41" s="41">
        <v>100.5</v>
      </c>
      <c r="F41" s="41">
        <v>68.599999999999994</v>
      </c>
      <c r="G41" s="41">
        <v>498</v>
      </c>
      <c r="H41" s="41">
        <v>10800</v>
      </c>
      <c r="I41" s="41">
        <v>323.5</v>
      </c>
      <c r="J41" s="41">
        <v>171</v>
      </c>
      <c r="K41" s="41">
        <v>985</v>
      </c>
      <c r="L41" s="41">
        <v>1048.08</v>
      </c>
      <c r="M41" s="38">
        <v>112.97</v>
      </c>
      <c r="N41" s="42">
        <v>19.308</v>
      </c>
      <c r="O41">
        <f t="shared" si="5"/>
        <v>-3.5823372615418743E-2</v>
      </c>
      <c r="P41">
        <f t="shared" si="5"/>
        <v>1.5692629721499027E-2</v>
      </c>
      <c r="Q41">
        <f t="shared" si="4"/>
        <v>-5.9790910560580711E-3</v>
      </c>
      <c r="R41">
        <f t="shared" si="4"/>
        <v>9.5478112249017394E-3</v>
      </c>
      <c r="S41">
        <f t="shared" si="4"/>
        <v>4.9875415110389679E-3</v>
      </c>
      <c r="T41">
        <f t="shared" si="4"/>
        <v>1.616493685335536E-2</v>
      </c>
      <c r="U41">
        <f t="shared" si="4"/>
        <v>-8.0000426670762646E-3</v>
      </c>
      <c r="V41">
        <f t="shared" si="4"/>
        <v>-3.6968618813260916E-3</v>
      </c>
      <c r="W41">
        <f t="shared" si="4"/>
        <v>-4.626068388782191E-3</v>
      </c>
      <c r="X41">
        <f t="shared" si="4"/>
        <v>-1.6241656328631837E-2</v>
      </c>
      <c r="Y41">
        <f t="shared" si="4"/>
        <v>-1.9105659079585606E-2</v>
      </c>
      <c r="Z41">
        <f t="shared" si="4"/>
        <v>-5.3478607600668509E-3</v>
      </c>
      <c r="AA41">
        <f t="shared" si="4"/>
        <v>2.3918370479380665E-2</v>
      </c>
      <c r="AB41">
        <f t="shared" si="4"/>
        <v>4.8282937814391694E-3</v>
      </c>
    </row>
    <row r="42" spans="1:28" ht="15.75" thickBot="1" x14ac:dyDescent="0.3">
      <c r="A42" s="41">
        <v>110</v>
      </c>
      <c r="B42" s="41">
        <v>661.5</v>
      </c>
      <c r="C42" s="41">
        <v>664.7</v>
      </c>
      <c r="D42" s="41">
        <v>3983</v>
      </c>
      <c r="E42" s="41">
        <v>100</v>
      </c>
      <c r="F42" s="41">
        <v>63.15</v>
      </c>
      <c r="G42" s="41">
        <v>489</v>
      </c>
      <c r="H42" s="41">
        <v>10550</v>
      </c>
      <c r="I42" s="41">
        <v>321</v>
      </c>
      <c r="J42" s="41">
        <v>169.5</v>
      </c>
      <c r="K42" s="41">
        <v>1007</v>
      </c>
      <c r="L42" s="41">
        <v>1066.1400000000001</v>
      </c>
      <c r="M42" s="38">
        <v>113.07</v>
      </c>
      <c r="N42" s="42">
        <v>19.609500000000001</v>
      </c>
      <c r="O42">
        <f t="shared" si="5"/>
        <v>1.5575211785471372E-2</v>
      </c>
      <c r="P42">
        <f t="shared" si="5"/>
        <v>9.7220878171796338E-3</v>
      </c>
      <c r="Q42">
        <f t="shared" si="4"/>
        <v>-3.4542348680874461E-3</v>
      </c>
      <c r="R42">
        <f t="shared" si="4"/>
        <v>-4.0090256651741782E-3</v>
      </c>
      <c r="S42">
        <f t="shared" si="4"/>
        <v>-4.9875415110390512E-3</v>
      </c>
      <c r="T42">
        <f t="shared" si="4"/>
        <v>-8.2779685935339326E-2</v>
      </c>
      <c r="U42">
        <f t="shared" si="4"/>
        <v>-1.8237587549780901E-2</v>
      </c>
      <c r="V42">
        <f t="shared" si="4"/>
        <v>-2.3420274208098498E-2</v>
      </c>
      <c r="W42">
        <f t="shared" si="4"/>
        <v>-7.7579908109393376E-3</v>
      </c>
      <c r="X42">
        <f t="shared" si="4"/>
        <v>-8.8106296821549197E-3</v>
      </c>
      <c r="Y42">
        <f t="shared" si="4"/>
        <v>2.2089251546473392E-2</v>
      </c>
      <c r="Z42">
        <f t="shared" si="4"/>
        <v>1.7084730339623391E-2</v>
      </c>
      <c r="AA42">
        <f t="shared" si="4"/>
        <v>8.847992083163567E-4</v>
      </c>
      <c r="AB42">
        <f t="shared" si="4"/>
        <v>1.5494624889641005E-2</v>
      </c>
    </row>
    <row r="43" spans="1:28" ht="15.75" thickBot="1" x14ac:dyDescent="0.3">
      <c r="A43" s="41">
        <v>118.7</v>
      </c>
      <c r="B43" s="41">
        <v>673.5</v>
      </c>
      <c r="C43" s="41">
        <v>674.1</v>
      </c>
      <c r="D43" s="41">
        <v>4030</v>
      </c>
      <c r="E43" s="41">
        <v>98.9</v>
      </c>
      <c r="F43" s="41">
        <v>61.4</v>
      </c>
      <c r="G43" s="41">
        <v>493</v>
      </c>
      <c r="H43" s="41">
        <v>11030</v>
      </c>
      <c r="I43" s="41">
        <v>328.1</v>
      </c>
      <c r="J43" s="41">
        <v>171.1</v>
      </c>
      <c r="K43" s="41">
        <v>1030</v>
      </c>
      <c r="L43" s="41">
        <v>1061.2</v>
      </c>
      <c r="M43" s="38">
        <v>113.03</v>
      </c>
      <c r="N43" s="42">
        <v>19.517499999999998</v>
      </c>
      <c r="O43">
        <f t="shared" si="5"/>
        <v>7.6118935823206141E-2</v>
      </c>
      <c r="P43">
        <f t="shared" si="5"/>
        <v>1.7978012295408394E-2</v>
      </c>
      <c r="Q43">
        <f t="shared" si="4"/>
        <v>1.4042656811856966E-2</v>
      </c>
      <c r="R43">
        <f t="shared" si="4"/>
        <v>1.1731071759084498E-2</v>
      </c>
      <c r="S43">
        <f t="shared" si="4"/>
        <v>-1.1060947359424835E-2</v>
      </c>
      <c r="T43">
        <f t="shared" si="4"/>
        <v>-2.8103013643403393E-2</v>
      </c>
      <c r="U43">
        <f t="shared" si="4"/>
        <v>8.146684567818108E-3</v>
      </c>
      <c r="V43">
        <f t="shared" si="4"/>
        <v>4.4492973343335622E-2</v>
      </c>
      <c r="W43">
        <f t="shared" si="4"/>
        <v>2.1877316837040053E-2</v>
      </c>
      <c r="X43">
        <f t="shared" si="4"/>
        <v>9.3952540776428423E-3</v>
      </c>
      <c r="Y43">
        <f t="shared" si="4"/>
        <v>2.2583188505119201E-2</v>
      </c>
      <c r="Z43">
        <f t="shared" si="4"/>
        <v>-4.6443059214539978E-3</v>
      </c>
      <c r="AA43">
        <f t="shared" si="4"/>
        <v>-3.5382574451389524E-4</v>
      </c>
      <c r="AB43">
        <f t="shared" si="4"/>
        <v>-4.7026436755785899E-3</v>
      </c>
    </row>
    <row r="44" spans="1:28" ht="15.75" thickBot="1" x14ac:dyDescent="0.3">
      <c r="A44" s="41">
        <v>118.85</v>
      </c>
      <c r="B44" s="41">
        <v>663.5</v>
      </c>
      <c r="C44" s="41">
        <v>658.1</v>
      </c>
      <c r="D44" s="41">
        <v>4010</v>
      </c>
      <c r="E44" s="41">
        <v>100.9</v>
      </c>
      <c r="F44" s="41">
        <v>61.5</v>
      </c>
      <c r="G44" s="41">
        <v>493.8</v>
      </c>
      <c r="H44" s="41">
        <v>10800</v>
      </c>
      <c r="I44" s="41">
        <v>328.3</v>
      </c>
      <c r="J44" s="41">
        <v>176.4</v>
      </c>
      <c r="K44" s="41">
        <v>1039</v>
      </c>
      <c r="L44" s="41">
        <v>1054.5999999999999</v>
      </c>
      <c r="M44" s="38">
        <v>112.49</v>
      </c>
      <c r="N44" s="42">
        <v>19.482500000000002</v>
      </c>
      <c r="O44">
        <f t="shared" si="5"/>
        <v>1.2628921905804111E-3</v>
      </c>
      <c r="P44">
        <f t="shared" si="5"/>
        <v>-1.4959142078156507E-2</v>
      </c>
      <c r="Q44">
        <f t="shared" si="4"/>
        <v>-2.4021572397319751E-2</v>
      </c>
      <c r="R44">
        <f t="shared" si="4"/>
        <v>-4.975134640113843E-3</v>
      </c>
      <c r="S44">
        <f t="shared" si="4"/>
        <v>2.0020688730896772E-2</v>
      </c>
      <c r="T44">
        <f t="shared" si="4"/>
        <v>1.6273396593754076E-3</v>
      </c>
      <c r="U44">
        <f t="shared" si="4"/>
        <v>1.6214028683890767E-3</v>
      </c>
      <c r="V44">
        <f t="shared" si="4"/>
        <v>-2.1072699135237068E-2</v>
      </c>
      <c r="W44">
        <f t="shared" si="4"/>
        <v>6.0938454049097471E-4</v>
      </c>
      <c r="X44">
        <f t="shared" si="4"/>
        <v>3.0505962674543134E-2</v>
      </c>
      <c r="Y44">
        <f t="shared" si="4"/>
        <v>8.6999098755458897E-3</v>
      </c>
      <c r="Z44">
        <f t="shared" si="4"/>
        <v>-6.2387951672152921E-3</v>
      </c>
      <c r="AA44">
        <f t="shared" si="4"/>
        <v>-4.7889413979052787E-3</v>
      </c>
      <c r="AB44">
        <f t="shared" si="4"/>
        <v>-1.7948722767298008E-3</v>
      </c>
    </row>
    <row r="45" spans="1:28" ht="15.75" thickBot="1" x14ac:dyDescent="0.3">
      <c r="A45" s="41">
        <v>119.35</v>
      </c>
      <c r="B45" s="41">
        <v>658.5</v>
      </c>
      <c r="C45" s="41">
        <v>640.70000000000005</v>
      </c>
      <c r="D45" s="41">
        <v>3990</v>
      </c>
      <c r="E45" s="41">
        <v>101.55</v>
      </c>
      <c r="F45" s="41">
        <v>62</v>
      </c>
      <c r="G45" s="41">
        <v>490</v>
      </c>
      <c r="H45" s="41">
        <v>10724</v>
      </c>
      <c r="I45" s="41">
        <v>328</v>
      </c>
      <c r="J45" s="41">
        <v>175</v>
      </c>
      <c r="K45" s="41">
        <v>1033</v>
      </c>
      <c r="L45" s="41">
        <v>1062.47</v>
      </c>
      <c r="M45" s="38">
        <v>112.58</v>
      </c>
      <c r="N45" s="42">
        <v>19.4085</v>
      </c>
      <c r="O45">
        <f t="shared" si="5"/>
        <v>4.1981589786362402E-3</v>
      </c>
      <c r="P45">
        <f t="shared" si="5"/>
        <v>-7.5643325889264319E-3</v>
      </c>
      <c r="Q45">
        <f t="shared" si="4"/>
        <v>-2.6795566817097528E-2</v>
      </c>
      <c r="R45">
        <f t="shared" si="4"/>
        <v>-5.0000104167057515E-3</v>
      </c>
      <c r="S45">
        <f t="shared" si="4"/>
        <v>6.4213606668302768E-3</v>
      </c>
      <c r="T45">
        <f t="shared" si="4"/>
        <v>8.0972102326193028E-3</v>
      </c>
      <c r="U45">
        <f t="shared" si="4"/>
        <v>-7.7251858064068335E-3</v>
      </c>
      <c r="V45">
        <f t="shared" si="4"/>
        <v>-7.0619137564611745E-3</v>
      </c>
      <c r="W45">
        <f t="shared" si="4"/>
        <v>-9.1421612340332437E-4</v>
      </c>
      <c r="X45">
        <f t="shared" si="4"/>
        <v>-7.9681696491769576E-3</v>
      </c>
      <c r="Y45">
        <f t="shared" si="4"/>
        <v>-5.791521979588825E-3</v>
      </c>
      <c r="Z45">
        <f t="shared" si="4"/>
        <v>7.4348380094615921E-3</v>
      </c>
      <c r="AA45">
        <f t="shared" si="4"/>
        <v>7.9975123114608341E-4</v>
      </c>
      <c r="AB45">
        <f t="shared" si="4"/>
        <v>-3.8055122935989096E-3</v>
      </c>
    </row>
    <row r="46" spans="1:28" ht="15.75" thickBot="1" x14ac:dyDescent="0.3">
      <c r="A46" s="41">
        <v>120.9</v>
      </c>
      <c r="B46" s="41">
        <v>680</v>
      </c>
      <c r="C46" s="41">
        <v>632.20000000000005</v>
      </c>
      <c r="D46" s="41">
        <v>4050</v>
      </c>
      <c r="E46" s="41">
        <v>101</v>
      </c>
      <c r="F46" s="41">
        <v>63.5</v>
      </c>
      <c r="G46" s="41">
        <v>492</v>
      </c>
      <c r="H46" s="41">
        <v>10801</v>
      </c>
      <c r="I46" s="41">
        <v>332</v>
      </c>
      <c r="J46" s="41">
        <v>177</v>
      </c>
      <c r="K46" s="41">
        <v>1029</v>
      </c>
      <c r="L46" s="41">
        <v>1063.04</v>
      </c>
      <c r="M46" s="38">
        <v>113.03</v>
      </c>
      <c r="N46" s="42">
        <v>19.36</v>
      </c>
      <c r="O46">
        <f t="shared" si="5"/>
        <v>1.2903404835908001E-2</v>
      </c>
      <c r="P46">
        <f t="shared" si="5"/>
        <v>3.2128276986816653E-2</v>
      </c>
      <c r="Q46">
        <f t="shared" si="4"/>
        <v>-1.3355528863458522E-2</v>
      </c>
      <c r="R46">
        <f t="shared" si="4"/>
        <v>1.4925650216675792E-2</v>
      </c>
      <c r="S46">
        <f t="shared" si="4"/>
        <v>-5.4307711851342118E-3</v>
      </c>
      <c r="T46">
        <f t="shared" si="4"/>
        <v>2.3905520853554386E-2</v>
      </c>
      <c r="U46">
        <f t="shared" si="4"/>
        <v>4.0733253876358688E-3</v>
      </c>
      <c r="V46">
        <f t="shared" si="4"/>
        <v>7.1545020626242383E-3</v>
      </c>
      <c r="W46">
        <f t="shared" si="4"/>
        <v>1.212136053234482E-2</v>
      </c>
      <c r="X46">
        <f t="shared" si="4"/>
        <v>1.1363758650315003E-2</v>
      </c>
      <c r="Y46">
        <f t="shared" si="4"/>
        <v>-3.8797332855889629E-3</v>
      </c>
      <c r="Z46">
        <f t="shared" si="4"/>
        <v>5.3634187904437458E-4</v>
      </c>
      <c r="AA46">
        <f t="shared" si="4"/>
        <v>3.9891901667592437E-3</v>
      </c>
      <c r="AB46">
        <f t="shared" si="4"/>
        <v>-2.5020325935492726E-3</v>
      </c>
    </row>
    <row r="47" spans="1:28" ht="15.75" thickBot="1" x14ac:dyDescent="0.3">
      <c r="A47" s="41">
        <v>121.45</v>
      </c>
      <c r="B47" s="41">
        <v>675</v>
      </c>
      <c r="C47" s="41">
        <v>634</v>
      </c>
      <c r="D47" s="41">
        <v>4104</v>
      </c>
      <c r="E47" s="41">
        <v>101</v>
      </c>
      <c r="F47" s="41">
        <v>62.45</v>
      </c>
      <c r="G47" s="41">
        <v>490</v>
      </c>
      <c r="H47" s="41">
        <v>10738</v>
      </c>
      <c r="I47" s="41">
        <v>333.5</v>
      </c>
      <c r="J47" s="41">
        <v>175</v>
      </c>
      <c r="K47" s="41">
        <v>1035</v>
      </c>
      <c r="L47" s="41">
        <v>1066.01</v>
      </c>
      <c r="M47" s="38">
        <v>112.98</v>
      </c>
      <c r="N47" s="42">
        <v>19.115500000000001</v>
      </c>
      <c r="O47">
        <f t="shared" si="5"/>
        <v>4.5388978274343919E-3</v>
      </c>
      <c r="P47">
        <f t="shared" si="5"/>
        <v>-7.3801072976225337E-3</v>
      </c>
      <c r="Q47">
        <f t="shared" si="4"/>
        <v>2.843154655708485E-3</v>
      </c>
      <c r="R47">
        <f t="shared" si="4"/>
        <v>1.3245226750020723E-2</v>
      </c>
      <c r="S47">
        <f t="shared" si="4"/>
        <v>0</v>
      </c>
      <c r="T47">
        <f t="shared" si="4"/>
        <v>-1.6673669327059274E-2</v>
      </c>
      <c r="U47">
        <f t="shared" si="4"/>
        <v>-4.0733253876357864E-3</v>
      </c>
      <c r="V47">
        <f t="shared" si="4"/>
        <v>-5.8498704359593945E-3</v>
      </c>
      <c r="W47">
        <f t="shared" si="4"/>
        <v>4.5078964391899222E-3</v>
      </c>
      <c r="X47">
        <f t="shared" si="4"/>
        <v>-1.1363758650315095E-2</v>
      </c>
      <c r="Y47">
        <f t="shared" si="4"/>
        <v>5.8139698654198161E-3</v>
      </c>
      <c r="Z47">
        <f t="shared" si="4"/>
        <v>2.789978559953788E-3</v>
      </c>
      <c r="AA47">
        <f t="shared" si="4"/>
        <v>-4.4245830552370465E-4</v>
      </c>
      <c r="AB47">
        <f t="shared" si="4"/>
        <v>-1.2709557574198319E-2</v>
      </c>
    </row>
    <row r="48" spans="1:28" ht="15.75" thickBot="1" x14ac:dyDescent="0.3">
      <c r="A48" s="41">
        <v>119.85</v>
      </c>
      <c r="B48" s="41">
        <v>680.2</v>
      </c>
      <c r="C48" s="41">
        <v>632</v>
      </c>
      <c r="D48" s="41">
        <v>4130</v>
      </c>
      <c r="E48" s="41">
        <v>97.6</v>
      </c>
      <c r="F48" s="41">
        <v>63.7</v>
      </c>
      <c r="G48" s="41">
        <v>491</v>
      </c>
      <c r="H48" s="41">
        <v>10727</v>
      </c>
      <c r="I48" s="41">
        <v>333</v>
      </c>
      <c r="J48" s="41">
        <v>174.8</v>
      </c>
      <c r="K48" s="41">
        <v>1000</v>
      </c>
      <c r="L48" s="41">
        <v>1038.7</v>
      </c>
      <c r="M48" s="38">
        <v>110.05</v>
      </c>
      <c r="N48" s="42">
        <v>19.000999999999998</v>
      </c>
      <c r="O48">
        <f t="shared" si="5"/>
        <v>-1.3261694567788244E-2</v>
      </c>
      <c r="P48">
        <f t="shared" si="5"/>
        <v>7.6741817005653223E-3</v>
      </c>
      <c r="Q48">
        <f t="shared" si="4"/>
        <v>-3.1595602903684815E-3</v>
      </c>
      <c r="R48">
        <f t="shared" si="4"/>
        <v>6.3152991044729354E-3</v>
      </c>
      <c r="S48">
        <f t="shared" si="4"/>
        <v>-3.4243023422212679E-2</v>
      </c>
      <c r="T48">
        <f t="shared" si="4"/>
        <v>1.9818326006531009E-2</v>
      </c>
      <c r="U48">
        <f t="shared" si="4"/>
        <v>2.0387366898483089E-3</v>
      </c>
      <c r="V48">
        <f t="shared" si="4"/>
        <v>-1.0249243850855487E-3</v>
      </c>
      <c r="W48">
        <f t="shared" si="4"/>
        <v>-1.5003753752345652E-3</v>
      </c>
      <c r="X48">
        <f t="shared" si="4"/>
        <v>-1.1435107020789379E-3</v>
      </c>
      <c r="Y48">
        <f t="shared" si="4"/>
        <v>-3.4401426717332435E-2</v>
      </c>
      <c r="Z48">
        <f t="shared" si="4"/>
        <v>-2.5952775311063467E-2</v>
      </c>
      <c r="AA48">
        <f t="shared" si="4"/>
        <v>-2.6276003924645484E-2</v>
      </c>
      <c r="AB48">
        <f t="shared" si="4"/>
        <v>-6.0079149138379329E-3</v>
      </c>
    </row>
    <row r="49" spans="1:28" ht="15.75" thickBot="1" x14ac:dyDescent="0.3">
      <c r="A49" s="41">
        <v>109.95</v>
      </c>
      <c r="B49" s="41">
        <v>680</v>
      </c>
      <c r="C49" s="41">
        <v>607</v>
      </c>
      <c r="D49" s="41">
        <v>4010</v>
      </c>
      <c r="E49" s="41">
        <v>98.7</v>
      </c>
      <c r="F49" s="41">
        <v>61.3</v>
      </c>
      <c r="G49" s="41">
        <v>493</v>
      </c>
      <c r="H49" s="41">
        <v>10700</v>
      </c>
      <c r="I49" s="41">
        <v>323.60000000000002</v>
      </c>
      <c r="J49" s="41">
        <v>175</v>
      </c>
      <c r="K49" s="41">
        <v>998</v>
      </c>
      <c r="L49" s="41">
        <v>1035.95</v>
      </c>
      <c r="M49" s="38">
        <v>110.04</v>
      </c>
      <c r="N49" s="42">
        <v>18.956499999999998</v>
      </c>
      <c r="O49">
        <f t="shared" si="5"/>
        <v>-8.621524387962308E-2</v>
      </c>
      <c r="P49">
        <f t="shared" si="5"/>
        <v>-2.9407440294271865E-4</v>
      </c>
      <c r="Q49">
        <f t="shared" si="4"/>
        <v>-4.036060308735915E-2</v>
      </c>
      <c r="R49">
        <f t="shared" si="4"/>
        <v>-2.9486165654463541E-2</v>
      </c>
      <c r="S49">
        <f t="shared" si="4"/>
        <v>1.1207453020389288E-2</v>
      </c>
      <c r="T49">
        <f t="shared" si="4"/>
        <v>-3.8404719635952086E-2</v>
      </c>
      <c r="U49">
        <f t="shared" si="4"/>
        <v>4.0650462481695935E-3</v>
      </c>
      <c r="V49">
        <f t="shared" si="4"/>
        <v>-2.5201861474317229E-3</v>
      </c>
      <c r="W49">
        <f t="shared" si="4"/>
        <v>-2.8634304796107096E-2</v>
      </c>
      <c r="X49">
        <f t="shared" si="4"/>
        <v>1.1435107020787987E-3</v>
      </c>
      <c r="Y49">
        <f t="shared" si="4"/>
        <v>-2.0020026706730793E-3</v>
      </c>
      <c r="Z49">
        <f t="shared" si="4"/>
        <v>-2.6510511272741788E-3</v>
      </c>
      <c r="AA49">
        <f t="shared" si="4"/>
        <v>-9.0871916096835697E-5</v>
      </c>
      <c r="AB49">
        <f t="shared" si="4"/>
        <v>-2.3447287301585772E-3</v>
      </c>
    </row>
    <row r="50" spans="1:28" ht="15.75" thickBot="1" x14ac:dyDescent="0.3">
      <c r="A50" s="41">
        <v>110</v>
      </c>
      <c r="B50" s="41">
        <v>670.1</v>
      </c>
      <c r="C50" s="41">
        <v>609</v>
      </c>
      <c r="D50" s="41">
        <v>4031</v>
      </c>
      <c r="E50" s="41">
        <v>96</v>
      </c>
      <c r="F50" s="41">
        <v>62</v>
      </c>
      <c r="G50" s="41">
        <v>492</v>
      </c>
      <c r="H50" s="41">
        <v>10700</v>
      </c>
      <c r="I50" s="41">
        <v>320</v>
      </c>
      <c r="J50" s="41">
        <v>175</v>
      </c>
      <c r="K50" s="41">
        <v>1016</v>
      </c>
      <c r="L50" s="41">
        <v>1036.3800000000001</v>
      </c>
      <c r="M50" s="38">
        <v>109.13</v>
      </c>
      <c r="N50" s="42">
        <v>19.067</v>
      </c>
      <c r="O50">
        <f t="shared" si="5"/>
        <v>4.5464879164590209E-4</v>
      </c>
      <c r="P50">
        <f t="shared" si="5"/>
        <v>-1.4665843191027317E-2</v>
      </c>
      <c r="Q50">
        <f t="shared" si="4"/>
        <v>3.2894766503987053E-3</v>
      </c>
      <c r="R50">
        <f t="shared" si="4"/>
        <v>5.2232428165509106E-3</v>
      </c>
      <c r="S50">
        <f t="shared" si="4"/>
        <v>-2.7736754971599636E-2</v>
      </c>
      <c r="T50">
        <f t="shared" si="4"/>
        <v>1.1354542102925849E-2</v>
      </c>
      <c r="U50">
        <f t="shared" si="4"/>
        <v>-2.0304575503819517E-3</v>
      </c>
      <c r="V50">
        <f t="shared" si="4"/>
        <v>0</v>
      </c>
      <c r="W50">
        <f t="shared" si="4"/>
        <v>-1.1187189390564494E-2</v>
      </c>
      <c r="X50">
        <f t="shared" si="4"/>
        <v>0</v>
      </c>
      <c r="Y50">
        <f t="shared" si="4"/>
        <v>1.7875351826963135E-2</v>
      </c>
      <c r="Z50">
        <f t="shared" si="4"/>
        <v>4.1499182675649944E-4</v>
      </c>
      <c r="AA50">
        <f t="shared" si="4"/>
        <v>-8.3041039313754509E-3</v>
      </c>
      <c r="AB50">
        <f t="shared" si="4"/>
        <v>5.8122114520715619E-3</v>
      </c>
    </row>
    <row r="51" spans="1:28" ht="15.75" thickBot="1" x14ac:dyDescent="0.3">
      <c r="A51" s="41">
        <v>110.9</v>
      </c>
      <c r="B51" s="41">
        <v>675.5</v>
      </c>
      <c r="C51" s="41">
        <v>590.6</v>
      </c>
      <c r="D51" s="41">
        <v>4105</v>
      </c>
      <c r="E51" s="41">
        <v>95.85</v>
      </c>
      <c r="F51" s="41">
        <v>59</v>
      </c>
      <c r="G51" s="41">
        <v>492</v>
      </c>
      <c r="H51" s="41">
        <v>10550</v>
      </c>
      <c r="I51" s="41">
        <v>319.60000000000002</v>
      </c>
      <c r="J51" s="41">
        <v>175</v>
      </c>
      <c r="K51" s="41">
        <v>994</v>
      </c>
      <c r="L51" s="41">
        <v>1033.79</v>
      </c>
      <c r="M51" s="38">
        <v>110.57</v>
      </c>
      <c r="N51" s="42">
        <v>19.018999999999998</v>
      </c>
      <c r="O51">
        <f t="shared" si="5"/>
        <v>8.1485285639052302E-3</v>
      </c>
      <c r="P51">
        <f t="shared" si="5"/>
        <v>8.0262024211285414E-3</v>
      </c>
      <c r="Q51">
        <f t="shared" si="4"/>
        <v>-3.0679298400074738E-2</v>
      </c>
      <c r="R51">
        <f t="shared" si="4"/>
        <v>1.8191258769362902E-2</v>
      </c>
      <c r="S51">
        <f t="shared" si="4"/>
        <v>-1.5637219761827587E-3</v>
      </c>
      <c r="T51">
        <f t="shared" si="4"/>
        <v>-4.9596941139372061E-2</v>
      </c>
      <c r="U51">
        <f t="shared" si="4"/>
        <v>0</v>
      </c>
      <c r="V51">
        <f t="shared" si="4"/>
        <v>-1.4117881545784932E-2</v>
      </c>
      <c r="W51">
        <f t="shared" si="4"/>
        <v>-1.2507819016526025E-3</v>
      </c>
      <c r="X51">
        <f t="shared" si="4"/>
        <v>0</v>
      </c>
      <c r="Y51">
        <f t="shared" si="4"/>
        <v>-2.1891421481853125E-2</v>
      </c>
      <c r="Z51">
        <f t="shared" si="4"/>
        <v>-2.5022112689737541E-3</v>
      </c>
      <c r="AA51">
        <f t="shared" si="4"/>
        <v>1.3108972429311968E-2</v>
      </c>
      <c r="AB51">
        <f t="shared" si="4"/>
        <v>-2.5206125827837143E-3</v>
      </c>
    </row>
    <row r="52" spans="1:28" ht="15.75" thickBot="1" x14ac:dyDescent="0.3">
      <c r="A52" s="41">
        <v>109.8</v>
      </c>
      <c r="B52" s="41">
        <v>668</v>
      </c>
      <c r="C52" s="41">
        <v>604</v>
      </c>
      <c r="D52" s="41">
        <v>4027</v>
      </c>
      <c r="E52" s="41">
        <v>95.5</v>
      </c>
      <c r="F52" s="41">
        <v>63.6</v>
      </c>
      <c r="G52" s="41">
        <v>487</v>
      </c>
      <c r="H52" s="41">
        <v>10635</v>
      </c>
      <c r="I52" s="41">
        <v>317.5</v>
      </c>
      <c r="J52" s="41">
        <v>172.9</v>
      </c>
      <c r="K52" s="41">
        <v>988.1</v>
      </c>
      <c r="L52" s="41">
        <v>1041.29</v>
      </c>
      <c r="M52" s="38">
        <v>109.95</v>
      </c>
      <c r="N52" s="42">
        <v>19.030999999999999</v>
      </c>
      <c r="O52">
        <f t="shared" si="5"/>
        <v>-9.9683652808911245E-3</v>
      </c>
      <c r="P52">
        <f t="shared" si="5"/>
        <v>-1.1164983863607829E-2</v>
      </c>
      <c r="Q52">
        <f t="shared" si="4"/>
        <v>2.2435228624992538E-2</v>
      </c>
      <c r="R52">
        <f t="shared" si="4"/>
        <v>-1.918406103507439E-2</v>
      </c>
      <c r="S52">
        <f t="shared" si="4"/>
        <v>-3.6582220049689172E-3</v>
      </c>
      <c r="T52">
        <f t="shared" si="4"/>
        <v>7.5076026440357102E-2</v>
      </c>
      <c r="U52">
        <f t="shared" si="4"/>
        <v>-1.0214593409718295E-2</v>
      </c>
      <c r="V52">
        <f t="shared" si="4"/>
        <v>8.0245887301249284E-3</v>
      </c>
      <c r="W52">
        <f t="shared" si="4"/>
        <v>-6.5923955593733471E-3</v>
      </c>
      <c r="X52">
        <f t="shared" si="4"/>
        <v>-1.2072581234269249E-2</v>
      </c>
      <c r="Y52">
        <f t="shared" si="4"/>
        <v>-5.9532994556568651E-3</v>
      </c>
      <c r="Z52">
        <f t="shared" si="4"/>
        <v>7.2286684450731551E-3</v>
      </c>
      <c r="AA52">
        <f t="shared" si="4"/>
        <v>-5.623087553540124E-3</v>
      </c>
      <c r="AB52">
        <f t="shared" si="4"/>
        <v>6.3074903536640924E-4</v>
      </c>
    </row>
    <row r="53" spans="1:28" ht="15.75" thickBot="1" x14ac:dyDescent="0.3">
      <c r="A53" s="41">
        <v>109.45</v>
      </c>
      <c r="B53" s="41">
        <v>660.5</v>
      </c>
      <c r="C53" s="41">
        <v>617.29999999999995</v>
      </c>
      <c r="D53" s="41">
        <v>4075</v>
      </c>
      <c r="E53" s="41">
        <v>90.5</v>
      </c>
      <c r="F53" s="41">
        <v>64.95</v>
      </c>
      <c r="G53" s="41">
        <v>480</v>
      </c>
      <c r="H53" s="41">
        <v>10700</v>
      </c>
      <c r="I53" s="41">
        <v>323</v>
      </c>
      <c r="J53" s="41">
        <v>171</v>
      </c>
      <c r="K53" s="41">
        <v>977</v>
      </c>
      <c r="L53" s="41">
        <v>1031.01</v>
      </c>
      <c r="M53" s="38">
        <v>109.96</v>
      </c>
      <c r="N53" s="42">
        <v>19.032</v>
      </c>
      <c r="O53">
        <f t="shared" si="5"/>
        <v>-3.1927051065582957E-3</v>
      </c>
      <c r="P53">
        <f t="shared" si="5"/>
        <v>-1.1291049574265707E-2</v>
      </c>
      <c r="Q53">
        <f t="shared" si="4"/>
        <v>2.1780931465035167E-2</v>
      </c>
      <c r="R53">
        <f t="shared" si="4"/>
        <v>1.1849064823509003E-2</v>
      </c>
      <c r="S53">
        <f t="shared" si="4"/>
        <v>-5.3776396780804182E-2</v>
      </c>
      <c r="T53">
        <f t="shared" si="4"/>
        <v>2.1004272770531997E-2</v>
      </c>
      <c r="U53">
        <f t="shared" si="4"/>
        <v>-1.4478019180653225E-2</v>
      </c>
      <c r="V53">
        <f t="shared" si="4"/>
        <v>6.0932928156599668E-3</v>
      </c>
      <c r="W53">
        <f t="shared" si="4"/>
        <v>1.7174504889910215E-2</v>
      </c>
      <c r="X53">
        <f t="shared" si="4"/>
        <v>-1.1049836186585046E-2</v>
      </c>
      <c r="Y53">
        <f t="shared" si="4"/>
        <v>-1.1297255158134373E-2</v>
      </c>
      <c r="Z53">
        <f t="shared" si="4"/>
        <v>-9.9214248183782626E-3</v>
      </c>
      <c r="AA53">
        <f t="shared" si="4"/>
        <v>9.0946296274790474E-5</v>
      </c>
      <c r="AB53">
        <f t="shared" si="4"/>
        <v>5.2544465766408478E-5</v>
      </c>
    </row>
    <row r="54" spans="1:28" ht="15.75" thickBot="1" x14ac:dyDescent="0.3">
      <c r="A54" s="41">
        <v>109.5</v>
      </c>
      <c r="B54" s="41">
        <v>658</v>
      </c>
      <c r="C54" s="41">
        <v>611</v>
      </c>
      <c r="D54" s="41">
        <v>4019</v>
      </c>
      <c r="E54" s="41">
        <v>87.2</v>
      </c>
      <c r="F54" s="41">
        <v>63.7</v>
      </c>
      <c r="G54" s="41">
        <v>475</v>
      </c>
      <c r="H54" s="41">
        <v>10630</v>
      </c>
      <c r="I54" s="41">
        <v>322</v>
      </c>
      <c r="J54" s="41">
        <v>172</v>
      </c>
      <c r="K54" s="41">
        <v>977</v>
      </c>
      <c r="L54" s="41">
        <v>1011.36</v>
      </c>
      <c r="M54" s="38">
        <v>109.35</v>
      </c>
      <c r="N54" s="42">
        <v>19.177500000000002</v>
      </c>
      <c r="O54">
        <f t="shared" si="5"/>
        <v>4.5672528768353677E-4</v>
      </c>
      <c r="P54">
        <f t="shared" si="5"/>
        <v>-3.7921926370628055E-3</v>
      </c>
      <c r="Q54">
        <f t="shared" si="4"/>
        <v>-1.0258170228254827E-2</v>
      </c>
      <c r="R54">
        <f t="shared" si="4"/>
        <v>-1.3837631225761983E-2</v>
      </c>
      <c r="S54">
        <f t="shared" si="4"/>
        <v>-3.7145519790946463E-2</v>
      </c>
      <c r="T54">
        <f t="shared" si="4"/>
        <v>-1.9433180538490906E-2</v>
      </c>
      <c r="U54">
        <f t="shared" si="4"/>
        <v>-1.0471299867295366E-2</v>
      </c>
      <c r="V54">
        <f t="shared" si="4"/>
        <v>-6.5635491140038959E-3</v>
      </c>
      <c r="W54">
        <f t="shared" si="4"/>
        <v>-3.1007776782482708E-3</v>
      </c>
      <c r="X54">
        <f t="shared" si="4"/>
        <v>5.8309203107931437E-3</v>
      </c>
      <c r="Y54">
        <f t="shared" si="4"/>
        <v>0</v>
      </c>
      <c r="Z54">
        <f t="shared" si="4"/>
        <v>-1.924294456698071E-2</v>
      </c>
      <c r="AA54">
        <f t="shared" si="4"/>
        <v>-5.5629161742680984E-3</v>
      </c>
      <c r="AB54">
        <f t="shared" si="4"/>
        <v>7.6159438506578888E-3</v>
      </c>
    </row>
    <row r="55" spans="1:28" ht="15.75" thickBot="1" x14ac:dyDescent="0.3">
      <c r="A55" s="41">
        <v>106.9</v>
      </c>
      <c r="B55" s="41">
        <v>645</v>
      </c>
      <c r="C55" s="41">
        <v>584.9</v>
      </c>
      <c r="D55" s="41">
        <v>3946</v>
      </c>
      <c r="E55" s="41">
        <v>86.05</v>
      </c>
      <c r="F55" s="41">
        <v>65.400000000000006</v>
      </c>
      <c r="G55" s="41">
        <v>472.6</v>
      </c>
      <c r="H55" s="41">
        <v>10765</v>
      </c>
      <c r="I55" s="41">
        <v>321</v>
      </c>
      <c r="J55" s="41">
        <v>172.75</v>
      </c>
      <c r="K55" s="41">
        <v>963</v>
      </c>
      <c r="L55" s="41">
        <v>1008.02</v>
      </c>
      <c r="M55" s="38">
        <v>109.28</v>
      </c>
      <c r="N55" s="42">
        <v>19.163</v>
      </c>
      <c r="O55">
        <f t="shared" si="5"/>
        <v>-2.4030731225555945E-2</v>
      </c>
      <c r="P55">
        <f t="shared" si="5"/>
        <v>-1.9954614529544702E-2</v>
      </c>
      <c r="Q55">
        <f t="shared" si="4"/>
        <v>-4.3656066722615315E-2</v>
      </c>
      <c r="R55">
        <f t="shared" si="4"/>
        <v>-1.8330707866640407E-2</v>
      </c>
      <c r="S55">
        <f t="shared" si="4"/>
        <v>-1.3275808257385566E-2</v>
      </c>
      <c r="T55">
        <f t="shared" si="4"/>
        <v>2.6337695885035418E-2</v>
      </c>
      <c r="U55">
        <f t="shared" si="4"/>
        <v>-5.0654392818336863E-3</v>
      </c>
      <c r="V55">
        <f t="shared" si="4"/>
        <v>1.261993846246987E-2</v>
      </c>
      <c r="W55">
        <f t="shared" si="4"/>
        <v>-3.1104224143923909E-3</v>
      </c>
      <c r="X55">
        <f t="shared" si="4"/>
        <v>4.3509858343261324E-3</v>
      </c>
      <c r="Y55">
        <f t="shared" si="4"/>
        <v>-1.4433240244657225E-2</v>
      </c>
      <c r="Z55">
        <f t="shared" si="4"/>
        <v>-3.3079490196688166E-3</v>
      </c>
      <c r="AA55">
        <f t="shared" si="4"/>
        <v>-6.4035130029690057E-4</v>
      </c>
      <c r="AB55">
        <f t="shared" si="4"/>
        <v>-7.5638036495623967E-4</v>
      </c>
    </row>
    <row r="56" spans="1:28" ht="15.75" thickBot="1" x14ac:dyDescent="0.3">
      <c r="A56" s="41">
        <v>104.9</v>
      </c>
      <c r="B56" s="41">
        <v>646</v>
      </c>
      <c r="C56" s="41">
        <v>582.9</v>
      </c>
      <c r="D56" s="41">
        <v>3920</v>
      </c>
      <c r="E56" s="41">
        <v>85.3</v>
      </c>
      <c r="F56" s="41">
        <v>65</v>
      </c>
      <c r="G56" s="41">
        <v>474</v>
      </c>
      <c r="H56" s="41">
        <v>10840</v>
      </c>
      <c r="I56" s="41">
        <v>326</v>
      </c>
      <c r="J56" s="41">
        <v>171</v>
      </c>
      <c r="K56" s="41">
        <v>954</v>
      </c>
      <c r="L56" s="41">
        <v>1002.18</v>
      </c>
      <c r="M56" s="38">
        <v>110.18</v>
      </c>
      <c r="N56" s="42">
        <v>19.315000000000001</v>
      </c>
      <c r="O56">
        <f t="shared" si="5"/>
        <v>-1.8886302628748006E-2</v>
      </c>
      <c r="P56">
        <f t="shared" si="5"/>
        <v>1.5491869868293187E-3</v>
      </c>
      <c r="Q56">
        <f t="shared" si="4"/>
        <v>-3.425247397476044E-3</v>
      </c>
      <c r="R56">
        <f t="shared" si="4"/>
        <v>-6.6107537980524839E-3</v>
      </c>
      <c r="S56">
        <f t="shared" si="4"/>
        <v>-8.75406815991496E-3</v>
      </c>
      <c r="T56">
        <f t="shared" si="4"/>
        <v>-6.134988567515944E-3</v>
      </c>
      <c r="U56">
        <f t="shared" si="4"/>
        <v>2.9579569422689355E-3</v>
      </c>
      <c r="V56">
        <f t="shared" si="4"/>
        <v>6.942865195173906E-3</v>
      </c>
      <c r="W56">
        <f t="shared" si="4"/>
        <v>1.5456258236691672E-2</v>
      </c>
      <c r="X56">
        <f t="shared" si="4"/>
        <v>-1.0181906145119412E-2</v>
      </c>
      <c r="Y56">
        <f t="shared" si="4"/>
        <v>-9.3897403498390316E-3</v>
      </c>
      <c r="Z56">
        <f t="shared" si="4"/>
        <v>-5.8103834744086058E-3</v>
      </c>
      <c r="AA56">
        <f t="shared" si="4"/>
        <v>8.2019962220905174E-3</v>
      </c>
      <c r="AB56">
        <f t="shared" si="4"/>
        <v>7.9006596318865977E-3</v>
      </c>
    </row>
    <row r="57" spans="1:28" ht="15.75" thickBot="1" x14ac:dyDescent="0.3">
      <c r="A57" s="41">
        <v>102</v>
      </c>
      <c r="B57" s="41">
        <v>646</v>
      </c>
      <c r="C57" s="41">
        <v>578.29999999999995</v>
      </c>
      <c r="D57" s="41">
        <v>3929</v>
      </c>
      <c r="E57" s="41">
        <v>85</v>
      </c>
      <c r="F57" s="41">
        <v>64.900000000000006</v>
      </c>
      <c r="G57" s="41">
        <v>475.2</v>
      </c>
      <c r="H57" s="41">
        <v>10780</v>
      </c>
      <c r="I57" s="41">
        <v>322</v>
      </c>
      <c r="J57" s="41">
        <v>169</v>
      </c>
      <c r="K57" s="41">
        <v>955</v>
      </c>
      <c r="L57" s="41">
        <v>1001.59</v>
      </c>
      <c r="M57" s="38">
        <v>110.17</v>
      </c>
      <c r="N57" s="42">
        <v>19.3185</v>
      </c>
      <c r="O57">
        <f t="shared" si="5"/>
        <v>-2.8034702117980415E-2</v>
      </c>
      <c r="P57">
        <f t="shared" si="5"/>
        <v>0</v>
      </c>
      <c r="Q57">
        <f t="shared" si="4"/>
        <v>-7.9228798873315076E-3</v>
      </c>
      <c r="R57">
        <f t="shared" si="4"/>
        <v>2.2932867739515967E-3</v>
      </c>
      <c r="S57">
        <f t="shared" si="4"/>
        <v>-3.5231980073169053E-3</v>
      </c>
      <c r="T57">
        <f t="shared" ref="T57:AB120" si="6">LN(F57/F56)</f>
        <v>-1.5396461855927501E-3</v>
      </c>
      <c r="U57">
        <f t="shared" si="6"/>
        <v>2.5284463533586906E-3</v>
      </c>
      <c r="V57">
        <f t="shared" si="6"/>
        <v>-5.5504305306490918E-3</v>
      </c>
      <c r="W57">
        <f t="shared" si="6"/>
        <v>-1.2345835822299379E-2</v>
      </c>
      <c r="X57">
        <f t="shared" si="6"/>
        <v>-1.176484157958637E-2</v>
      </c>
      <c r="Y57">
        <f t="shared" si="6"/>
        <v>1.0476690324436838E-3</v>
      </c>
      <c r="Z57">
        <f t="shared" si="6"/>
        <v>-5.8888995947687685E-4</v>
      </c>
      <c r="AA57">
        <f t="shared" si="6"/>
        <v>-9.0764692596997807E-5</v>
      </c>
      <c r="AB57">
        <f t="shared" si="6"/>
        <v>1.8118990045298586E-4</v>
      </c>
    </row>
    <row r="58" spans="1:28" ht="15.75" thickBot="1" x14ac:dyDescent="0.3">
      <c r="A58" s="41">
        <v>100.9</v>
      </c>
      <c r="B58" s="41">
        <v>646</v>
      </c>
      <c r="C58" s="41">
        <v>574.5</v>
      </c>
      <c r="D58" s="41">
        <v>3980</v>
      </c>
      <c r="E58" s="41">
        <v>84</v>
      </c>
      <c r="F58" s="41">
        <v>67.8</v>
      </c>
      <c r="G58" s="41">
        <v>470</v>
      </c>
      <c r="H58" s="41">
        <v>10700</v>
      </c>
      <c r="I58" s="41">
        <v>318</v>
      </c>
      <c r="J58" s="41">
        <v>169</v>
      </c>
      <c r="K58" s="41">
        <v>953.1</v>
      </c>
      <c r="L58" s="41">
        <v>992.62</v>
      </c>
      <c r="M58" s="38">
        <v>107.6</v>
      </c>
      <c r="N58" s="42">
        <v>19.412500000000001</v>
      </c>
      <c r="O58">
        <f t="shared" si="5"/>
        <v>-1.084288592470777E-2</v>
      </c>
      <c r="P58">
        <f t="shared" si="5"/>
        <v>0</v>
      </c>
      <c r="Q58">
        <f t="shared" si="5"/>
        <v>-6.5926678753621395E-3</v>
      </c>
      <c r="R58">
        <f t="shared" si="5"/>
        <v>1.2896878720023527E-2</v>
      </c>
      <c r="S58">
        <f t="shared" si="5"/>
        <v>-1.1834457647002796E-2</v>
      </c>
      <c r="T58">
        <f t="shared" si="6"/>
        <v>4.3714571236305517E-2</v>
      </c>
      <c r="U58">
        <f t="shared" si="6"/>
        <v>-1.1003073344330878E-2</v>
      </c>
      <c r="V58">
        <f t="shared" si="6"/>
        <v>-7.4488240129906248E-3</v>
      </c>
      <c r="W58">
        <f t="shared" si="6"/>
        <v>-1.2500162764231494E-2</v>
      </c>
      <c r="X58">
        <f t="shared" si="6"/>
        <v>0</v>
      </c>
      <c r="Y58">
        <f t="shared" si="6"/>
        <v>-1.991510537150062E-3</v>
      </c>
      <c r="Z58">
        <f t="shared" si="6"/>
        <v>-8.9961042167193851E-3</v>
      </c>
      <c r="AA58">
        <f t="shared" si="6"/>
        <v>-2.3603979624289569E-2</v>
      </c>
      <c r="AB58">
        <f t="shared" si="6"/>
        <v>4.8540024561078169E-3</v>
      </c>
    </row>
    <row r="59" spans="1:28" ht="15.75" thickBot="1" x14ac:dyDescent="0.3">
      <c r="A59" s="41">
        <v>102.5</v>
      </c>
      <c r="B59" s="41">
        <v>635.5</v>
      </c>
      <c r="C59" s="41">
        <v>563.9</v>
      </c>
      <c r="D59" s="41">
        <v>4009</v>
      </c>
      <c r="E59" s="41">
        <v>86.3</v>
      </c>
      <c r="F59" s="41">
        <v>65.650000000000006</v>
      </c>
      <c r="G59" s="41">
        <v>472</v>
      </c>
      <c r="H59" s="41">
        <v>10510</v>
      </c>
      <c r="I59" s="41">
        <v>315.89999999999998</v>
      </c>
      <c r="J59" s="41">
        <v>166</v>
      </c>
      <c r="K59" s="41">
        <v>948</v>
      </c>
      <c r="L59" s="41">
        <v>985.84</v>
      </c>
      <c r="M59" s="38">
        <v>108.25</v>
      </c>
      <c r="N59" s="42">
        <v>19.526499999999999</v>
      </c>
      <c r="O59">
        <f t="shared" si="5"/>
        <v>1.5732871218899488E-2</v>
      </c>
      <c r="P59">
        <f t="shared" si="5"/>
        <v>-1.6387413153093073E-2</v>
      </c>
      <c r="Q59">
        <f t="shared" si="5"/>
        <v>-1.8623166475674E-2</v>
      </c>
      <c r="R59">
        <f t="shared" si="5"/>
        <v>7.2600143640234828E-3</v>
      </c>
      <c r="S59">
        <f t="shared" si="5"/>
        <v>2.7012799246068551E-2</v>
      </c>
      <c r="T59">
        <f t="shared" si="6"/>
        <v>-3.2224594197544608E-2</v>
      </c>
      <c r="U59">
        <f t="shared" si="6"/>
        <v>4.246290881451004E-3</v>
      </c>
      <c r="V59">
        <f t="shared" si="6"/>
        <v>-1.7916556579000723E-2</v>
      </c>
      <c r="W59">
        <f t="shared" si="6"/>
        <v>-6.6256749721373799E-3</v>
      </c>
      <c r="X59">
        <f t="shared" si="6"/>
        <v>-1.7910926566530219E-2</v>
      </c>
      <c r="Y59">
        <f t="shared" si="6"/>
        <v>-5.3653276885583488E-3</v>
      </c>
      <c r="Z59">
        <f t="shared" si="6"/>
        <v>-6.8538424238471394E-3</v>
      </c>
      <c r="AA59">
        <f t="shared" si="6"/>
        <v>6.0227191549152475E-3</v>
      </c>
      <c r="AB59">
        <f t="shared" si="6"/>
        <v>5.85532888395372E-3</v>
      </c>
    </row>
    <row r="60" spans="1:28" ht="15.75" thickBot="1" x14ac:dyDescent="0.3">
      <c r="A60" s="41">
        <v>96</v>
      </c>
      <c r="B60" s="41">
        <v>622.5</v>
      </c>
      <c r="C60" s="41">
        <v>557.79999999999995</v>
      </c>
      <c r="D60" s="41">
        <v>3945</v>
      </c>
      <c r="E60" s="41">
        <v>84.9</v>
      </c>
      <c r="F60" s="41">
        <v>66.95</v>
      </c>
      <c r="G60" s="41">
        <v>470</v>
      </c>
      <c r="H60" s="41">
        <v>10550</v>
      </c>
      <c r="I60" s="41">
        <v>321.89999999999998</v>
      </c>
      <c r="J60" s="41">
        <v>169</v>
      </c>
      <c r="K60" s="41">
        <v>958</v>
      </c>
      <c r="L60" s="41">
        <v>993.52</v>
      </c>
      <c r="M60" s="38">
        <v>107.16</v>
      </c>
      <c r="N60" s="42">
        <v>19.496499999999997</v>
      </c>
      <c r="O60">
        <f t="shared" si="5"/>
        <v>-6.5514607110626566E-2</v>
      </c>
      <c r="P60">
        <f t="shared" si="5"/>
        <v>-2.0668462290646106E-2</v>
      </c>
      <c r="Q60">
        <f t="shared" si="5"/>
        <v>-1.0876455619747932E-2</v>
      </c>
      <c r="R60">
        <f t="shared" si="5"/>
        <v>-1.6092879362532338E-2</v>
      </c>
      <c r="S60">
        <f t="shared" si="5"/>
        <v>-1.6355504772080556E-2</v>
      </c>
      <c r="T60">
        <f t="shared" si="6"/>
        <v>1.9608471388376337E-2</v>
      </c>
      <c r="U60">
        <f t="shared" si="6"/>
        <v>-4.2462908814510968E-3</v>
      </c>
      <c r="V60">
        <f t="shared" si="6"/>
        <v>3.7986750332157384E-3</v>
      </c>
      <c r="W60">
        <f t="shared" si="6"/>
        <v>1.8815230496722953E-2</v>
      </c>
      <c r="X60">
        <f t="shared" si="6"/>
        <v>1.7910926566530243E-2</v>
      </c>
      <c r="Y60">
        <f t="shared" si="6"/>
        <v>1.0493275715838723E-2</v>
      </c>
      <c r="Z60">
        <f t="shared" si="6"/>
        <v>7.7601230099092677E-3</v>
      </c>
      <c r="AA60">
        <f t="shared" si="6"/>
        <v>-1.012032220619123E-2</v>
      </c>
      <c r="AB60">
        <f t="shared" si="6"/>
        <v>-1.537555078296849E-3</v>
      </c>
    </row>
    <row r="61" spans="1:28" ht="15.75" thickBot="1" x14ac:dyDescent="0.3">
      <c r="A61" s="41">
        <v>90</v>
      </c>
      <c r="B61" s="41">
        <v>625</v>
      </c>
      <c r="C61" s="41">
        <v>564.5</v>
      </c>
      <c r="D61" s="41">
        <v>4005</v>
      </c>
      <c r="E61" s="41">
        <v>83.9</v>
      </c>
      <c r="F61" s="41">
        <v>68</v>
      </c>
      <c r="G61" s="41">
        <v>470</v>
      </c>
      <c r="H61" s="41">
        <v>10550</v>
      </c>
      <c r="I61" s="41">
        <v>323.5</v>
      </c>
      <c r="J61" s="41">
        <v>167</v>
      </c>
      <c r="K61" s="41">
        <v>949.7</v>
      </c>
      <c r="L61" s="41">
        <v>999.56</v>
      </c>
      <c r="M61" s="38">
        <v>108.01</v>
      </c>
      <c r="N61" s="42">
        <v>19.4405</v>
      </c>
      <c r="O61">
        <f t="shared" si="5"/>
        <v>-6.4538521137571178E-2</v>
      </c>
      <c r="P61">
        <f t="shared" si="5"/>
        <v>4.0080213975388678E-3</v>
      </c>
      <c r="Q61">
        <f t="shared" si="5"/>
        <v>1.1939908396328124E-2</v>
      </c>
      <c r="R61">
        <f t="shared" si="5"/>
        <v>1.5094626222484888E-2</v>
      </c>
      <c r="S61">
        <f t="shared" si="5"/>
        <v>-1.1848479844141111E-2</v>
      </c>
      <c r="T61">
        <f t="shared" si="6"/>
        <v>1.5561633038925094E-2</v>
      </c>
      <c r="U61">
        <f t="shared" si="6"/>
        <v>0</v>
      </c>
      <c r="V61">
        <f t="shared" si="6"/>
        <v>0</v>
      </c>
      <c r="W61">
        <f t="shared" si="6"/>
        <v>4.9581756361929312E-3</v>
      </c>
      <c r="X61">
        <f t="shared" si="6"/>
        <v>-1.1904902506318314E-2</v>
      </c>
      <c r="Y61">
        <f t="shared" si="6"/>
        <v>-8.7016327219536557E-3</v>
      </c>
      <c r="Z61">
        <f t="shared" si="6"/>
        <v>6.0609895139559448E-3</v>
      </c>
      <c r="AA61">
        <f t="shared" si="6"/>
        <v>7.9007707539748614E-3</v>
      </c>
      <c r="AB61">
        <f t="shared" si="6"/>
        <v>-2.8764434143180384E-3</v>
      </c>
    </row>
    <row r="62" spans="1:28" ht="15.75" thickBot="1" x14ac:dyDescent="0.3">
      <c r="A62" s="41">
        <v>90.95</v>
      </c>
      <c r="B62" s="41">
        <v>632.5</v>
      </c>
      <c r="C62" s="41">
        <v>564.6</v>
      </c>
      <c r="D62" s="41">
        <v>4064</v>
      </c>
      <c r="E62" s="41">
        <v>83</v>
      </c>
      <c r="F62" s="41">
        <v>70</v>
      </c>
      <c r="G62" s="41">
        <v>469.8</v>
      </c>
      <c r="H62" s="41">
        <v>10600</v>
      </c>
      <c r="I62" s="41">
        <v>330</v>
      </c>
      <c r="J62" s="41">
        <v>169.6</v>
      </c>
      <c r="K62" s="41">
        <v>943</v>
      </c>
      <c r="L62" s="41">
        <v>997.73</v>
      </c>
      <c r="M62" s="38">
        <v>108.96</v>
      </c>
      <c r="N62" s="42">
        <v>19.292999999999999</v>
      </c>
      <c r="O62">
        <f t="shared" si="5"/>
        <v>1.0500234633866288E-2</v>
      </c>
      <c r="P62">
        <f t="shared" si="5"/>
        <v>1.1928570865273812E-2</v>
      </c>
      <c r="Q62">
        <f t="shared" si="5"/>
        <v>1.7713222967226359E-4</v>
      </c>
      <c r="R62">
        <f t="shared" si="5"/>
        <v>1.4624129755858129E-2</v>
      </c>
      <c r="S62">
        <f t="shared" si="5"/>
        <v>-1.0785005676562674E-2</v>
      </c>
      <c r="T62">
        <f t="shared" si="6"/>
        <v>2.8987536873252187E-2</v>
      </c>
      <c r="U62">
        <f t="shared" si="6"/>
        <v>-4.2562247929181995E-4</v>
      </c>
      <c r="V62">
        <f t="shared" si="6"/>
        <v>4.7281411959458957E-3</v>
      </c>
      <c r="W62">
        <f t="shared" si="6"/>
        <v>1.9893540519570572E-2</v>
      </c>
      <c r="X62">
        <f t="shared" si="6"/>
        <v>1.5448910941047557E-2</v>
      </c>
      <c r="Y62">
        <f t="shared" si="6"/>
        <v>-7.0798626154493782E-3</v>
      </c>
      <c r="Z62">
        <f t="shared" si="6"/>
        <v>-1.8324835272737693E-3</v>
      </c>
      <c r="AA62">
        <f t="shared" si="6"/>
        <v>8.7570269708193028E-3</v>
      </c>
      <c r="AB62">
        <f t="shared" si="6"/>
        <v>-7.6161830453085099E-3</v>
      </c>
    </row>
    <row r="63" spans="1:28" ht="15.75" thickBot="1" x14ac:dyDescent="0.3">
      <c r="A63" s="41">
        <v>89.8</v>
      </c>
      <c r="B63" s="41">
        <v>644.5</v>
      </c>
      <c r="C63" s="41">
        <v>560</v>
      </c>
      <c r="D63" s="41">
        <v>3941</v>
      </c>
      <c r="E63" s="41">
        <v>82.6</v>
      </c>
      <c r="F63" s="41">
        <v>70.099999999999994</v>
      </c>
      <c r="G63" s="41">
        <v>471.9</v>
      </c>
      <c r="H63" s="41">
        <v>10700</v>
      </c>
      <c r="I63" s="41">
        <v>341.5</v>
      </c>
      <c r="J63" s="41">
        <v>168.95</v>
      </c>
      <c r="K63" s="41">
        <v>932</v>
      </c>
      <c r="L63" s="41">
        <v>994.3</v>
      </c>
      <c r="M63" s="38">
        <v>109.99</v>
      </c>
      <c r="N63" s="42">
        <v>19.275500000000001</v>
      </c>
      <c r="O63">
        <f t="shared" si="5"/>
        <v>-1.2724929655977395E-2</v>
      </c>
      <c r="P63">
        <f t="shared" si="5"/>
        <v>1.8794601777566672E-2</v>
      </c>
      <c r="Q63">
        <f t="shared" si="5"/>
        <v>-8.1807320901940254E-3</v>
      </c>
      <c r="R63">
        <f t="shared" si="5"/>
        <v>-3.0733212063314135E-2</v>
      </c>
      <c r="S63">
        <f t="shared" si="5"/>
        <v>-4.8309272696655803E-3</v>
      </c>
      <c r="T63">
        <f t="shared" si="6"/>
        <v>1.4275519911853237E-3</v>
      </c>
      <c r="U63">
        <f t="shared" si="6"/>
        <v>4.4600265075293039E-3</v>
      </c>
      <c r="V63">
        <f t="shared" si="6"/>
        <v>9.3897403498391374E-3</v>
      </c>
      <c r="W63">
        <f t="shared" si="6"/>
        <v>3.425502455031889E-2</v>
      </c>
      <c r="X63">
        <f t="shared" si="6"/>
        <v>-3.8399101975038308E-3</v>
      </c>
      <c r="Y63">
        <f t="shared" si="6"/>
        <v>-1.1733467947866292E-2</v>
      </c>
      <c r="Z63">
        <f t="shared" si="6"/>
        <v>-3.4437266404313393E-3</v>
      </c>
      <c r="AA63">
        <f t="shared" si="6"/>
        <v>9.4086101678231542E-3</v>
      </c>
      <c r="AB63">
        <f t="shared" si="6"/>
        <v>-9.0747637066285745E-4</v>
      </c>
    </row>
    <row r="64" spans="1:28" ht="15.75" thickBot="1" x14ac:dyDescent="0.3">
      <c r="A64" s="41">
        <v>91.85</v>
      </c>
      <c r="B64" s="41">
        <v>652</v>
      </c>
      <c r="C64" s="41">
        <v>557</v>
      </c>
      <c r="D64" s="41">
        <v>3880</v>
      </c>
      <c r="E64" s="41">
        <v>82.55</v>
      </c>
      <c r="F64" s="41">
        <v>72</v>
      </c>
      <c r="G64" s="41">
        <v>470</v>
      </c>
      <c r="H64" s="41">
        <v>10600</v>
      </c>
      <c r="I64" s="41">
        <v>343.5</v>
      </c>
      <c r="J64" s="41">
        <v>166.8</v>
      </c>
      <c r="K64" s="41">
        <v>926.5</v>
      </c>
      <c r="L64" s="41">
        <v>994.33</v>
      </c>
      <c r="M64" s="38">
        <v>111.27</v>
      </c>
      <c r="N64" s="42">
        <v>19.320499999999999</v>
      </c>
      <c r="O64">
        <f t="shared" si="5"/>
        <v>2.2571836352980778E-2</v>
      </c>
      <c r="P64">
        <f t="shared" si="5"/>
        <v>1.1569739547410859E-2</v>
      </c>
      <c r="Q64">
        <f t="shared" si="5"/>
        <v>-5.3715438019108766E-3</v>
      </c>
      <c r="R64">
        <f t="shared" si="5"/>
        <v>-1.5599344577684538E-2</v>
      </c>
      <c r="S64">
        <f t="shared" si="5"/>
        <v>-6.0551016079531627E-4</v>
      </c>
      <c r="T64">
        <f t="shared" si="6"/>
        <v>2.6743324975510893E-2</v>
      </c>
      <c r="U64">
        <f t="shared" si="6"/>
        <v>-4.0344040282374646E-3</v>
      </c>
      <c r="V64">
        <f t="shared" si="6"/>
        <v>-9.3897403498390316E-3</v>
      </c>
      <c r="W64">
        <f t="shared" si="6"/>
        <v>5.8394326515591663E-3</v>
      </c>
      <c r="X64">
        <f t="shared" si="6"/>
        <v>-1.2807323235652448E-2</v>
      </c>
      <c r="Y64">
        <f t="shared" si="6"/>
        <v>-5.918768960176693E-3</v>
      </c>
      <c r="Z64">
        <f t="shared" si="6"/>
        <v>3.0171525122721355E-5</v>
      </c>
      <c r="AA64">
        <f t="shared" si="6"/>
        <v>1.1570227600583955E-2</v>
      </c>
      <c r="AB64">
        <f t="shared" si="6"/>
        <v>2.3318489165038815E-3</v>
      </c>
    </row>
    <row r="65" spans="1:28" ht="15.75" thickBot="1" x14ac:dyDescent="0.3">
      <c r="A65" s="41">
        <v>90.3</v>
      </c>
      <c r="B65" s="41">
        <v>652</v>
      </c>
      <c r="C65" s="41">
        <v>568.4</v>
      </c>
      <c r="D65" s="41">
        <v>3809</v>
      </c>
      <c r="E65" s="41">
        <v>83</v>
      </c>
      <c r="F65" s="41">
        <v>71.8</v>
      </c>
      <c r="G65" s="41">
        <v>464</v>
      </c>
      <c r="H65" s="41">
        <v>10670</v>
      </c>
      <c r="I65" s="41">
        <v>339.6</v>
      </c>
      <c r="J65" s="41">
        <v>169</v>
      </c>
      <c r="K65" s="41">
        <v>923.5</v>
      </c>
      <c r="L65" s="41">
        <v>997.31</v>
      </c>
      <c r="M65" s="38">
        <v>110.84</v>
      </c>
      <c r="N65" s="42">
        <v>19.445</v>
      </c>
      <c r="O65">
        <f t="shared" si="5"/>
        <v>-1.7019351238194851E-2</v>
      </c>
      <c r="P65">
        <f t="shared" si="5"/>
        <v>0</v>
      </c>
      <c r="Q65">
        <f t="shared" si="5"/>
        <v>2.0260156295661507E-2</v>
      </c>
      <c r="R65">
        <f t="shared" si="5"/>
        <v>-1.8468466138715129E-2</v>
      </c>
      <c r="S65">
        <f t="shared" si="5"/>
        <v>5.4364374304608646E-3</v>
      </c>
      <c r="T65">
        <f t="shared" si="6"/>
        <v>-2.7816429618768026E-3</v>
      </c>
      <c r="U65">
        <f t="shared" si="6"/>
        <v>-1.2848142477849024E-2</v>
      </c>
      <c r="V65">
        <f t="shared" si="6"/>
        <v>6.5820641956404816E-3</v>
      </c>
      <c r="W65">
        <f t="shared" si="6"/>
        <v>-1.1418657225211671E-2</v>
      </c>
      <c r="X65">
        <f t="shared" si="6"/>
        <v>1.3103224998427008E-2</v>
      </c>
      <c r="Y65">
        <f t="shared" si="6"/>
        <v>-3.2432460861197801E-3</v>
      </c>
      <c r="Z65">
        <f t="shared" si="6"/>
        <v>2.9925109194983627E-3</v>
      </c>
      <c r="AA65">
        <f t="shared" si="6"/>
        <v>-3.8719601748314473E-3</v>
      </c>
      <c r="AB65">
        <f t="shared" si="6"/>
        <v>6.4232592410337361E-3</v>
      </c>
    </row>
    <row r="66" spans="1:28" ht="15.75" thickBot="1" x14ac:dyDescent="0.3">
      <c r="A66" s="41">
        <v>90</v>
      </c>
      <c r="B66" s="41">
        <v>645</v>
      </c>
      <c r="C66" s="41">
        <v>570</v>
      </c>
      <c r="D66" s="41">
        <v>3871</v>
      </c>
      <c r="E66" s="41">
        <v>83.9</v>
      </c>
      <c r="F66" s="41">
        <v>68.8</v>
      </c>
      <c r="G66" s="41">
        <v>465</v>
      </c>
      <c r="H66" s="41">
        <v>10700</v>
      </c>
      <c r="I66" s="41">
        <v>346</v>
      </c>
      <c r="J66" s="41">
        <v>170</v>
      </c>
      <c r="K66" s="41">
        <v>912</v>
      </c>
      <c r="L66" s="41">
        <v>992.14</v>
      </c>
      <c r="M66" s="38">
        <v>110.47</v>
      </c>
      <c r="N66" s="42">
        <v>19.420999999999999</v>
      </c>
      <c r="O66">
        <f t="shared" si="5"/>
        <v>-3.327790092674691E-3</v>
      </c>
      <c r="P66">
        <f t="shared" si="5"/>
        <v>-1.0794245130880512E-2</v>
      </c>
      <c r="Q66">
        <f t="shared" si="5"/>
        <v>2.8109646056502283E-3</v>
      </c>
      <c r="R66">
        <f t="shared" si="5"/>
        <v>1.6146184099044149E-2</v>
      </c>
      <c r="S66">
        <f t="shared" si="5"/>
        <v>1.0785005676562572E-2</v>
      </c>
      <c r="T66">
        <f t="shared" si="6"/>
        <v>-4.2680731114880556E-2</v>
      </c>
      <c r="U66">
        <f t="shared" si="6"/>
        <v>2.1528533611010927E-3</v>
      </c>
      <c r="V66">
        <f t="shared" si="6"/>
        <v>2.8076761541985617E-3</v>
      </c>
      <c r="W66">
        <f t="shared" si="6"/>
        <v>1.8670320620531918E-2</v>
      </c>
      <c r="X66">
        <f t="shared" si="6"/>
        <v>5.899722127188322E-3</v>
      </c>
      <c r="Y66">
        <f t="shared" si="6"/>
        <v>-1.2530809564963287E-2</v>
      </c>
      <c r="Z66">
        <f t="shared" si="6"/>
        <v>-5.197428071283006E-3</v>
      </c>
      <c r="AA66">
        <f t="shared" si="6"/>
        <v>-3.3437291105939673E-3</v>
      </c>
      <c r="AB66">
        <f t="shared" si="6"/>
        <v>-1.2350127643962912E-3</v>
      </c>
    </row>
    <row r="67" spans="1:28" ht="15.75" thickBot="1" x14ac:dyDescent="0.3">
      <c r="A67" s="41">
        <v>93</v>
      </c>
      <c r="B67" s="41">
        <v>657</v>
      </c>
      <c r="C67" s="41">
        <v>557.5</v>
      </c>
      <c r="D67" s="41">
        <v>3877</v>
      </c>
      <c r="E67" s="41">
        <v>82</v>
      </c>
      <c r="F67" s="41">
        <v>66</v>
      </c>
      <c r="G67" s="41">
        <v>459</v>
      </c>
      <c r="H67" s="41">
        <v>10685</v>
      </c>
      <c r="I67" s="41">
        <v>346</v>
      </c>
      <c r="J67" s="41">
        <v>170.1</v>
      </c>
      <c r="K67" s="41">
        <v>885.1</v>
      </c>
      <c r="L67" s="41">
        <v>975.62</v>
      </c>
      <c r="M67" s="38">
        <v>108.26</v>
      </c>
      <c r="N67" s="42">
        <v>19.504999999999999</v>
      </c>
      <c r="O67">
        <f t="shared" si="5"/>
        <v>3.278982282299097E-2</v>
      </c>
      <c r="P67">
        <f t="shared" si="5"/>
        <v>1.8433701688837966E-2</v>
      </c>
      <c r="Q67">
        <f t="shared" si="5"/>
        <v>-2.2173857494321967E-2</v>
      </c>
      <c r="R67">
        <f t="shared" si="5"/>
        <v>1.5487870932810583E-3</v>
      </c>
      <c r="S67">
        <f t="shared" si="5"/>
        <v>-2.2906366208907476E-2</v>
      </c>
      <c r="T67">
        <f t="shared" si="6"/>
        <v>-4.154900291287239E-2</v>
      </c>
      <c r="U67">
        <f t="shared" si="6"/>
        <v>-1.298719552681119E-2</v>
      </c>
      <c r="V67">
        <f t="shared" si="6"/>
        <v>-1.4028526967495636E-3</v>
      </c>
      <c r="W67">
        <f t="shared" si="6"/>
        <v>0</v>
      </c>
      <c r="X67">
        <f t="shared" si="6"/>
        <v>5.8806235155422289E-4</v>
      </c>
      <c r="Y67">
        <f t="shared" si="6"/>
        <v>-2.9939357099500127E-2</v>
      </c>
      <c r="Z67">
        <f t="shared" si="6"/>
        <v>-1.679106002272493E-2</v>
      </c>
      <c r="AA67">
        <f t="shared" si="6"/>
        <v>-2.0208249515351818E-2</v>
      </c>
      <c r="AB67">
        <f t="shared" si="6"/>
        <v>4.3158881153054557E-3</v>
      </c>
    </row>
    <row r="68" spans="1:28" ht="15.75" thickBot="1" x14ac:dyDescent="0.3">
      <c r="A68" s="41">
        <v>91.4</v>
      </c>
      <c r="B68" s="41">
        <v>662</v>
      </c>
      <c r="C68" s="41">
        <v>533.4</v>
      </c>
      <c r="D68" s="41">
        <v>3845</v>
      </c>
      <c r="E68" s="41">
        <v>82</v>
      </c>
      <c r="F68" s="41">
        <v>65.95</v>
      </c>
      <c r="G68" s="41">
        <v>459</v>
      </c>
      <c r="H68" s="41">
        <v>10700</v>
      </c>
      <c r="I68" s="41">
        <v>348</v>
      </c>
      <c r="J68" s="41">
        <v>170.25</v>
      </c>
      <c r="K68" s="41">
        <v>895</v>
      </c>
      <c r="L68" s="41">
        <v>995.11</v>
      </c>
      <c r="M68" s="38">
        <v>109.33</v>
      </c>
      <c r="N68" s="42">
        <v>19.582999999999998</v>
      </c>
      <c r="O68">
        <f t="shared" si="5"/>
        <v>-1.7354014693151506E-2</v>
      </c>
      <c r="P68">
        <f t="shared" si="5"/>
        <v>7.5815374523977531E-3</v>
      </c>
      <c r="Q68">
        <f t="shared" si="5"/>
        <v>-4.4190891586359915E-2</v>
      </c>
      <c r="R68">
        <f t="shared" si="5"/>
        <v>-8.2880557311847541E-3</v>
      </c>
      <c r="S68">
        <f t="shared" si="5"/>
        <v>0</v>
      </c>
      <c r="T68">
        <f t="shared" si="6"/>
        <v>-7.5786286310191686E-4</v>
      </c>
      <c r="U68">
        <f t="shared" si="6"/>
        <v>0</v>
      </c>
      <c r="V68">
        <f t="shared" si="6"/>
        <v>1.4028526967496337E-3</v>
      </c>
      <c r="W68">
        <f t="shared" si="6"/>
        <v>5.7637047167501338E-3</v>
      </c>
      <c r="X68">
        <f t="shared" si="6"/>
        <v>8.8144562780564169E-4</v>
      </c>
      <c r="Y68">
        <f t="shared" si="6"/>
        <v>1.1123085300024182E-2</v>
      </c>
      <c r="Z68">
        <f t="shared" si="6"/>
        <v>1.9780117475264508E-2</v>
      </c>
      <c r="AA68">
        <f t="shared" si="6"/>
        <v>9.8350900775614498E-3</v>
      </c>
      <c r="AB68">
        <f t="shared" si="6"/>
        <v>3.9909999760794831E-3</v>
      </c>
    </row>
    <row r="69" spans="1:28" ht="15.75" thickBot="1" x14ac:dyDescent="0.3">
      <c r="A69" s="41">
        <v>95.3</v>
      </c>
      <c r="B69" s="41">
        <v>677.9</v>
      </c>
      <c r="C69" s="41">
        <v>552.1</v>
      </c>
      <c r="D69" s="41">
        <v>3920</v>
      </c>
      <c r="E69" s="41">
        <v>76.8</v>
      </c>
      <c r="F69" s="41">
        <v>68.260000000000005</v>
      </c>
      <c r="G69" s="41">
        <v>460</v>
      </c>
      <c r="H69" s="41">
        <v>10900</v>
      </c>
      <c r="I69" s="41">
        <v>349</v>
      </c>
      <c r="J69" s="41">
        <v>170</v>
      </c>
      <c r="K69" s="41">
        <v>892.6</v>
      </c>
      <c r="L69" s="41">
        <v>983.25</v>
      </c>
      <c r="M69" s="38">
        <v>110.18</v>
      </c>
      <c r="N69" s="42">
        <v>19.494</v>
      </c>
      <c r="O69">
        <f t="shared" si="5"/>
        <v>4.1784332200051913E-2</v>
      </c>
      <c r="P69">
        <f t="shared" si="5"/>
        <v>2.3734228499911778E-2</v>
      </c>
      <c r="Q69">
        <f t="shared" si="5"/>
        <v>3.4457577542085054E-2</v>
      </c>
      <c r="R69">
        <f t="shared" si="5"/>
        <v>1.9318050844763877E-2</v>
      </c>
      <c r="S69">
        <f t="shared" si="5"/>
        <v>-6.5514607110626691E-2</v>
      </c>
      <c r="T69">
        <f t="shared" si="6"/>
        <v>3.4427064315237343E-2</v>
      </c>
      <c r="U69">
        <f t="shared" si="6"/>
        <v>2.1762794225954484E-3</v>
      </c>
      <c r="V69">
        <f t="shared" si="6"/>
        <v>1.8519047767237531E-2</v>
      </c>
      <c r="W69">
        <f t="shared" si="6"/>
        <v>2.869442427952739E-3</v>
      </c>
      <c r="X69">
        <f t="shared" si="6"/>
        <v>-1.4695079793599947E-3</v>
      </c>
      <c r="Y69">
        <f t="shared" si="6"/>
        <v>-2.6851660796857906E-3</v>
      </c>
      <c r="Z69">
        <f t="shared" si="6"/>
        <v>-1.1989872499986502E-2</v>
      </c>
      <c r="AA69">
        <f t="shared" si="6"/>
        <v>7.7445605981771798E-3</v>
      </c>
      <c r="AB69">
        <f t="shared" si="6"/>
        <v>-4.5551170196810233E-3</v>
      </c>
    </row>
    <row r="70" spans="1:28" ht="15.75" thickBot="1" x14ac:dyDescent="0.3">
      <c r="A70" s="41">
        <v>94.99</v>
      </c>
      <c r="B70" s="41">
        <v>677</v>
      </c>
      <c r="C70" s="41">
        <v>538</v>
      </c>
      <c r="D70" s="41">
        <v>3850</v>
      </c>
      <c r="E70" s="41">
        <v>73</v>
      </c>
      <c r="F70" s="41">
        <v>68.900000000000006</v>
      </c>
      <c r="G70" s="41">
        <v>463</v>
      </c>
      <c r="H70" s="41">
        <v>10788</v>
      </c>
      <c r="I70" s="41">
        <v>348.5</v>
      </c>
      <c r="J70" s="41">
        <v>171</v>
      </c>
      <c r="K70" s="41">
        <v>889.8</v>
      </c>
      <c r="L70" s="41">
        <v>976.9</v>
      </c>
      <c r="M70" s="38">
        <v>110.14</v>
      </c>
      <c r="N70" s="42">
        <v>19.529499999999999</v>
      </c>
      <c r="O70">
        <f t="shared" si="5"/>
        <v>-3.2581877580653996E-3</v>
      </c>
      <c r="P70">
        <f t="shared" si="5"/>
        <v>-1.3285115246449283E-3</v>
      </c>
      <c r="Q70">
        <f t="shared" si="5"/>
        <v>-2.5870629128214567E-2</v>
      </c>
      <c r="R70">
        <f t="shared" si="5"/>
        <v>-1.8018505502678365E-2</v>
      </c>
      <c r="S70">
        <f t="shared" si="5"/>
        <v>-5.0745199005235317E-2</v>
      </c>
      <c r="T70">
        <f t="shared" si="6"/>
        <v>9.3322345410518891E-3</v>
      </c>
      <c r="U70">
        <f t="shared" si="6"/>
        <v>6.5005646030934627E-3</v>
      </c>
      <c r="V70">
        <f t="shared" si="6"/>
        <v>-1.0328383957614441E-2</v>
      </c>
      <c r="W70">
        <f t="shared" si="6"/>
        <v>-1.4336920018485856E-3</v>
      </c>
      <c r="X70">
        <f t="shared" si="6"/>
        <v>5.8651194523980576E-3</v>
      </c>
      <c r="Y70">
        <f t="shared" si="6"/>
        <v>-3.1418338232282019E-3</v>
      </c>
      <c r="Z70">
        <f t="shared" si="6"/>
        <v>-6.4791186530220651E-3</v>
      </c>
      <c r="AA70">
        <f t="shared" si="6"/>
        <v>-3.6310821023514533E-4</v>
      </c>
      <c r="AB70">
        <f t="shared" si="6"/>
        <v>1.8194170073367625E-3</v>
      </c>
    </row>
    <row r="71" spans="1:28" ht="15.75" thickBot="1" x14ac:dyDescent="0.3">
      <c r="A71" s="41">
        <v>93</v>
      </c>
      <c r="B71" s="41">
        <v>643.1</v>
      </c>
      <c r="C71" s="41">
        <v>524</v>
      </c>
      <c r="D71" s="41">
        <v>3840</v>
      </c>
      <c r="E71" s="41">
        <v>74.2</v>
      </c>
      <c r="F71" s="41">
        <v>67.86</v>
      </c>
      <c r="G71" s="41">
        <v>464.3</v>
      </c>
      <c r="H71" s="41">
        <v>10426</v>
      </c>
      <c r="I71" s="41">
        <v>347</v>
      </c>
      <c r="J71" s="41">
        <v>168</v>
      </c>
      <c r="K71" s="41">
        <v>867</v>
      </c>
      <c r="L71" s="41">
        <v>962.64</v>
      </c>
      <c r="M71" s="38">
        <v>110.81</v>
      </c>
      <c r="N71" s="42">
        <v>19.8535</v>
      </c>
      <c r="O71">
        <f t="shared" si="5"/>
        <v>-2.1172129748835047E-2</v>
      </c>
      <c r="P71">
        <f t="shared" si="5"/>
        <v>-5.1371039771457544E-2</v>
      </c>
      <c r="Q71">
        <f t="shared" si="5"/>
        <v>-2.6366875840742224E-2</v>
      </c>
      <c r="R71">
        <f t="shared" si="5"/>
        <v>-2.6007817000573675E-3</v>
      </c>
      <c r="S71">
        <f t="shared" si="5"/>
        <v>1.6304709024943569E-2</v>
      </c>
      <c r="T71">
        <f t="shared" si="6"/>
        <v>-1.5209418663528908E-2</v>
      </c>
      <c r="U71">
        <f t="shared" si="6"/>
        <v>2.8038409396420215E-3</v>
      </c>
      <c r="V71">
        <f t="shared" si="6"/>
        <v>-3.4131718931569403E-2</v>
      </c>
      <c r="W71">
        <f t="shared" si="6"/>
        <v>-4.3134502537193536E-3</v>
      </c>
      <c r="X71">
        <f t="shared" si="6"/>
        <v>-1.7699577099400975E-2</v>
      </c>
      <c r="Y71">
        <f t="shared" si="6"/>
        <v>-2.5957741591399502E-2</v>
      </c>
      <c r="Z71">
        <f t="shared" si="6"/>
        <v>-1.4704782528989751E-2</v>
      </c>
      <c r="AA71">
        <f t="shared" si="6"/>
        <v>6.0647391138985776E-3</v>
      </c>
      <c r="AB71">
        <f t="shared" si="6"/>
        <v>1.6454171086009904E-2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Pr01</vt:lpstr>
      <vt:lpstr>Pr02</vt:lpstr>
      <vt:lpstr>Pr03</vt:lpstr>
      <vt:lpstr>Pr04</vt:lpstr>
      <vt:lpstr>Pr05</vt:lpstr>
      <vt:lpstr>Pr06</vt:lpstr>
      <vt:lpstr>Pr07</vt:lpstr>
      <vt:lpstr>Pr08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2023-04-29T10:25:53Z</dcterms:created>
  <dcterms:modified xsi:type="dcterms:W3CDTF">2023-04-29T13:47:11Z</dcterms:modified>
</cp:coreProperties>
</file>