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oogle Drive\Top Secret\Práce\ESF\Výuka\Finanční management\MKH_FMAN_2022\"/>
    </mc:Choice>
  </mc:AlternateContent>
  <xr:revisionPtr revIDLastSave="0" documentId="13_ncr:1_{933E80AC-0C7B-42D1-8181-63811E4230D0}" xr6:coauthVersionLast="47" xr6:coauthVersionMax="47" xr10:uidLastSave="{00000000-0000-0000-0000-000000000000}"/>
  <bookViews>
    <workbookView xWindow="-120" yWindow="-120" windowWidth="19440" windowHeight="11790" tabRatio="722" xr2:uid="{00000000-000D-0000-FFFF-FFFF00000000}"/>
  </bookViews>
  <sheets>
    <sheet name="Rozvahy" sheetId="9" r:id="rId1"/>
    <sheet name="Výkazy ZZ" sheetId="10" r:id="rId2"/>
    <sheet name="Pomocná data" sheetId="12" r:id="rId3"/>
    <sheet name="Rozvahy V+H" sheetId="15" r:id="rId4"/>
    <sheet name="Výkazy ZZ V+H" sheetId="16" r:id="rId5"/>
    <sheet name="Poměrové ukazatele" sheetId="11" r:id="rId6"/>
    <sheet name="Finanční a provozní páka" sheetId="17" r:id="rId7"/>
    <sheet name="Du Pont" sheetId="18" r:id="rId8"/>
  </sheets>
  <definedNames>
    <definedName name="_xlnm._FilterDatabase" localSheetId="1" hidden="1">'Výkazy ZZ'!$A$3:$I$3</definedName>
    <definedName name="_xlnm._FilterDatabase" localSheetId="4" hidden="1">'Výkazy ZZ V+H'!$A$3:$I$9</definedName>
    <definedName name="bonita" localSheetId="3">'Poměrové ukazatele'!#REF!</definedName>
    <definedName name="bonita" localSheetId="4">'Poměrové ukazatele'!#REF!</definedName>
    <definedName name="bonita">'Poměrové ukazatele'!#REF!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" i="9" l="1"/>
  <c r="H7" i="9"/>
  <c r="G7" i="9"/>
  <c r="F7" i="9"/>
  <c r="E7" i="9"/>
  <c r="I144" i="9"/>
  <c r="T63" i="16" l="1"/>
  <c r="S63" i="16"/>
  <c r="R63" i="16"/>
  <c r="Q63" i="16"/>
  <c r="T62" i="16"/>
  <c r="S62" i="16"/>
  <c r="R62" i="16"/>
  <c r="Q62" i="16"/>
  <c r="T61" i="16"/>
  <c r="S61" i="16"/>
  <c r="R61" i="16"/>
  <c r="Q61" i="16"/>
  <c r="T60" i="16"/>
  <c r="S60" i="16"/>
  <c r="R60" i="16"/>
  <c r="Q60" i="16"/>
  <c r="T59" i="16"/>
  <c r="S59" i="16"/>
  <c r="R59" i="16"/>
  <c r="Q59" i="16"/>
  <c r="T58" i="16"/>
  <c r="S58" i="16"/>
  <c r="R58" i="16"/>
  <c r="Q58" i="16"/>
  <c r="T57" i="16"/>
  <c r="S57" i="16"/>
  <c r="R57" i="16"/>
  <c r="Q57" i="16"/>
  <c r="T56" i="16"/>
  <c r="S56" i="16"/>
  <c r="R56" i="16"/>
  <c r="Q56" i="16"/>
  <c r="T55" i="16"/>
  <c r="S55" i="16"/>
  <c r="R55" i="16"/>
  <c r="Q55" i="16"/>
  <c r="T54" i="16"/>
  <c r="S54" i="16"/>
  <c r="R54" i="16"/>
  <c r="Q54" i="16"/>
  <c r="T53" i="16"/>
  <c r="S53" i="16"/>
  <c r="R53" i="16"/>
  <c r="Q53" i="16"/>
  <c r="T52" i="16"/>
  <c r="S52" i="16"/>
  <c r="R52" i="16"/>
  <c r="Q52" i="16"/>
  <c r="T51" i="16"/>
  <c r="S51" i="16"/>
  <c r="R51" i="16"/>
  <c r="Q51" i="16"/>
  <c r="T50" i="16"/>
  <c r="S50" i="16"/>
  <c r="R50" i="16"/>
  <c r="Q50" i="16"/>
  <c r="T49" i="16"/>
  <c r="S49" i="16"/>
  <c r="R49" i="16"/>
  <c r="Q49" i="16"/>
  <c r="T48" i="16"/>
  <c r="S48" i="16"/>
  <c r="R48" i="16"/>
  <c r="Q48" i="16"/>
  <c r="T47" i="16"/>
  <c r="S47" i="16"/>
  <c r="R47" i="16"/>
  <c r="Q47" i="16"/>
  <c r="T46" i="16"/>
  <c r="S46" i="16"/>
  <c r="R46" i="16"/>
  <c r="Q46" i="16"/>
  <c r="T45" i="16"/>
  <c r="S45" i="16"/>
  <c r="R45" i="16"/>
  <c r="Q45" i="16"/>
  <c r="T44" i="16"/>
  <c r="S44" i="16"/>
  <c r="R44" i="16"/>
  <c r="Q44" i="16"/>
  <c r="T43" i="16"/>
  <c r="S43" i="16"/>
  <c r="R43" i="16"/>
  <c r="Q43" i="16"/>
  <c r="T42" i="16"/>
  <c r="S42" i="16"/>
  <c r="R42" i="16"/>
  <c r="Q42" i="16"/>
  <c r="T41" i="16"/>
  <c r="S41" i="16"/>
  <c r="R41" i="16"/>
  <c r="Q41" i="16"/>
  <c r="T40" i="16"/>
  <c r="S40" i="16"/>
  <c r="R40" i="16"/>
  <c r="Q40" i="16"/>
  <c r="T39" i="16"/>
  <c r="S39" i="16"/>
  <c r="R39" i="16"/>
  <c r="Q39" i="16"/>
  <c r="T38" i="16"/>
  <c r="S38" i="16"/>
  <c r="R38" i="16"/>
  <c r="Q38" i="16"/>
  <c r="T37" i="16"/>
  <c r="S37" i="16"/>
  <c r="R37" i="16"/>
  <c r="Q37" i="16"/>
  <c r="T36" i="16"/>
  <c r="S36" i="16"/>
  <c r="R36" i="16"/>
  <c r="Q36" i="16"/>
  <c r="T35" i="16"/>
  <c r="S35" i="16"/>
  <c r="R35" i="16"/>
  <c r="Q35" i="16"/>
  <c r="T34" i="16"/>
  <c r="S34" i="16"/>
  <c r="R34" i="16"/>
  <c r="Q34" i="16"/>
  <c r="T33" i="16"/>
  <c r="S33" i="16"/>
  <c r="R33" i="16"/>
  <c r="Q33" i="16"/>
  <c r="T32" i="16"/>
  <c r="S32" i="16"/>
  <c r="R32" i="16"/>
  <c r="Q32" i="16"/>
  <c r="T31" i="16"/>
  <c r="S31" i="16"/>
  <c r="R31" i="16"/>
  <c r="Q31" i="16"/>
  <c r="T28" i="16"/>
  <c r="S28" i="16"/>
  <c r="R28" i="16"/>
  <c r="Q28" i="16"/>
  <c r="T27" i="16"/>
  <c r="S27" i="16"/>
  <c r="R27" i="16"/>
  <c r="Q27" i="16"/>
  <c r="T26" i="16"/>
  <c r="S26" i="16"/>
  <c r="R26" i="16"/>
  <c r="Q26" i="16"/>
  <c r="T25" i="16"/>
  <c r="S25" i="16"/>
  <c r="R25" i="16"/>
  <c r="Q25" i="16"/>
  <c r="T24" i="16"/>
  <c r="S24" i="16"/>
  <c r="R24" i="16"/>
  <c r="Q24" i="16"/>
  <c r="T23" i="16"/>
  <c r="S23" i="16"/>
  <c r="R23" i="16"/>
  <c r="Q23" i="16"/>
  <c r="T22" i="16"/>
  <c r="S22" i="16"/>
  <c r="R22" i="16"/>
  <c r="Q22" i="16"/>
  <c r="T21" i="16"/>
  <c r="S21" i="16"/>
  <c r="R21" i="16"/>
  <c r="Q21" i="16"/>
  <c r="T20" i="16"/>
  <c r="S20" i="16"/>
  <c r="R20" i="16"/>
  <c r="Q20" i="16"/>
  <c r="T19" i="16"/>
  <c r="S19" i="16"/>
  <c r="R19" i="16"/>
  <c r="Q19" i="16"/>
  <c r="T18" i="16"/>
  <c r="S18" i="16"/>
  <c r="R18" i="16"/>
  <c r="Q18" i="16"/>
  <c r="T17" i="16"/>
  <c r="S17" i="16"/>
  <c r="R17" i="16"/>
  <c r="Q17" i="16"/>
  <c r="T16" i="16"/>
  <c r="S16" i="16"/>
  <c r="R16" i="16"/>
  <c r="Q16" i="16"/>
  <c r="T15" i="16"/>
  <c r="S15" i="16"/>
  <c r="R15" i="16"/>
  <c r="Q15" i="16"/>
  <c r="T14" i="16"/>
  <c r="S14" i="16"/>
  <c r="R14" i="16"/>
  <c r="Q14" i="16"/>
  <c r="T13" i="16"/>
  <c r="S13" i="16"/>
  <c r="R13" i="16"/>
  <c r="Q13" i="16"/>
  <c r="T12" i="16"/>
  <c r="S12" i="16"/>
  <c r="R12" i="16"/>
  <c r="Q12" i="16"/>
  <c r="R4" i="16"/>
  <c r="S4" i="16"/>
  <c r="T4" i="16"/>
  <c r="R5" i="16"/>
  <c r="S5" i="16"/>
  <c r="T5" i="16"/>
  <c r="R6" i="16"/>
  <c r="S6" i="16"/>
  <c r="T6" i="16"/>
  <c r="R7" i="16"/>
  <c r="S7" i="16"/>
  <c r="T7" i="16"/>
  <c r="R8" i="16"/>
  <c r="S8" i="16"/>
  <c r="T8" i="16"/>
  <c r="R9" i="16"/>
  <c r="S9" i="16"/>
  <c r="T9" i="16"/>
  <c r="Q5" i="16"/>
  <c r="Q6" i="16"/>
  <c r="Q7" i="16"/>
  <c r="Q8" i="16"/>
  <c r="Q9" i="16"/>
  <c r="Q4" i="16"/>
  <c r="I30" i="16"/>
  <c r="O61" i="16" s="1"/>
  <c r="H30" i="16"/>
  <c r="N58" i="16" s="1"/>
  <c r="G30" i="16"/>
  <c r="M63" i="16" s="1"/>
  <c r="F30" i="16"/>
  <c r="L60" i="16" s="1"/>
  <c r="E30" i="16"/>
  <c r="K57" i="16" s="1"/>
  <c r="I11" i="16"/>
  <c r="O26" i="16" s="1"/>
  <c r="H11" i="16"/>
  <c r="N26" i="16" s="1"/>
  <c r="G11" i="16"/>
  <c r="M23" i="16" s="1"/>
  <c r="F11" i="16"/>
  <c r="L22" i="16" s="1"/>
  <c r="E11" i="16"/>
  <c r="K27" i="16" s="1"/>
  <c r="T146" i="15"/>
  <c r="S146" i="15"/>
  <c r="R146" i="15"/>
  <c r="Q146" i="15"/>
  <c r="T145" i="15"/>
  <c r="S145" i="15"/>
  <c r="R145" i="15"/>
  <c r="Q145" i="15"/>
  <c r="T143" i="15"/>
  <c r="S143" i="15"/>
  <c r="R143" i="15"/>
  <c r="Q143" i="15"/>
  <c r="T142" i="15"/>
  <c r="S142" i="15"/>
  <c r="R142" i="15"/>
  <c r="Q142" i="15"/>
  <c r="T141" i="15"/>
  <c r="S141" i="15"/>
  <c r="R141" i="15"/>
  <c r="Q141" i="15"/>
  <c r="T140" i="15"/>
  <c r="S140" i="15"/>
  <c r="R140" i="15"/>
  <c r="Q140" i="15"/>
  <c r="T139" i="15"/>
  <c r="S139" i="15"/>
  <c r="R139" i="15"/>
  <c r="Q139" i="15"/>
  <c r="T138" i="15"/>
  <c r="S138" i="15"/>
  <c r="R138" i="15"/>
  <c r="Q138" i="15"/>
  <c r="T137" i="15"/>
  <c r="S137" i="15"/>
  <c r="R137" i="15"/>
  <c r="Q137" i="15"/>
  <c r="T135" i="15"/>
  <c r="S135" i="15"/>
  <c r="R135" i="15"/>
  <c r="Q135" i="15"/>
  <c r="T134" i="15"/>
  <c r="S134" i="15"/>
  <c r="R134" i="15"/>
  <c r="Q134" i="15"/>
  <c r="T133" i="15"/>
  <c r="S133" i="15"/>
  <c r="R133" i="15"/>
  <c r="Q133" i="15"/>
  <c r="T132" i="15"/>
  <c r="S132" i="15"/>
  <c r="R132" i="15"/>
  <c r="Q132" i="15"/>
  <c r="T131" i="15"/>
  <c r="S131" i="15"/>
  <c r="R131" i="15"/>
  <c r="Q131" i="15"/>
  <c r="T130" i="15"/>
  <c r="S130" i="15"/>
  <c r="R130" i="15"/>
  <c r="Q130" i="15"/>
  <c r="T129" i="15"/>
  <c r="S129" i="15"/>
  <c r="R129" i="15"/>
  <c r="Q129" i="15"/>
  <c r="T128" i="15"/>
  <c r="S128" i="15"/>
  <c r="R128" i="15"/>
  <c r="Q128" i="15"/>
  <c r="T125" i="15"/>
  <c r="S125" i="15"/>
  <c r="R125" i="15"/>
  <c r="Q125" i="15"/>
  <c r="T124" i="15"/>
  <c r="S124" i="15"/>
  <c r="R124" i="15"/>
  <c r="Q124" i="15"/>
  <c r="T123" i="15"/>
  <c r="S123" i="15"/>
  <c r="R123" i="15"/>
  <c r="Q123" i="15"/>
  <c r="T121" i="15"/>
  <c r="S121" i="15"/>
  <c r="R121" i="15"/>
  <c r="Q121" i="15"/>
  <c r="T120" i="15"/>
  <c r="S120" i="15"/>
  <c r="R120" i="15"/>
  <c r="Q120" i="15"/>
  <c r="T119" i="15"/>
  <c r="S119" i="15"/>
  <c r="R119" i="15"/>
  <c r="Q119" i="15"/>
  <c r="T118" i="15"/>
  <c r="S118" i="15"/>
  <c r="R118" i="15"/>
  <c r="Q118" i="15"/>
  <c r="T117" i="15"/>
  <c r="S117" i="15"/>
  <c r="R117" i="15"/>
  <c r="Q117" i="15"/>
  <c r="T116" i="15"/>
  <c r="S116" i="15"/>
  <c r="R116" i="15"/>
  <c r="Q116" i="15"/>
  <c r="T115" i="15"/>
  <c r="S115" i="15"/>
  <c r="R115" i="15"/>
  <c r="Q115" i="15"/>
  <c r="T114" i="15"/>
  <c r="S114" i="15"/>
  <c r="R114" i="15"/>
  <c r="Q114" i="15"/>
  <c r="T113" i="15"/>
  <c r="S113" i="15"/>
  <c r="R113" i="15"/>
  <c r="Q113" i="15"/>
  <c r="T109" i="15"/>
  <c r="S109" i="15"/>
  <c r="R109" i="15"/>
  <c r="Q109" i="15"/>
  <c r="T108" i="15"/>
  <c r="S108" i="15"/>
  <c r="R108" i="15"/>
  <c r="Q108" i="15"/>
  <c r="T107" i="15"/>
  <c r="S107" i="15"/>
  <c r="R107" i="15"/>
  <c r="Q107" i="15"/>
  <c r="T106" i="15"/>
  <c r="S106" i="15"/>
  <c r="R106" i="15"/>
  <c r="Q106" i="15"/>
  <c r="T103" i="15"/>
  <c r="S103" i="15"/>
  <c r="R103" i="15"/>
  <c r="Q103" i="15"/>
  <c r="T101" i="15"/>
  <c r="S101" i="15"/>
  <c r="R101" i="15"/>
  <c r="Q101" i="15"/>
  <c r="T100" i="15"/>
  <c r="S100" i="15"/>
  <c r="R100" i="15"/>
  <c r="Q100" i="15"/>
  <c r="T99" i="15"/>
  <c r="S99" i="15"/>
  <c r="R99" i="15"/>
  <c r="Q99" i="15"/>
  <c r="T97" i="15"/>
  <c r="S97" i="15"/>
  <c r="R97" i="15"/>
  <c r="Q97" i="15"/>
  <c r="T96" i="15"/>
  <c r="S96" i="15"/>
  <c r="R96" i="15"/>
  <c r="Q96" i="15"/>
  <c r="T94" i="15"/>
  <c r="S94" i="15"/>
  <c r="R94" i="15"/>
  <c r="Q94" i="15"/>
  <c r="T93" i="15"/>
  <c r="S93" i="15"/>
  <c r="R93" i="15"/>
  <c r="Q93" i="15"/>
  <c r="T92" i="15"/>
  <c r="S92" i="15"/>
  <c r="R92" i="15"/>
  <c r="Q92" i="15"/>
  <c r="T91" i="15"/>
  <c r="S91" i="15"/>
  <c r="R91" i="15"/>
  <c r="Q91" i="15"/>
  <c r="T90" i="15"/>
  <c r="S90" i="15"/>
  <c r="R90" i="15"/>
  <c r="Q90" i="15"/>
  <c r="T88" i="15"/>
  <c r="S88" i="15"/>
  <c r="R88" i="15"/>
  <c r="Q88" i="15"/>
  <c r="T86" i="15"/>
  <c r="S86" i="15"/>
  <c r="R86" i="15"/>
  <c r="Q86" i="15"/>
  <c r="T85" i="15"/>
  <c r="S85" i="15"/>
  <c r="R85" i="15"/>
  <c r="Q85" i="15"/>
  <c r="T84" i="15"/>
  <c r="S84" i="15"/>
  <c r="R84" i="15"/>
  <c r="Q84" i="15"/>
  <c r="T80" i="15"/>
  <c r="S80" i="15"/>
  <c r="R80" i="15"/>
  <c r="Q80" i="15"/>
  <c r="T79" i="15"/>
  <c r="S79" i="15"/>
  <c r="R79" i="15"/>
  <c r="Q79" i="15"/>
  <c r="T78" i="15"/>
  <c r="S78" i="15"/>
  <c r="R78" i="15"/>
  <c r="Q78" i="15"/>
  <c r="T76" i="15"/>
  <c r="S76" i="15"/>
  <c r="R76" i="15"/>
  <c r="Q76" i="15"/>
  <c r="T75" i="15"/>
  <c r="S75" i="15"/>
  <c r="R75" i="15"/>
  <c r="Q75" i="15"/>
  <c r="T73" i="15"/>
  <c r="S73" i="15"/>
  <c r="R73" i="15"/>
  <c r="Q73" i="15"/>
  <c r="T72" i="15"/>
  <c r="S72" i="15"/>
  <c r="R72" i="15"/>
  <c r="Q72" i="15"/>
  <c r="T70" i="15"/>
  <c r="S70" i="15"/>
  <c r="R70" i="15"/>
  <c r="Q70" i="15"/>
  <c r="T69" i="15"/>
  <c r="S69" i="15"/>
  <c r="R69" i="15"/>
  <c r="Q69" i="15"/>
  <c r="T68" i="15"/>
  <c r="S68" i="15"/>
  <c r="R68" i="15"/>
  <c r="Q68" i="15"/>
  <c r="T67" i="15"/>
  <c r="S67" i="15"/>
  <c r="R67" i="15"/>
  <c r="Q67" i="15"/>
  <c r="T66" i="15"/>
  <c r="S66" i="15"/>
  <c r="R66" i="15"/>
  <c r="Q66" i="15"/>
  <c r="T65" i="15"/>
  <c r="S65" i="15"/>
  <c r="R65" i="15"/>
  <c r="Q65" i="15"/>
  <c r="T63" i="15"/>
  <c r="S63" i="15"/>
  <c r="R63" i="15"/>
  <c r="Q63" i="15"/>
  <c r="T62" i="15"/>
  <c r="S62" i="15"/>
  <c r="R62" i="15"/>
  <c r="Q62" i="15"/>
  <c r="T61" i="15"/>
  <c r="S61" i="15"/>
  <c r="R61" i="15"/>
  <c r="Q61" i="15"/>
  <c r="T59" i="15"/>
  <c r="S59" i="15"/>
  <c r="R59" i="15"/>
  <c r="Q59" i="15"/>
  <c r="T58" i="15"/>
  <c r="S58" i="15"/>
  <c r="R58" i="15"/>
  <c r="Q58" i="15"/>
  <c r="T57" i="15"/>
  <c r="S57" i="15"/>
  <c r="R57" i="15"/>
  <c r="Q57" i="15"/>
  <c r="T56" i="15"/>
  <c r="S56" i="15"/>
  <c r="R56" i="15"/>
  <c r="Q56" i="15"/>
  <c r="T54" i="15"/>
  <c r="S54" i="15"/>
  <c r="R54" i="15"/>
  <c r="Q54" i="15"/>
  <c r="T53" i="15"/>
  <c r="S53" i="15"/>
  <c r="R53" i="15"/>
  <c r="Q53" i="15"/>
  <c r="T52" i="15"/>
  <c r="S52" i="15"/>
  <c r="R52" i="15"/>
  <c r="Q52" i="15"/>
  <c r="T51" i="15"/>
  <c r="S51" i="15"/>
  <c r="R51" i="15"/>
  <c r="Q51" i="15"/>
  <c r="T48" i="15"/>
  <c r="S48" i="15"/>
  <c r="R48" i="15"/>
  <c r="Q48" i="15"/>
  <c r="T47" i="15"/>
  <c r="S47" i="15"/>
  <c r="R47" i="15"/>
  <c r="Q47" i="15"/>
  <c r="T46" i="15"/>
  <c r="S46" i="15"/>
  <c r="R46" i="15"/>
  <c r="Q46" i="15"/>
  <c r="T45" i="15"/>
  <c r="S45" i="15"/>
  <c r="R45" i="15"/>
  <c r="Q45" i="15"/>
  <c r="T43" i="15"/>
  <c r="S43" i="15"/>
  <c r="R43" i="15"/>
  <c r="Q43" i="15"/>
  <c r="T42" i="15"/>
  <c r="S42" i="15"/>
  <c r="R42" i="15"/>
  <c r="Q42" i="15"/>
  <c r="T39" i="15"/>
  <c r="S39" i="15"/>
  <c r="R39" i="15"/>
  <c r="Q39" i="15"/>
  <c r="T38" i="15"/>
  <c r="S38" i="15"/>
  <c r="R38" i="15"/>
  <c r="Q38" i="15"/>
  <c r="T36" i="15"/>
  <c r="S36" i="15"/>
  <c r="R36" i="15"/>
  <c r="Q36" i="15"/>
  <c r="T35" i="15"/>
  <c r="S35" i="15"/>
  <c r="R35" i="15"/>
  <c r="Q35" i="15"/>
  <c r="T34" i="15"/>
  <c r="S34" i="15"/>
  <c r="R34" i="15"/>
  <c r="Q34" i="15"/>
  <c r="T33" i="15"/>
  <c r="S33" i="15"/>
  <c r="R33" i="15"/>
  <c r="Q33" i="15"/>
  <c r="T32" i="15"/>
  <c r="S32" i="15"/>
  <c r="R32" i="15"/>
  <c r="Q32" i="15"/>
  <c r="T31" i="15"/>
  <c r="S31" i="15"/>
  <c r="R31" i="15"/>
  <c r="Q31" i="15"/>
  <c r="T29" i="15"/>
  <c r="S29" i="15"/>
  <c r="R29" i="15"/>
  <c r="Q29" i="15"/>
  <c r="T28" i="15"/>
  <c r="S28" i="15"/>
  <c r="R28" i="15"/>
  <c r="Q28" i="15"/>
  <c r="T26" i="15"/>
  <c r="S26" i="15"/>
  <c r="R26" i="15"/>
  <c r="Q26" i="15"/>
  <c r="T25" i="15"/>
  <c r="S25" i="15"/>
  <c r="R25" i="15"/>
  <c r="Q25" i="15"/>
  <c r="T24" i="15"/>
  <c r="S24" i="15"/>
  <c r="R24" i="15"/>
  <c r="Q24" i="15"/>
  <c r="T23" i="15"/>
  <c r="S23" i="15"/>
  <c r="R23" i="15"/>
  <c r="Q23" i="15"/>
  <c r="T22" i="15"/>
  <c r="S22" i="15"/>
  <c r="R22" i="15"/>
  <c r="Q22" i="15"/>
  <c r="T21" i="15"/>
  <c r="S21" i="15"/>
  <c r="R21" i="15"/>
  <c r="Q21" i="15"/>
  <c r="T20" i="15"/>
  <c r="S20" i="15"/>
  <c r="R20" i="15"/>
  <c r="Q20" i="15"/>
  <c r="T19" i="15"/>
  <c r="S19" i="15"/>
  <c r="R19" i="15"/>
  <c r="Q19" i="15"/>
  <c r="T16" i="15"/>
  <c r="S16" i="15"/>
  <c r="R16" i="15"/>
  <c r="Q16" i="15"/>
  <c r="T15" i="15"/>
  <c r="S15" i="15"/>
  <c r="R15" i="15"/>
  <c r="Q15" i="15"/>
  <c r="T13" i="15"/>
  <c r="S13" i="15"/>
  <c r="R13" i="15"/>
  <c r="Q13" i="15"/>
  <c r="T12" i="15"/>
  <c r="S12" i="15"/>
  <c r="R12" i="15"/>
  <c r="Q12" i="15"/>
  <c r="T11" i="15"/>
  <c r="S11" i="15"/>
  <c r="R11" i="15"/>
  <c r="Q11" i="15"/>
  <c r="T10" i="15"/>
  <c r="S10" i="15"/>
  <c r="R10" i="15"/>
  <c r="Q10" i="15"/>
  <c r="T8" i="15"/>
  <c r="S8" i="15"/>
  <c r="R8" i="15"/>
  <c r="Q8" i="15"/>
  <c r="T5" i="15"/>
  <c r="S5" i="15"/>
  <c r="R5" i="15"/>
  <c r="Q5" i="15"/>
  <c r="N27" i="16" l="1"/>
  <c r="K40" i="16"/>
  <c r="K48" i="16"/>
  <c r="N28" i="16"/>
  <c r="M13" i="16"/>
  <c r="O52" i="16"/>
  <c r="N16" i="16"/>
  <c r="K56" i="16"/>
  <c r="N19" i="16"/>
  <c r="N20" i="16"/>
  <c r="L21" i="16"/>
  <c r="K32" i="16"/>
  <c r="N24" i="16"/>
  <c r="O36" i="16"/>
  <c r="L14" i="16"/>
  <c r="M17" i="16"/>
  <c r="M21" i="16"/>
  <c r="M25" i="16"/>
  <c r="L43" i="16"/>
  <c r="L59" i="16"/>
  <c r="M14" i="16"/>
  <c r="N17" i="16"/>
  <c r="M22" i="16"/>
  <c r="N25" i="16"/>
  <c r="O44" i="16"/>
  <c r="O60" i="16"/>
  <c r="N14" i="16"/>
  <c r="M19" i="16"/>
  <c r="N22" i="16"/>
  <c r="M27" i="16"/>
  <c r="M46" i="16"/>
  <c r="M62" i="16"/>
  <c r="M12" i="16"/>
  <c r="O14" i="16"/>
  <c r="O22" i="16"/>
  <c r="N12" i="16"/>
  <c r="N15" i="16"/>
  <c r="M20" i="16"/>
  <c r="N23" i="16"/>
  <c r="M28" i="16"/>
  <c r="L35" i="16"/>
  <c r="L51" i="16"/>
  <c r="O12" i="16"/>
  <c r="O15" i="16"/>
  <c r="O23" i="16"/>
  <c r="L13" i="16"/>
  <c r="M16" i="16"/>
  <c r="O20" i="16"/>
  <c r="M24" i="16"/>
  <c r="O28" i="16"/>
  <c r="M38" i="16"/>
  <c r="M54" i="16"/>
  <c r="K26" i="16"/>
  <c r="N33" i="16"/>
  <c r="K16" i="16"/>
  <c r="L19" i="16"/>
  <c r="K24" i="16"/>
  <c r="L27" i="16"/>
  <c r="N31" i="16"/>
  <c r="L33" i="16"/>
  <c r="O34" i="16"/>
  <c r="M36" i="16"/>
  <c r="K38" i="16"/>
  <c r="N39" i="16"/>
  <c r="L41" i="16"/>
  <c r="O42" i="16"/>
  <c r="M44" i="16"/>
  <c r="K46" i="16"/>
  <c r="N47" i="16"/>
  <c r="L49" i="16"/>
  <c r="O50" i="16"/>
  <c r="M52" i="16"/>
  <c r="K54" i="16"/>
  <c r="N55" i="16"/>
  <c r="L57" i="16"/>
  <c r="O58" i="16"/>
  <c r="M60" i="16"/>
  <c r="K62" i="16"/>
  <c r="N63" i="16"/>
  <c r="K13" i="16"/>
  <c r="L16" i="16"/>
  <c r="O17" i="16"/>
  <c r="K21" i="16"/>
  <c r="L24" i="16"/>
  <c r="O25" i="16"/>
  <c r="O31" i="16"/>
  <c r="M33" i="16"/>
  <c r="K35" i="16"/>
  <c r="N36" i="16"/>
  <c r="L38" i="16"/>
  <c r="O39" i="16"/>
  <c r="M41" i="16"/>
  <c r="K43" i="16"/>
  <c r="N44" i="16"/>
  <c r="L46" i="16"/>
  <c r="O47" i="16"/>
  <c r="M49" i="16"/>
  <c r="K51" i="16"/>
  <c r="N52" i="16"/>
  <c r="L54" i="16"/>
  <c r="O55" i="16"/>
  <c r="M57" i="16"/>
  <c r="K59" i="16"/>
  <c r="N60" i="16"/>
  <c r="L62" i="16"/>
  <c r="O63" i="16"/>
  <c r="K15" i="16"/>
  <c r="L18" i="16"/>
  <c r="O19" i="16"/>
  <c r="K23" i="16"/>
  <c r="L26" i="16"/>
  <c r="O27" i="16"/>
  <c r="L32" i="16"/>
  <c r="O33" i="16"/>
  <c r="M35" i="16"/>
  <c r="K37" i="16"/>
  <c r="N38" i="16"/>
  <c r="L40" i="16"/>
  <c r="O41" i="16"/>
  <c r="M43" i="16"/>
  <c r="K45" i="16"/>
  <c r="N46" i="16"/>
  <c r="L48" i="16"/>
  <c r="O49" i="16"/>
  <c r="M51" i="16"/>
  <c r="K53" i="16"/>
  <c r="N54" i="16"/>
  <c r="L56" i="16"/>
  <c r="O57" i="16"/>
  <c r="M59" i="16"/>
  <c r="K61" i="16"/>
  <c r="N62" i="16"/>
  <c r="N49" i="16"/>
  <c r="K12" i="16"/>
  <c r="N13" i="16"/>
  <c r="L15" i="16"/>
  <c r="O16" i="16"/>
  <c r="M18" i="16"/>
  <c r="K20" i="16"/>
  <c r="N21" i="16"/>
  <c r="L23" i="16"/>
  <c r="O24" i="16"/>
  <c r="M26" i="16"/>
  <c r="K28" i="16"/>
  <c r="M32" i="16"/>
  <c r="K34" i="16"/>
  <c r="N35" i="16"/>
  <c r="L37" i="16"/>
  <c r="O38" i="16"/>
  <c r="M40" i="16"/>
  <c r="K42" i="16"/>
  <c r="N43" i="16"/>
  <c r="L45" i="16"/>
  <c r="O46" i="16"/>
  <c r="M48" i="16"/>
  <c r="K50" i="16"/>
  <c r="N51" i="16"/>
  <c r="L53" i="16"/>
  <c r="O54" i="16"/>
  <c r="M56" i="16"/>
  <c r="K58" i="16"/>
  <c r="N59" i="16"/>
  <c r="L61" i="16"/>
  <c r="O62" i="16"/>
  <c r="N57" i="16"/>
  <c r="L12" i="16"/>
  <c r="O13" i="16"/>
  <c r="M15" i="16"/>
  <c r="K17" i="16"/>
  <c r="N18" i="16"/>
  <c r="L20" i="16"/>
  <c r="O21" i="16"/>
  <c r="K25" i="16"/>
  <c r="L28" i="16"/>
  <c r="K31" i="16"/>
  <c r="N32" i="16"/>
  <c r="L34" i="16"/>
  <c r="O35" i="16"/>
  <c r="M37" i="16"/>
  <c r="K39" i="16"/>
  <c r="N40" i="16"/>
  <c r="L42" i="16"/>
  <c r="O43" i="16"/>
  <c r="M45" i="16"/>
  <c r="K47" i="16"/>
  <c r="N48" i="16"/>
  <c r="L50" i="16"/>
  <c r="O51" i="16"/>
  <c r="M53" i="16"/>
  <c r="K55" i="16"/>
  <c r="N56" i="16"/>
  <c r="L58" i="16"/>
  <c r="O59" i="16"/>
  <c r="M61" i="16"/>
  <c r="K63" i="16"/>
  <c r="K18" i="16"/>
  <c r="N41" i="16"/>
  <c r="K14" i="16"/>
  <c r="L17" i="16"/>
  <c r="O18" i="16"/>
  <c r="K22" i="16"/>
  <c r="L25" i="16"/>
  <c r="L31" i="16"/>
  <c r="O32" i="16"/>
  <c r="M34" i="16"/>
  <c r="K36" i="16"/>
  <c r="N37" i="16"/>
  <c r="L39" i="16"/>
  <c r="O40" i="16"/>
  <c r="M42" i="16"/>
  <c r="K44" i="16"/>
  <c r="N45" i="16"/>
  <c r="L47" i="16"/>
  <c r="O48" i="16"/>
  <c r="M50" i="16"/>
  <c r="K52" i="16"/>
  <c r="N53" i="16"/>
  <c r="L55" i="16"/>
  <c r="O56" i="16"/>
  <c r="M58" i="16"/>
  <c r="K60" i="16"/>
  <c r="N61" i="16"/>
  <c r="L63" i="16"/>
  <c r="K19" i="16"/>
  <c r="M31" i="16"/>
  <c r="K33" i="16"/>
  <c r="N34" i="16"/>
  <c r="L36" i="16"/>
  <c r="O37" i="16"/>
  <c r="M39" i="16"/>
  <c r="K41" i="16"/>
  <c r="N42" i="16"/>
  <c r="L44" i="16"/>
  <c r="O45" i="16"/>
  <c r="M47" i="16"/>
  <c r="K49" i="16"/>
  <c r="N50" i="16"/>
  <c r="L52" i="16"/>
  <c r="O53" i="16"/>
  <c r="M55" i="16"/>
  <c r="L4" i="15"/>
  <c r="M4" i="15"/>
  <c r="N4" i="15"/>
  <c r="O4" i="15"/>
  <c r="K4" i="15"/>
  <c r="I144" i="15"/>
  <c r="H144" i="15"/>
  <c r="G144" i="15"/>
  <c r="F144" i="15"/>
  <c r="E144" i="15"/>
  <c r="I136" i="15"/>
  <c r="H136" i="15"/>
  <c r="G136" i="15"/>
  <c r="F136" i="15"/>
  <c r="E136" i="15"/>
  <c r="I127" i="15"/>
  <c r="H127" i="15"/>
  <c r="G127" i="15"/>
  <c r="F127" i="15"/>
  <c r="E127" i="15"/>
  <c r="I122" i="15"/>
  <c r="H122" i="15"/>
  <c r="G122" i="15"/>
  <c r="F122" i="15"/>
  <c r="E122" i="15"/>
  <c r="I112" i="15"/>
  <c r="H112" i="15"/>
  <c r="G112" i="15"/>
  <c r="F112" i="15"/>
  <c r="E112" i="15"/>
  <c r="I105" i="15"/>
  <c r="H105" i="15"/>
  <c r="G105" i="15"/>
  <c r="F105" i="15"/>
  <c r="E105" i="15"/>
  <c r="I98" i="15"/>
  <c r="H98" i="15"/>
  <c r="G98" i="15"/>
  <c r="F98" i="15"/>
  <c r="E98" i="15"/>
  <c r="I95" i="15"/>
  <c r="H95" i="15"/>
  <c r="G95" i="15"/>
  <c r="F95" i="15"/>
  <c r="E95" i="15"/>
  <c r="I89" i="15"/>
  <c r="H89" i="15"/>
  <c r="H87" i="15" s="1"/>
  <c r="G89" i="15"/>
  <c r="F89" i="15"/>
  <c r="E89" i="15"/>
  <c r="E87" i="15" s="1"/>
  <c r="I83" i="15"/>
  <c r="H83" i="15"/>
  <c r="G83" i="15"/>
  <c r="F83" i="15"/>
  <c r="E83" i="15"/>
  <c r="I77" i="15"/>
  <c r="H77" i="15"/>
  <c r="G77" i="15"/>
  <c r="F77" i="15"/>
  <c r="E77" i="15"/>
  <c r="I74" i="15"/>
  <c r="H74" i="15"/>
  <c r="G74" i="15"/>
  <c r="F74" i="15"/>
  <c r="E74" i="15"/>
  <c r="I71" i="15"/>
  <c r="H71" i="15"/>
  <c r="G71" i="15"/>
  <c r="F71" i="15"/>
  <c r="E71" i="15"/>
  <c r="I64" i="15"/>
  <c r="H64" i="15"/>
  <c r="G64" i="15"/>
  <c r="F64" i="15"/>
  <c r="E64" i="15"/>
  <c r="I55" i="15"/>
  <c r="H55" i="15"/>
  <c r="G55" i="15"/>
  <c r="F55" i="15"/>
  <c r="E55" i="15"/>
  <c r="E50" i="15" s="1"/>
  <c r="I44" i="15"/>
  <c r="H44" i="15"/>
  <c r="G44" i="15"/>
  <c r="F44" i="15"/>
  <c r="E44" i="15"/>
  <c r="E41" i="15" s="1"/>
  <c r="I37" i="15"/>
  <c r="H37" i="15"/>
  <c r="G37" i="15"/>
  <c r="F37" i="15"/>
  <c r="E37" i="15"/>
  <c r="I27" i="15"/>
  <c r="H27" i="15"/>
  <c r="G27" i="15"/>
  <c r="F27" i="15"/>
  <c r="E27" i="15"/>
  <c r="I18" i="15"/>
  <c r="H18" i="15"/>
  <c r="G18" i="15"/>
  <c r="F18" i="15"/>
  <c r="E18" i="15"/>
  <c r="I14" i="15"/>
  <c r="H14" i="15"/>
  <c r="G14" i="15"/>
  <c r="F14" i="15"/>
  <c r="E14" i="15"/>
  <c r="I9" i="15"/>
  <c r="H9" i="15"/>
  <c r="G9" i="15"/>
  <c r="F9" i="15"/>
  <c r="E9" i="15"/>
  <c r="S9" i="15" l="1"/>
  <c r="Q18" i="15"/>
  <c r="T27" i="15"/>
  <c r="S71" i="15"/>
  <c r="Q77" i="15"/>
  <c r="T83" i="15"/>
  <c r="Q95" i="15"/>
  <c r="T98" i="15"/>
  <c r="R105" i="15"/>
  <c r="S127" i="15"/>
  <c r="T127" i="15"/>
  <c r="R144" i="15"/>
  <c r="S14" i="15"/>
  <c r="Q27" i="15"/>
  <c r="S74" i="15"/>
  <c r="Q83" i="15"/>
  <c r="S89" i="15"/>
  <c r="Q98" i="15"/>
  <c r="R112" i="15"/>
  <c r="S136" i="15"/>
  <c r="G17" i="15"/>
  <c r="R18" i="15"/>
  <c r="T71" i="15"/>
  <c r="H17" i="15"/>
  <c r="S18" i="15"/>
  <c r="I41" i="15"/>
  <c r="T44" i="15"/>
  <c r="S77" i="15"/>
  <c r="S95" i="15"/>
  <c r="T105" i="15"/>
  <c r="R122" i="15"/>
  <c r="S144" i="15"/>
  <c r="G41" i="15"/>
  <c r="R44" i="15"/>
  <c r="F60" i="15"/>
  <c r="Q64" i="15"/>
  <c r="R77" i="15"/>
  <c r="R95" i="15"/>
  <c r="F30" i="15"/>
  <c r="Q37" i="15"/>
  <c r="T18" i="15"/>
  <c r="H60" i="15"/>
  <c r="S64" i="15"/>
  <c r="Q74" i="15"/>
  <c r="T77" i="15"/>
  <c r="F87" i="15"/>
  <c r="Q87" i="15" s="1"/>
  <c r="Q89" i="15"/>
  <c r="T95" i="15"/>
  <c r="S122" i="15"/>
  <c r="Q136" i="15"/>
  <c r="T144" i="15"/>
  <c r="T9" i="15"/>
  <c r="H41" i="15"/>
  <c r="S44" i="15"/>
  <c r="S105" i="15"/>
  <c r="Q122" i="15"/>
  <c r="G60" i="15"/>
  <c r="R64" i="15"/>
  <c r="Q14" i="15"/>
  <c r="G30" i="15"/>
  <c r="R37" i="15"/>
  <c r="R14" i="15"/>
  <c r="H30" i="15"/>
  <c r="S37" i="15"/>
  <c r="F50" i="15"/>
  <c r="Q50" i="15" s="1"/>
  <c r="Q55" i="15"/>
  <c r="I60" i="15"/>
  <c r="T64" i="15"/>
  <c r="R74" i="15"/>
  <c r="G87" i="15"/>
  <c r="R87" i="15" s="1"/>
  <c r="R89" i="15"/>
  <c r="Q112" i="15"/>
  <c r="T122" i="15"/>
  <c r="R136" i="15"/>
  <c r="G50" i="15"/>
  <c r="R55" i="15"/>
  <c r="H50" i="15"/>
  <c r="S55" i="15"/>
  <c r="Q71" i="15"/>
  <c r="T74" i="15"/>
  <c r="R83" i="15"/>
  <c r="I87" i="15"/>
  <c r="T87" i="15" s="1"/>
  <c r="T89" i="15"/>
  <c r="R98" i="15"/>
  <c r="S112" i="15"/>
  <c r="Q127" i="15"/>
  <c r="T136" i="15"/>
  <c r="I30" i="15"/>
  <c r="T37" i="15"/>
  <c r="Q9" i="15"/>
  <c r="T14" i="15"/>
  <c r="R27" i="15"/>
  <c r="R9" i="15"/>
  <c r="S27" i="15"/>
  <c r="F41" i="15"/>
  <c r="Q41" i="15" s="1"/>
  <c r="Q44" i="15"/>
  <c r="I50" i="15"/>
  <c r="T55" i="15"/>
  <c r="R71" i="15"/>
  <c r="S83" i="15"/>
  <c r="S98" i="15"/>
  <c r="Q105" i="15"/>
  <c r="T112" i="15"/>
  <c r="R127" i="15"/>
  <c r="Q144" i="15"/>
  <c r="H111" i="15"/>
  <c r="I126" i="15"/>
  <c r="I111" i="15"/>
  <c r="F111" i="15"/>
  <c r="G111" i="15"/>
  <c r="E126" i="15"/>
  <c r="E7" i="15"/>
  <c r="G126" i="15"/>
  <c r="F17" i="15"/>
  <c r="I7" i="15"/>
  <c r="I17" i="15"/>
  <c r="F126" i="15"/>
  <c r="G7" i="15"/>
  <c r="E60" i="15"/>
  <c r="E49" i="15" s="1"/>
  <c r="H126" i="15"/>
  <c r="H7" i="15"/>
  <c r="E30" i="15"/>
  <c r="F7" i="15"/>
  <c r="E111" i="15"/>
  <c r="E17" i="15"/>
  <c r="S41" i="15" l="1"/>
  <c r="F49" i="15"/>
  <c r="F40" i="15" s="1"/>
  <c r="Q7" i="15"/>
  <c r="Q126" i="15"/>
  <c r="H49" i="15"/>
  <c r="H40" i="15" s="1"/>
  <c r="R17" i="15"/>
  <c r="S111" i="15"/>
  <c r="G49" i="15"/>
  <c r="T50" i="15"/>
  <c r="R111" i="15"/>
  <c r="T7" i="15"/>
  <c r="R30" i="15"/>
  <c r="S126" i="15"/>
  <c r="T111" i="15"/>
  <c r="Q17" i="15"/>
  <c r="R50" i="15"/>
  <c r="T60" i="15"/>
  <c r="R7" i="15"/>
  <c r="R126" i="15"/>
  <c r="R60" i="15"/>
  <c r="S60" i="15"/>
  <c r="T41" i="15"/>
  <c r="Q60" i="15"/>
  <c r="T30" i="15"/>
  <c r="R41" i="15"/>
  <c r="S30" i="15"/>
  <c r="S87" i="15"/>
  <c r="Q30" i="15"/>
  <c r="S17" i="15"/>
  <c r="S7" i="15"/>
  <c r="I49" i="15"/>
  <c r="T17" i="15"/>
  <c r="Q111" i="15"/>
  <c r="S50" i="15"/>
  <c r="I110" i="15"/>
  <c r="T126" i="15"/>
  <c r="G110" i="15"/>
  <c r="E6" i="15"/>
  <c r="H110" i="15"/>
  <c r="E110" i="15"/>
  <c r="E104" i="15" s="1"/>
  <c r="F110" i="15"/>
  <c r="G6" i="15"/>
  <c r="F6" i="15"/>
  <c r="H6" i="15"/>
  <c r="I6" i="15"/>
  <c r="E40" i="15"/>
  <c r="R49" i="15" l="1"/>
  <c r="Q49" i="15"/>
  <c r="S49" i="15"/>
  <c r="G40" i="15"/>
  <c r="G4" i="15" s="1"/>
  <c r="S6" i="15"/>
  <c r="Q6" i="15"/>
  <c r="G104" i="15"/>
  <c r="R110" i="15"/>
  <c r="R6" i="15"/>
  <c r="F104" i="15"/>
  <c r="Q110" i="15"/>
  <c r="Q40" i="15"/>
  <c r="H104" i="15"/>
  <c r="S110" i="15"/>
  <c r="I40" i="15"/>
  <c r="T40" i="15" s="1"/>
  <c r="T49" i="15"/>
  <c r="T6" i="15"/>
  <c r="I104" i="15"/>
  <c r="T110" i="15"/>
  <c r="H4" i="15"/>
  <c r="F4" i="15"/>
  <c r="E4" i="15"/>
  <c r="Q4" i="15" l="1"/>
  <c r="S40" i="15"/>
  <c r="R40" i="15"/>
  <c r="I4" i="15"/>
  <c r="T4" i="15" s="1"/>
  <c r="N6" i="15"/>
  <c r="S4" i="15"/>
  <c r="S104" i="15"/>
  <c r="Q104" i="15"/>
  <c r="R4" i="15"/>
  <c r="R104" i="15"/>
  <c r="T104" i="15"/>
  <c r="M12" i="15"/>
  <c r="M20" i="15"/>
  <c r="M28" i="15"/>
  <c r="M36" i="15"/>
  <c r="M52" i="15"/>
  <c r="M68" i="15"/>
  <c r="M76" i="15"/>
  <c r="M5" i="15"/>
  <c r="M47" i="15"/>
  <c r="M25" i="15"/>
  <c r="M33" i="15"/>
  <c r="M57" i="15"/>
  <c r="M65" i="15"/>
  <c r="M73" i="15"/>
  <c r="M22" i="15"/>
  <c r="M38" i="15"/>
  <c r="M46" i="15"/>
  <c r="M54" i="15"/>
  <c r="M62" i="15"/>
  <c r="M70" i="15"/>
  <c r="M78" i="15"/>
  <c r="M79" i="15"/>
  <c r="M11" i="15"/>
  <c r="M19" i="15"/>
  <c r="M35" i="15"/>
  <c r="M43" i="15"/>
  <c r="M51" i="15"/>
  <c r="M59" i="15"/>
  <c r="M67" i="15"/>
  <c r="M75" i="15"/>
  <c r="M8" i="15"/>
  <c r="M16" i="15"/>
  <c r="M24" i="15"/>
  <c r="M32" i="15"/>
  <c r="M48" i="15"/>
  <c r="M56" i="15"/>
  <c r="M72" i="15"/>
  <c r="M80" i="15"/>
  <c r="M69" i="15"/>
  <c r="M13" i="15"/>
  <c r="M21" i="15"/>
  <c r="M29" i="15"/>
  <c r="M45" i="15"/>
  <c r="M53" i="15"/>
  <c r="M61" i="15"/>
  <c r="M77" i="15"/>
  <c r="M31" i="15"/>
  <c r="M71" i="15"/>
  <c r="M10" i="15"/>
  <c r="M26" i="15"/>
  <c r="M34" i="15"/>
  <c r="M42" i="15"/>
  <c r="M58" i="15"/>
  <c r="M66" i="15"/>
  <c r="M15" i="15"/>
  <c r="M23" i="15"/>
  <c r="M39" i="15"/>
  <c r="M63" i="15"/>
  <c r="M27" i="15"/>
  <c r="M60" i="15"/>
  <c r="M30" i="15"/>
  <c r="M18" i="15"/>
  <c r="M9" i="15"/>
  <c r="M55" i="15"/>
  <c r="M64" i="15"/>
  <c r="M14" i="15"/>
  <c r="M17" i="15"/>
  <c r="M37" i="15"/>
  <c r="M74" i="15"/>
  <c r="M44" i="15"/>
  <c r="M41" i="15"/>
  <c r="M50" i="15"/>
  <c r="M7" i="15"/>
  <c r="M49" i="15"/>
  <c r="K22" i="15"/>
  <c r="K38" i="15"/>
  <c r="K46" i="15"/>
  <c r="K54" i="15"/>
  <c r="K62" i="15"/>
  <c r="K70" i="15"/>
  <c r="K78" i="15"/>
  <c r="K11" i="15"/>
  <c r="K19" i="15"/>
  <c r="K35" i="15"/>
  <c r="K43" i="15"/>
  <c r="K51" i="15"/>
  <c r="K59" i="15"/>
  <c r="K67" i="15"/>
  <c r="K75" i="15"/>
  <c r="K8" i="15"/>
  <c r="K16" i="15"/>
  <c r="K24" i="15"/>
  <c r="K32" i="15"/>
  <c r="K48" i="15"/>
  <c r="K56" i="15"/>
  <c r="K72" i="15"/>
  <c r="K80" i="15"/>
  <c r="K71" i="15"/>
  <c r="K57" i="15"/>
  <c r="K65" i="15"/>
  <c r="K73" i="15"/>
  <c r="K13" i="15"/>
  <c r="K21" i="15"/>
  <c r="K29" i="15"/>
  <c r="K45" i="15"/>
  <c r="K53" i="15"/>
  <c r="K61" i="15"/>
  <c r="K69" i="15"/>
  <c r="K5" i="15"/>
  <c r="K10" i="15"/>
  <c r="K26" i="15"/>
  <c r="K34" i="15"/>
  <c r="K42" i="15"/>
  <c r="K58" i="15"/>
  <c r="K66" i="15"/>
  <c r="K25" i="15"/>
  <c r="K15" i="15"/>
  <c r="K23" i="15"/>
  <c r="K31" i="15"/>
  <c r="K39" i="15"/>
  <c r="K47" i="15"/>
  <c r="K63" i="15"/>
  <c r="K79" i="15"/>
  <c r="K12" i="15"/>
  <c r="K20" i="15"/>
  <c r="K28" i="15"/>
  <c r="K36" i="15"/>
  <c r="K52" i="15"/>
  <c r="K68" i="15"/>
  <c r="K76" i="15"/>
  <c r="K9" i="15"/>
  <c r="K33" i="15"/>
  <c r="K18" i="15"/>
  <c r="K7" i="15"/>
  <c r="K64" i="15"/>
  <c r="K50" i="15"/>
  <c r="K37" i="15"/>
  <c r="K44" i="15"/>
  <c r="K14" i="15"/>
  <c r="K55" i="15"/>
  <c r="K74" i="15"/>
  <c r="K27" i="15"/>
  <c r="K41" i="15"/>
  <c r="K77" i="15"/>
  <c r="K60" i="15"/>
  <c r="K6" i="15"/>
  <c r="K49" i="15"/>
  <c r="K30" i="15"/>
  <c r="K17" i="15"/>
  <c r="O15" i="15"/>
  <c r="O47" i="15"/>
  <c r="O28" i="15"/>
  <c r="O25" i="15"/>
  <c r="O54" i="15"/>
  <c r="O62" i="15"/>
  <c r="O19" i="15"/>
  <c r="O53" i="15"/>
  <c r="O32" i="15"/>
  <c r="O37" i="15"/>
  <c r="O45" i="15"/>
  <c r="O44" i="15"/>
  <c r="O60" i="15"/>
  <c r="O17" i="15"/>
  <c r="N15" i="15"/>
  <c r="N23" i="15"/>
  <c r="N31" i="15"/>
  <c r="N39" i="15"/>
  <c r="N47" i="15"/>
  <c r="N63" i="15"/>
  <c r="N79" i="15"/>
  <c r="N12" i="15"/>
  <c r="N20" i="15"/>
  <c r="N28" i="15"/>
  <c r="N36" i="15"/>
  <c r="N52" i="15"/>
  <c r="N68" i="15"/>
  <c r="N76" i="15"/>
  <c r="N5" i="15"/>
  <c r="N50" i="15"/>
  <c r="N25" i="15"/>
  <c r="N33" i="15"/>
  <c r="N57" i="15"/>
  <c r="N65" i="15"/>
  <c r="N73" i="15"/>
  <c r="N22" i="15"/>
  <c r="N38" i="15"/>
  <c r="N46" i="15"/>
  <c r="N54" i="15"/>
  <c r="N62" i="15"/>
  <c r="N70" i="15"/>
  <c r="N78" i="15"/>
  <c r="N66" i="15"/>
  <c r="N11" i="15"/>
  <c r="N19" i="15"/>
  <c r="N35" i="15"/>
  <c r="N43" i="15"/>
  <c r="N51" i="15"/>
  <c r="N59" i="15"/>
  <c r="N67" i="15"/>
  <c r="N75" i="15"/>
  <c r="N74" i="15"/>
  <c r="N8" i="15"/>
  <c r="N16" i="15"/>
  <c r="N24" i="15"/>
  <c r="N32" i="15"/>
  <c r="N48" i="15"/>
  <c r="N56" i="15"/>
  <c r="N64" i="15"/>
  <c r="N72" i="15"/>
  <c r="N80" i="15"/>
  <c r="N13" i="15"/>
  <c r="N21" i="15"/>
  <c r="N29" i="15"/>
  <c r="N45" i="15"/>
  <c r="N53" i="15"/>
  <c r="N61" i="15"/>
  <c r="N69" i="15"/>
  <c r="N10" i="15"/>
  <c r="N18" i="15"/>
  <c r="N26" i="15"/>
  <c r="N34" i="15"/>
  <c r="N42" i="15"/>
  <c r="N58" i="15"/>
  <c r="N41" i="15"/>
  <c r="N27" i="15"/>
  <c r="N71" i="15"/>
  <c r="N17" i="15"/>
  <c r="N37" i="15"/>
  <c r="N9" i="15"/>
  <c r="N60" i="15"/>
  <c r="N14" i="15"/>
  <c r="N55" i="15"/>
  <c r="N44" i="15"/>
  <c r="N77" i="15"/>
  <c r="N30" i="15"/>
  <c r="N49" i="15"/>
  <c r="N40" i="15"/>
  <c r="N7" i="15"/>
  <c r="M40" i="15"/>
  <c r="O6" i="15"/>
  <c r="L25" i="15"/>
  <c r="L33" i="15"/>
  <c r="L57" i="15"/>
  <c r="L65" i="15"/>
  <c r="L73" i="15"/>
  <c r="L22" i="15"/>
  <c r="L38" i="15"/>
  <c r="L46" i="15"/>
  <c r="L54" i="15"/>
  <c r="L62" i="15"/>
  <c r="L70" i="15"/>
  <c r="L78" i="15"/>
  <c r="L11" i="15"/>
  <c r="L19" i="15"/>
  <c r="L35" i="15"/>
  <c r="L43" i="15"/>
  <c r="L51" i="15"/>
  <c r="L59" i="15"/>
  <c r="L67" i="15"/>
  <c r="L75" i="15"/>
  <c r="L28" i="15"/>
  <c r="L8" i="15"/>
  <c r="L16" i="15"/>
  <c r="L24" i="15"/>
  <c r="L32" i="15"/>
  <c r="L48" i="15"/>
  <c r="L56" i="15"/>
  <c r="L72" i="15"/>
  <c r="L80" i="15"/>
  <c r="L66" i="15"/>
  <c r="L36" i="15"/>
  <c r="L13" i="15"/>
  <c r="L21" i="15"/>
  <c r="L29" i="15"/>
  <c r="L45" i="15"/>
  <c r="L53" i="15"/>
  <c r="L61" i="15"/>
  <c r="L69" i="15"/>
  <c r="L44" i="15"/>
  <c r="L52" i="15"/>
  <c r="L60" i="15"/>
  <c r="L68" i="15"/>
  <c r="L10" i="15"/>
  <c r="L26" i="15"/>
  <c r="L34" i="15"/>
  <c r="L42" i="15"/>
  <c r="L50" i="15"/>
  <c r="L58" i="15"/>
  <c r="L74" i="15"/>
  <c r="L5" i="15"/>
  <c r="L15" i="15"/>
  <c r="L23" i="15"/>
  <c r="L31" i="15"/>
  <c r="L39" i="15"/>
  <c r="L47" i="15"/>
  <c r="L63" i="15"/>
  <c r="L79" i="15"/>
  <c r="L12" i="15"/>
  <c r="L20" i="15"/>
  <c r="L76" i="15"/>
  <c r="L9" i="15"/>
  <c r="L27" i="15"/>
  <c r="L18" i="15"/>
  <c r="L55" i="15"/>
  <c r="L14" i="15"/>
  <c r="L41" i="15"/>
  <c r="L77" i="15"/>
  <c r="L64" i="15"/>
  <c r="L71" i="15"/>
  <c r="L30" i="15"/>
  <c r="L17" i="15"/>
  <c r="L49" i="15"/>
  <c r="L37" i="15"/>
  <c r="L7" i="15"/>
  <c r="L40" i="15"/>
  <c r="M6" i="15"/>
  <c r="L6" i="15"/>
  <c r="K40" i="15"/>
  <c r="O58" i="15" l="1"/>
  <c r="O48" i="15"/>
  <c r="O33" i="15"/>
  <c r="O40" i="15"/>
  <c r="O61" i="15"/>
  <c r="O52" i="15"/>
  <c r="O74" i="15"/>
  <c r="O11" i="15"/>
  <c r="O31" i="15"/>
  <c r="O49" i="15"/>
  <c r="O14" i="15"/>
  <c r="O24" i="15"/>
  <c r="O70" i="15"/>
  <c r="O68" i="15"/>
  <c r="O23" i="15"/>
  <c r="O50" i="15"/>
  <c r="O29" i="15"/>
  <c r="O67" i="15"/>
  <c r="O22" i="15"/>
  <c r="O20" i="15"/>
  <c r="O42" i="15"/>
  <c r="O55" i="15"/>
  <c r="O80" i="15"/>
  <c r="O59" i="15"/>
  <c r="O73" i="15"/>
  <c r="O12" i="15"/>
  <c r="O26" i="15"/>
  <c r="O9" i="15"/>
  <c r="O72" i="15"/>
  <c r="O51" i="15"/>
  <c r="O57" i="15"/>
  <c r="O63" i="15"/>
  <c r="O10" i="15"/>
  <c r="O41" i="15"/>
  <c r="O27" i="15"/>
  <c r="O21" i="15"/>
  <c r="O16" i="15"/>
  <c r="O43" i="15"/>
  <c r="O46" i="15"/>
  <c r="O5" i="15"/>
  <c r="O79" i="15"/>
  <c r="O77" i="15"/>
  <c r="O30" i="15"/>
  <c r="O64" i="15"/>
  <c r="O13" i="15"/>
  <c r="O8" i="15"/>
  <c r="O35" i="15"/>
  <c r="O38" i="15"/>
  <c r="O76" i="15"/>
  <c r="O71" i="15"/>
  <c r="O66" i="15"/>
  <c r="O7" i="15"/>
  <c r="O18" i="15"/>
  <c r="O69" i="15"/>
  <c r="O56" i="15"/>
  <c r="O75" i="15"/>
  <c r="O78" i="15"/>
  <c r="O65" i="15"/>
  <c r="O36" i="15"/>
  <c r="O39" i="15"/>
  <c r="O34" i="15"/>
  <c r="G6" i="12"/>
  <c r="F6" i="12"/>
  <c r="E6" i="12"/>
  <c r="D6" i="12"/>
  <c r="C6" i="12"/>
  <c r="G7" i="18" l="1"/>
  <c r="G13" i="18"/>
  <c r="G10" i="18"/>
  <c r="G14" i="17"/>
  <c r="H13" i="11"/>
  <c r="H14" i="11"/>
  <c r="E7" i="18"/>
  <c r="E10" i="18"/>
  <c r="E13" i="18"/>
  <c r="E14" i="17"/>
  <c r="F13" i="11"/>
  <c r="F14" i="11"/>
  <c r="F13" i="18"/>
  <c r="F7" i="18"/>
  <c r="F10" i="18"/>
  <c r="F14" i="17"/>
  <c r="G13" i="11"/>
  <c r="G14" i="11"/>
  <c r="C10" i="18"/>
  <c r="C7" i="18"/>
  <c r="C13" i="18"/>
  <c r="C14" i="17"/>
  <c r="D13" i="11"/>
  <c r="D14" i="11"/>
  <c r="D7" i="18"/>
  <c r="D10" i="18"/>
  <c r="D13" i="18"/>
  <c r="D14" i="17"/>
  <c r="E14" i="11"/>
  <c r="E13" i="11"/>
  <c r="I53" i="10"/>
  <c r="H53" i="10"/>
  <c r="G53" i="10"/>
  <c r="F53" i="10"/>
  <c r="E53" i="10"/>
  <c r="I46" i="10"/>
  <c r="H46" i="10"/>
  <c r="G46" i="10"/>
  <c r="F46" i="10"/>
  <c r="E46" i="10"/>
  <c r="I42" i="10"/>
  <c r="H42" i="10"/>
  <c r="G42" i="10"/>
  <c r="F42" i="10"/>
  <c r="E42" i="10"/>
  <c r="I38" i="10"/>
  <c r="H38" i="10"/>
  <c r="G38" i="10"/>
  <c r="F38" i="10"/>
  <c r="E38" i="10"/>
  <c r="I34" i="10"/>
  <c r="H34" i="10"/>
  <c r="G34" i="10"/>
  <c r="F34" i="10"/>
  <c r="E34" i="10"/>
  <c r="I18" i="10"/>
  <c r="I17" i="10" s="1"/>
  <c r="H18" i="10"/>
  <c r="H17" i="10" s="1"/>
  <c r="G18" i="10"/>
  <c r="G17" i="10" s="1"/>
  <c r="F18" i="10"/>
  <c r="F17" i="10" s="1"/>
  <c r="E18" i="10"/>
  <c r="E17" i="10" s="1"/>
  <c r="E51" i="10" l="1"/>
  <c r="H51" i="10"/>
  <c r="G51" i="10"/>
  <c r="I51" i="10"/>
  <c r="F51" i="10"/>
  <c r="I27" i="10" l="1"/>
  <c r="H27" i="10"/>
  <c r="G27" i="10"/>
  <c r="F27" i="10"/>
  <c r="E27" i="10"/>
  <c r="I23" i="10"/>
  <c r="I59" i="10" s="1"/>
  <c r="H23" i="10"/>
  <c r="H59" i="10" s="1"/>
  <c r="G23" i="10"/>
  <c r="G59" i="10" s="1"/>
  <c r="F23" i="10"/>
  <c r="F59" i="10" s="1"/>
  <c r="E23" i="10"/>
  <c r="E59" i="10" s="1"/>
  <c r="I14" i="10"/>
  <c r="I12" i="10" s="1"/>
  <c r="H14" i="10"/>
  <c r="H12" i="10" s="1"/>
  <c r="G14" i="10"/>
  <c r="G12" i="10" s="1"/>
  <c r="F14" i="10"/>
  <c r="F12" i="10" s="1"/>
  <c r="E14" i="10"/>
  <c r="E12" i="10" s="1"/>
  <c r="I6" i="10"/>
  <c r="H6" i="10"/>
  <c r="G6" i="10"/>
  <c r="F6" i="10"/>
  <c r="E6" i="10"/>
  <c r="D7" i="12" l="1"/>
  <c r="E7" i="12"/>
  <c r="C7" i="12"/>
  <c r="F7" i="12"/>
  <c r="G7" i="12"/>
  <c r="H33" i="10"/>
  <c r="E33" i="10"/>
  <c r="C13" i="17" s="1"/>
  <c r="I33" i="10"/>
  <c r="F33" i="10"/>
  <c r="G33" i="10"/>
  <c r="I136" i="9"/>
  <c r="H136" i="9"/>
  <c r="G136" i="9"/>
  <c r="F136" i="9"/>
  <c r="E136" i="9"/>
  <c r="I127" i="9"/>
  <c r="H127" i="9"/>
  <c r="G127" i="9"/>
  <c r="F127" i="9"/>
  <c r="E127" i="9"/>
  <c r="I122" i="9"/>
  <c r="H122" i="9"/>
  <c r="G122" i="9"/>
  <c r="F122" i="9"/>
  <c r="E122" i="9"/>
  <c r="I112" i="9"/>
  <c r="H112" i="9"/>
  <c r="G112" i="9"/>
  <c r="F112" i="9"/>
  <c r="E112" i="9"/>
  <c r="I89" i="9"/>
  <c r="H89" i="9"/>
  <c r="G89" i="9"/>
  <c r="F89" i="9"/>
  <c r="E89" i="9"/>
  <c r="I71" i="9"/>
  <c r="H71" i="9"/>
  <c r="G71" i="9"/>
  <c r="F71" i="9"/>
  <c r="E71" i="9"/>
  <c r="I74" i="9"/>
  <c r="H74" i="9"/>
  <c r="G74" i="9"/>
  <c r="F74" i="9"/>
  <c r="E74" i="9"/>
  <c r="I64" i="9"/>
  <c r="I60" i="9" s="1"/>
  <c r="H64" i="9"/>
  <c r="H60" i="9" s="1"/>
  <c r="G64" i="9"/>
  <c r="G60" i="9" s="1"/>
  <c r="F64" i="9"/>
  <c r="F60" i="9" s="1"/>
  <c r="E64" i="9"/>
  <c r="E60" i="9" s="1"/>
  <c r="I55" i="9"/>
  <c r="I50" i="9" s="1"/>
  <c r="H55" i="9"/>
  <c r="H50" i="9" s="1"/>
  <c r="G55" i="9"/>
  <c r="G50" i="9" s="1"/>
  <c r="F55" i="9"/>
  <c r="F50" i="9" s="1"/>
  <c r="E55" i="9"/>
  <c r="E50" i="9" s="1"/>
  <c r="I44" i="9"/>
  <c r="I41" i="9" s="1"/>
  <c r="H12" i="11" s="1"/>
  <c r="H44" i="9"/>
  <c r="H41" i="9" s="1"/>
  <c r="G12" i="11" s="1"/>
  <c r="G44" i="9"/>
  <c r="G41" i="9" s="1"/>
  <c r="F12" i="11" s="1"/>
  <c r="F44" i="9"/>
  <c r="F41" i="9" s="1"/>
  <c r="E12" i="11" s="1"/>
  <c r="E44" i="9"/>
  <c r="E41" i="9" s="1"/>
  <c r="D12" i="11" s="1"/>
  <c r="I37" i="9"/>
  <c r="I30" i="9" s="1"/>
  <c r="H37" i="9"/>
  <c r="H30" i="9" s="1"/>
  <c r="G37" i="9"/>
  <c r="G30" i="9" s="1"/>
  <c r="F37" i="9"/>
  <c r="F30" i="9" s="1"/>
  <c r="E37" i="9"/>
  <c r="E30" i="9" s="1"/>
  <c r="I27" i="9"/>
  <c r="H27" i="9"/>
  <c r="G27" i="9"/>
  <c r="F27" i="9"/>
  <c r="E27" i="9"/>
  <c r="I18" i="9"/>
  <c r="H18" i="9"/>
  <c r="G18" i="9"/>
  <c r="F18" i="9"/>
  <c r="E18" i="9"/>
  <c r="I14" i="9"/>
  <c r="H14" i="9"/>
  <c r="G14" i="9"/>
  <c r="F14" i="9"/>
  <c r="E14" i="9"/>
  <c r="I9" i="9"/>
  <c r="H9" i="9"/>
  <c r="G9" i="9"/>
  <c r="F9" i="9"/>
  <c r="E9" i="9"/>
  <c r="G24" i="11" l="1"/>
  <c r="G22" i="11"/>
  <c r="G23" i="11"/>
  <c r="H24" i="11"/>
  <c r="H22" i="11"/>
  <c r="H23" i="11"/>
  <c r="D24" i="11"/>
  <c r="D23" i="11"/>
  <c r="D22" i="11"/>
  <c r="E22" i="11"/>
  <c r="E23" i="11"/>
  <c r="E24" i="11"/>
  <c r="F23" i="11"/>
  <c r="F24" i="11"/>
  <c r="F22" i="11"/>
  <c r="I52" i="10"/>
  <c r="I56" i="10" s="1"/>
  <c r="G13" i="17"/>
  <c r="H52" i="10"/>
  <c r="F5" i="12" s="1"/>
  <c r="F13" i="17"/>
  <c r="G52" i="10"/>
  <c r="G56" i="10" s="1"/>
  <c r="E13" i="17"/>
  <c r="F52" i="10"/>
  <c r="F56" i="10" s="1"/>
  <c r="D13" i="17"/>
  <c r="D15" i="17" s="1"/>
  <c r="H126" i="9"/>
  <c r="F21" i="12" s="1"/>
  <c r="E52" i="10"/>
  <c r="G111" i="9"/>
  <c r="I111" i="9"/>
  <c r="E111" i="9"/>
  <c r="F126" i="9"/>
  <c r="D21" i="12" s="1"/>
  <c r="H111" i="9"/>
  <c r="E126" i="9"/>
  <c r="C21" i="12" s="1"/>
  <c r="I17" i="9"/>
  <c r="G126" i="9"/>
  <c r="E21" i="12" s="1"/>
  <c r="I126" i="9"/>
  <c r="G21" i="12" s="1"/>
  <c r="F111" i="9"/>
  <c r="E17" i="9"/>
  <c r="F17" i="9"/>
  <c r="G17" i="9"/>
  <c r="H17" i="9"/>
  <c r="H49" i="9"/>
  <c r="H40" i="9" s="1"/>
  <c r="F14" i="18" s="1"/>
  <c r="F12" i="18" s="1"/>
  <c r="I49" i="9"/>
  <c r="I40" i="9" s="1"/>
  <c r="G14" i="18" s="1"/>
  <c r="G12" i="18" s="1"/>
  <c r="F49" i="9"/>
  <c r="F40" i="9" s="1"/>
  <c r="D14" i="18" s="1"/>
  <c r="D12" i="18" s="1"/>
  <c r="G49" i="9"/>
  <c r="G40" i="9" s="1"/>
  <c r="E14" i="18" s="1"/>
  <c r="E12" i="18" s="1"/>
  <c r="E49" i="9"/>
  <c r="E40" i="9" s="1"/>
  <c r="C14" i="18" s="1"/>
  <c r="C12" i="18" s="1"/>
  <c r="H56" i="10" l="1"/>
  <c r="H58" i="10" s="1"/>
  <c r="G5" i="12"/>
  <c r="G6" i="17" s="1"/>
  <c r="F58" i="10"/>
  <c r="F102" i="15"/>
  <c r="G58" i="10"/>
  <c r="G102" i="15"/>
  <c r="F6" i="17"/>
  <c r="G19" i="11"/>
  <c r="E15" i="17"/>
  <c r="F15" i="17"/>
  <c r="I58" i="10"/>
  <c r="I102" i="15"/>
  <c r="D5" i="12"/>
  <c r="E5" i="12"/>
  <c r="G15" i="17"/>
  <c r="F102" i="9"/>
  <c r="I102" i="9"/>
  <c r="E56" i="10"/>
  <c r="E102" i="15" s="1"/>
  <c r="C5" i="12"/>
  <c r="G102" i="9"/>
  <c r="H19" i="11" l="1"/>
  <c r="H102" i="9"/>
  <c r="H102" i="15"/>
  <c r="S102" i="15" s="1"/>
  <c r="E82" i="15"/>
  <c r="F8" i="12"/>
  <c r="F6" i="18"/>
  <c r="F5" i="17"/>
  <c r="G7" i="11"/>
  <c r="E102" i="9"/>
  <c r="R102" i="15"/>
  <c r="G82" i="15"/>
  <c r="E58" i="10"/>
  <c r="E6" i="17"/>
  <c r="F19" i="11"/>
  <c r="D6" i="17"/>
  <c r="E19" i="11"/>
  <c r="E8" i="12"/>
  <c r="E6" i="18"/>
  <c r="E5" i="17"/>
  <c r="F7" i="11"/>
  <c r="I82" i="15"/>
  <c r="Q102" i="15"/>
  <c r="F82" i="15"/>
  <c r="C6" i="17"/>
  <c r="D19" i="11"/>
  <c r="G8" i="12"/>
  <c r="G6" i="18"/>
  <c r="G5" i="17"/>
  <c r="H7" i="11"/>
  <c r="D8" i="12"/>
  <c r="D6" i="18"/>
  <c r="D5" i="17"/>
  <c r="E7" i="11"/>
  <c r="E17" i="12"/>
  <c r="F17" i="12"/>
  <c r="T102" i="15" l="1"/>
  <c r="H82" i="15"/>
  <c r="S82" i="15" s="1"/>
  <c r="E81" i="15"/>
  <c r="E5" i="18"/>
  <c r="Q82" i="15"/>
  <c r="F81" i="15"/>
  <c r="L82" i="15" s="1"/>
  <c r="G5" i="18"/>
  <c r="I81" i="15"/>
  <c r="D5" i="18"/>
  <c r="C8" i="12"/>
  <c r="C6" i="18"/>
  <c r="C5" i="17"/>
  <c r="D7" i="11"/>
  <c r="F5" i="18"/>
  <c r="R82" i="15"/>
  <c r="G81" i="15"/>
  <c r="M82" i="15" s="1"/>
  <c r="H144" i="9"/>
  <c r="G144" i="9"/>
  <c r="F144" i="9"/>
  <c r="E144" i="9"/>
  <c r="H110" i="9"/>
  <c r="G110" i="9"/>
  <c r="I110" i="9"/>
  <c r="F110" i="9"/>
  <c r="E110" i="9"/>
  <c r="H105" i="9"/>
  <c r="G105" i="9"/>
  <c r="I105" i="9"/>
  <c r="F105" i="9"/>
  <c r="E105" i="9"/>
  <c r="I98" i="9"/>
  <c r="F98" i="9"/>
  <c r="E98" i="9"/>
  <c r="H98" i="9"/>
  <c r="G98" i="9"/>
  <c r="H95" i="9"/>
  <c r="G95" i="9"/>
  <c r="I95" i="9"/>
  <c r="F95" i="9"/>
  <c r="E95" i="9"/>
  <c r="H87" i="9"/>
  <c r="G87" i="9"/>
  <c r="I87" i="9"/>
  <c r="F87" i="9"/>
  <c r="E87" i="9"/>
  <c r="H83" i="9"/>
  <c r="G83" i="9"/>
  <c r="I83" i="9"/>
  <c r="F83" i="9"/>
  <c r="E83" i="9"/>
  <c r="H77" i="9"/>
  <c r="G77" i="9"/>
  <c r="I77" i="9"/>
  <c r="F77" i="9"/>
  <c r="E77" i="9"/>
  <c r="H81" i="15" l="1"/>
  <c r="N82" i="15" s="1"/>
  <c r="T82" i="15"/>
  <c r="F24" i="18"/>
  <c r="D24" i="18"/>
  <c r="O115" i="15"/>
  <c r="O129" i="15"/>
  <c r="O138" i="15"/>
  <c r="O83" i="15"/>
  <c r="O130" i="15"/>
  <c r="O92" i="15"/>
  <c r="O146" i="15"/>
  <c r="O142" i="15"/>
  <c r="O108" i="15"/>
  <c r="O110" i="15"/>
  <c r="O140" i="15"/>
  <c r="T81" i="15"/>
  <c r="O117" i="15"/>
  <c r="O89" i="15"/>
  <c r="O98" i="15"/>
  <c r="O123" i="15"/>
  <c r="O105" i="15"/>
  <c r="O90" i="15"/>
  <c r="O84" i="15"/>
  <c r="O134" i="15"/>
  <c r="O86" i="15"/>
  <c r="O109" i="15"/>
  <c r="O91" i="15"/>
  <c r="O137" i="15"/>
  <c r="O143" i="15"/>
  <c r="O104" i="15"/>
  <c r="O85" i="15"/>
  <c r="O120" i="15"/>
  <c r="O96" i="15"/>
  <c r="O131" i="15"/>
  <c r="O118" i="15"/>
  <c r="O116" i="15"/>
  <c r="O95" i="15"/>
  <c r="O124" i="15"/>
  <c r="O99" i="15"/>
  <c r="O111" i="15"/>
  <c r="O122" i="15"/>
  <c r="O127" i="15"/>
  <c r="O141" i="15"/>
  <c r="O114" i="15"/>
  <c r="O145" i="15"/>
  <c r="O88" i="15"/>
  <c r="O100" i="15"/>
  <c r="O119" i="15"/>
  <c r="O139" i="15"/>
  <c r="O126" i="15"/>
  <c r="O144" i="15"/>
  <c r="O103" i="15"/>
  <c r="O135" i="15"/>
  <c r="O107" i="15"/>
  <c r="O125" i="15"/>
  <c r="O128" i="15"/>
  <c r="O94" i="15"/>
  <c r="O106" i="15"/>
  <c r="O121" i="15"/>
  <c r="O136" i="15"/>
  <c r="O87" i="15"/>
  <c r="O97" i="15"/>
  <c r="O133" i="15"/>
  <c r="O132" i="15"/>
  <c r="O113" i="15"/>
  <c r="O101" i="15"/>
  <c r="O93" i="15"/>
  <c r="O112" i="15"/>
  <c r="O102" i="15"/>
  <c r="C5" i="18"/>
  <c r="C24" i="18" s="1"/>
  <c r="M94" i="15"/>
  <c r="M106" i="15"/>
  <c r="M126" i="15"/>
  <c r="M107" i="15"/>
  <c r="M96" i="15"/>
  <c r="M93" i="15"/>
  <c r="M104" i="15"/>
  <c r="M105" i="15"/>
  <c r="M117" i="15"/>
  <c r="M84" i="15"/>
  <c r="M100" i="15"/>
  <c r="M88" i="15"/>
  <c r="M143" i="15"/>
  <c r="M144" i="15"/>
  <c r="M101" i="15"/>
  <c r="M112" i="15"/>
  <c r="M90" i="15"/>
  <c r="M103" i="15"/>
  <c r="M113" i="15"/>
  <c r="M109" i="15"/>
  <c r="M129" i="15"/>
  <c r="M99" i="15"/>
  <c r="M141" i="15"/>
  <c r="M85" i="15"/>
  <c r="M130" i="15"/>
  <c r="M140" i="15"/>
  <c r="M124" i="15"/>
  <c r="M110" i="15"/>
  <c r="M127" i="15"/>
  <c r="M118" i="15"/>
  <c r="M114" i="15"/>
  <c r="M87" i="15"/>
  <c r="M111" i="15"/>
  <c r="M138" i="15"/>
  <c r="M98" i="15"/>
  <c r="M91" i="15"/>
  <c r="M97" i="15"/>
  <c r="M92" i="15"/>
  <c r="M83" i="15"/>
  <c r="M119" i="15"/>
  <c r="M121" i="15"/>
  <c r="R81" i="15"/>
  <c r="M116" i="15"/>
  <c r="M125" i="15"/>
  <c r="M86" i="15"/>
  <c r="M131" i="15"/>
  <c r="M132" i="15"/>
  <c r="M137" i="15"/>
  <c r="M142" i="15"/>
  <c r="M123" i="15"/>
  <c r="M120" i="15"/>
  <c r="M122" i="15"/>
  <c r="M136" i="15"/>
  <c r="M135" i="15"/>
  <c r="M145" i="15"/>
  <c r="M89" i="15"/>
  <c r="M95" i="15"/>
  <c r="M146" i="15"/>
  <c r="M139" i="15"/>
  <c r="M133" i="15"/>
  <c r="M134" i="15"/>
  <c r="M115" i="15"/>
  <c r="M128" i="15"/>
  <c r="M108" i="15"/>
  <c r="M102" i="15"/>
  <c r="N101" i="15"/>
  <c r="N92" i="15"/>
  <c r="N100" i="15"/>
  <c r="N108" i="15"/>
  <c r="N116" i="15"/>
  <c r="N117" i="15"/>
  <c r="N95" i="15"/>
  <c r="N135" i="15"/>
  <c r="N109" i="15"/>
  <c r="N120" i="15"/>
  <c r="N87" i="15"/>
  <c r="N89" i="15"/>
  <c r="N97" i="15"/>
  <c r="N105" i="15"/>
  <c r="N124" i="15"/>
  <c r="N121" i="15"/>
  <c r="S81" i="15"/>
  <c r="N143" i="15"/>
  <c r="N144" i="15"/>
  <c r="N94" i="15"/>
  <c r="N145" i="15"/>
  <c r="N122" i="15"/>
  <c r="N130" i="15"/>
  <c r="N103" i="15"/>
  <c r="N113" i="15"/>
  <c r="N132" i="15"/>
  <c r="N140" i="15"/>
  <c r="N84" i="15"/>
  <c r="N118" i="15"/>
  <c r="N126" i="15"/>
  <c r="N134" i="15"/>
  <c r="N111" i="15"/>
  <c r="N86" i="15"/>
  <c r="N129" i="15"/>
  <c r="N90" i="15"/>
  <c r="N127" i="15"/>
  <c r="N142" i="15"/>
  <c r="N110" i="15"/>
  <c r="N83" i="15"/>
  <c r="N131" i="15"/>
  <c r="N139" i="15"/>
  <c r="N106" i="15"/>
  <c r="N88" i="15"/>
  <c r="N99" i="15"/>
  <c r="N107" i="15"/>
  <c r="N138" i="15"/>
  <c r="N125" i="15"/>
  <c r="N141" i="15"/>
  <c r="N93" i="15"/>
  <c r="N123" i="15"/>
  <c r="N128" i="15"/>
  <c r="N136" i="15"/>
  <c r="N114" i="15"/>
  <c r="N85" i="15"/>
  <c r="N96" i="15"/>
  <c r="N104" i="15"/>
  <c r="N115" i="15"/>
  <c r="N146" i="15"/>
  <c r="N133" i="15"/>
  <c r="N98" i="15"/>
  <c r="N112" i="15"/>
  <c r="N119" i="15"/>
  <c r="N91" i="15"/>
  <c r="N137" i="15"/>
  <c r="N102" i="15"/>
  <c r="E24" i="18"/>
  <c r="L103" i="15"/>
  <c r="L142" i="15"/>
  <c r="L86" i="15"/>
  <c r="L144" i="15"/>
  <c r="L111" i="15"/>
  <c r="L96" i="15"/>
  <c r="L85" i="15"/>
  <c r="L87" i="15"/>
  <c r="L120" i="15"/>
  <c r="L91" i="15"/>
  <c r="L94" i="15"/>
  <c r="L132" i="15"/>
  <c r="L141" i="15"/>
  <c r="L90" i="15"/>
  <c r="L118" i="15"/>
  <c r="L101" i="15"/>
  <c r="L100" i="15"/>
  <c r="L104" i="15"/>
  <c r="L140" i="15"/>
  <c r="L99" i="15"/>
  <c r="L116" i="15"/>
  <c r="L145" i="15"/>
  <c r="L119" i="15"/>
  <c r="L124" i="15"/>
  <c r="L131" i="15"/>
  <c r="L106" i="15"/>
  <c r="L136" i="15"/>
  <c r="L89" i="15"/>
  <c r="L107" i="15"/>
  <c r="L146" i="15"/>
  <c r="L135" i="15"/>
  <c r="L127" i="15"/>
  <c r="L93" i="15"/>
  <c r="L105" i="15"/>
  <c r="L88" i="15"/>
  <c r="L114" i="15"/>
  <c r="L92" i="15"/>
  <c r="L122" i="15"/>
  <c r="L125" i="15"/>
  <c r="L137" i="15"/>
  <c r="L109" i="15"/>
  <c r="L110" i="15"/>
  <c r="L112" i="15"/>
  <c r="L126" i="15"/>
  <c r="L83" i="15"/>
  <c r="Q81" i="15"/>
  <c r="L138" i="15"/>
  <c r="L123" i="15"/>
  <c r="L139" i="15"/>
  <c r="L98" i="15"/>
  <c r="L95" i="15"/>
  <c r="L130" i="15"/>
  <c r="L133" i="15"/>
  <c r="L113" i="15"/>
  <c r="L97" i="15"/>
  <c r="L129" i="15"/>
  <c r="L128" i="15"/>
  <c r="L108" i="15"/>
  <c r="L115" i="15"/>
  <c r="L134" i="15"/>
  <c r="L84" i="15"/>
  <c r="L117" i="15"/>
  <c r="L121" i="15"/>
  <c r="L143" i="15"/>
  <c r="L102" i="15"/>
  <c r="K91" i="15"/>
  <c r="K96" i="15"/>
  <c r="K85" i="15"/>
  <c r="K129" i="15"/>
  <c r="K122" i="15"/>
  <c r="K134" i="15"/>
  <c r="K143" i="15"/>
  <c r="K116" i="15"/>
  <c r="K99" i="15"/>
  <c r="K104" i="15"/>
  <c r="K93" i="15"/>
  <c r="K86" i="15"/>
  <c r="K130" i="15"/>
  <c r="K87" i="15"/>
  <c r="K124" i="15"/>
  <c r="K107" i="15"/>
  <c r="K112" i="15"/>
  <c r="K101" i="15"/>
  <c r="K94" i="15"/>
  <c r="K138" i="15"/>
  <c r="K95" i="15"/>
  <c r="K97" i="15"/>
  <c r="K132" i="15"/>
  <c r="K115" i="15"/>
  <c r="K120" i="15"/>
  <c r="K109" i="15"/>
  <c r="K110" i="15"/>
  <c r="K146" i="15"/>
  <c r="K103" i="15"/>
  <c r="K105" i="15"/>
  <c r="K140" i="15"/>
  <c r="K137" i="15"/>
  <c r="K126" i="15"/>
  <c r="K88" i="15"/>
  <c r="K141" i="15"/>
  <c r="K118" i="15"/>
  <c r="K108" i="15"/>
  <c r="K123" i="15"/>
  <c r="K128" i="15"/>
  <c r="K117" i="15"/>
  <c r="K90" i="15"/>
  <c r="K89" i="15"/>
  <c r="K111" i="15"/>
  <c r="K84" i="15"/>
  <c r="K145" i="15"/>
  <c r="K131" i="15"/>
  <c r="K136" i="15"/>
  <c r="K125" i="15"/>
  <c r="K98" i="15"/>
  <c r="K121" i="15"/>
  <c r="K119" i="15"/>
  <c r="K92" i="15"/>
  <c r="K139" i="15"/>
  <c r="K113" i="15"/>
  <c r="K133" i="15"/>
  <c r="K106" i="15"/>
  <c r="K127" i="15"/>
  <c r="K100" i="15"/>
  <c r="K83" i="15"/>
  <c r="K142" i="15"/>
  <c r="K114" i="15"/>
  <c r="K135" i="15"/>
  <c r="K144" i="15"/>
  <c r="K102" i="15"/>
  <c r="O82" i="15"/>
  <c r="K82" i="15"/>
  <c r="E82" i="9"/>
  <c r="F104" i="9"/>
  <c r="D17" i="18" s="1"/>
  <c r="I82" i="9"/>
  <c r="F82" i="9"/>
  <c r="G82" i="9"/>
  <c r="I104" i="9"/>
  <c r="G17" i="18" s="1"/>
  <c r="H82" i="9"/>
  <c r="H104" i="9"/>
  <c r="F17" i="18" s="1"/>
  <c r="E104" i="9"/>
  <c r="C17" i="18" s="1"/>
  <c r="G104" i="9"/>
  <c r="E17" i="18" s="1"/>
  <c r="E6" i="9"/>
  <c r="C11" i="18" s="1"/>
  <c r="C4" i="18" s="1"/>
  <c r="F6" i="9"/>
  <c r="D11" i="18" s="1"/>
  <c r="G6" i="9"/>
  <c r="E11" i="18" s="1"/>
  <c r="H6" i="9"/>
  <c r="F11" i="18" s="1"/>
  <c r="I6" i="9"/>
  <c r="G11" i="18" s="1"/>
  <c r="D8" i="18" l="1"/>
  <c r="D9" i="18"/>
  <c r="D4" i="18"/>
  <c r="E9" i="18"/>
  <c r="E8" i="18"/>
  <c r="E4" i="18"/>
  <c r="C9" i="18"/>
  <c r="C8" i="18"/>
  <c r="F8" i="18"/>
  <c r="F9" i="18"/>
  <c r="F4" i="18"/>
  <c r="G9" i="18"/>
  <c r="G8" i="18"/>
  <c r="G4" i="18"/>
  <c r="G18" i="18"/>
  <c r="G4" i="17"/>
  <c r="H17" i="11"/>
  <c r="H8" i="11"/>
  <c r="H5" i="11"/>
  <c r="G8" i="17" s="1"/>
  <c r="D5" i="11"/>
  <c r="C8" i="17" s="1"/>
  <c r="C18" i="18"/>
  <c r="C4" i="17"/>
  <c r="D17" i="11"/>
  <c r="D8" i="11"/>
  <c r="E18" i="18"/>
  <c r="E4" i="17"/>
  <c r="F17" i="11"/>
  <c r="F5" i="11"/>
  <c r="E8" i="17" s="1"/>
  <c r="F8" i="11"/>
  <c r="D18" i="18"/>
  <c r="D4" i="17"/>
  <c r="E17" i="11"/>
  <c r="E8" i="11"/>
  <c r="E5" i="11"/>
  <c r="D8" i="17" s="1"/>
  <c r="F18" i="18"/>
  <c r="F4" i="17"/>
  <c r="G17" i="11"/>
  <c r="G8" i="11"/>
  <c r="G5" i="11"/>
  <c r="F8" i="17" s="1"/>
  <c r="I4" i="9"/>
  <c r="G4" i="9"/>
  <c r="F4" i="9"/>
  <c r="E81" i="9"/>
  <c r="D18" i="11" s="1"/>
  <c r="H4" i="9"/>
  <c r="G81" i="9"/>
  <c r="F18" i="11" s="1"/>
  <c r="I81" i="9"/>
  <c r="H18" i="11" s="1"/>
  <c r="F81" i="9"/>
  <c r="E18" i="11" s="1"/>
  <c r="H81" i="9"/>
  <c r="G18" i="11" s="1"/>
  <c r="E25" i="18" l="1"/>
  <c r="C25" i="18"/>
  <c r="D3" i="17"/>
  <c r="D9" i="17" s="1"/>
  <c r="E11" i="11"/>
  <c r="E6" i="11"/>
  <c r="D7" i="17" s="1"/>
  <c r="D10" i="17" s="1"/>
  <c r="E3" i="17"/>
  <c r="E9" i="17" s="1"/>
  <c r="F11" i="11"/>
  <c r="F6" i="11"/>
  <c r="E7" i="17" s="1"/>
  <c r="E10" i="17" s="1"/>
  <c r="G3" i="17"/>
  <c r="G9" i="17" s="1"/>
  <c r="H11" i="11"/>
  <c r="H6" i="11"/>
  <c r="G7" i="17" s="1"/>
  <c r="G10" i="17" s="1"/>
  <c r="F25" i="18"/>
  <c r="D25" i="18"/>
  <c r="F3" i="17"/>
  <c r="F9" i="17" s="1"/>
  <c r="G11" i="11"/>
  <c r="G6" i="11"/>
  <c r="F7" i="17" s="1"/>
  <c r="F10" i="17" s="1"/>
  <c r="E16" i="18"/>
  <c r="E15" i="18"/>
  <c r="E3" i="18"/>
  <c r="F16" i="18"/>
  <c r="F15" i="18"/>
  <c r="F3" i="18"/>
  <c r="D15" i="18"/>
  <c r="D16" i="18"/>
  <c r="D3" i="18"/>
  <c r="C15" i="18"/>
  <c r="C16" i="18"/>
  <c r="C3" i="18"/>
  <c r="G16" i="18"/>
  <c r="G15" i="18"/>
  <c r="G3" i="18"/>
  <c r="G14" i="12"/>
  <c r="C26" i="18" l="1"/>
  <c r="E26" i="18"/>
  <c r="F26" i="18"/>
  <c r="C22" i="18"/>
  <c r="F22" i="18"/>
  <c r="F23" i="18"/>
  <c r="E23" i="18"/>
  <c r="E22" i="18"/>
  <c r="D26" i="18"/>
  <c r="D23" i="18"/>
  <c r="D22" i="18"/>
  <c r="C23" i="18"/>
  <c r="D14" i="12"/>
  <c r="C14" i="12"/>
  <c r="G15" i="12"/>
  <c r="G16" i="12" s="1"/>
  <c r="C27" i="18" l="1"/>
  <c r="C28" i="18"/>
  <c r="F29" i="18"/>
  <c r="D29" i="18"/>
  <c r="E28" i="18"/>
  <c r="E29" i="18"/>
  <c r="E27" i="18"/>
  <c r="C29" i="18"/>
  <c r="D27" i="18"/>
  <c r="D28" i="18"/>
  <c r="F28" i="18"/>
  <c r="F27" i="18"/>
  <c r="D15" i="12"/>
  <c r="D16" i="12" s="1"/>
  <c r="D17" i="12" s="1"/>
  <c r="C15" i="12"/>
  <c r="G17" i="12"/>
  <c r="C16" i="12" l="1"/>
  <c r="C17" i="12" s="1"/>
  <c r="E4" i="9" l="1"/>
  <c r="D6" i="11" l="1"/>
  <c r="C7" i="17" s="1"/>
  <c r="C10" i="17" s="1"/>
  <c r="C3" i="17"/>
  <c r="C9" i="17" s="1"/>
  <c r="D11" i="11"/>
</calcChain>
</file>

<file path=xl/sharedStrings.xml><?xml version="1.0" encoding="utf-8"?>
<sst xmlns="http://schemas.openxmlformats.org/spreadsheetml/2006/main" count="938" uniqueCount="428">
  <si>
    <t>ROZVAHY</t>
  </si>
  <si>
    <t>AKTIVA CELKEM</t>
  </si>
  <si>
    <t>A.</t>
  </si>
  <si>
    <t>Pohledávky za upsaný základní kapitál</t>
  </si>
  <si>
    <t>B.</t>
  </si>
  <si>
    <t>Dlouhodobý majetek</t>
  </si>
  <si>
    <t>B.I.</t>
  </si>
  <si>
    <t>Dlouhodobý nehmotný majetek</t>
  </si>
  <si>
    <t>B.I.1</t>
  </si>
  <si>
    <t>B.I.2</t>
  </si>
  <si>
    <t xml:space="preserve">Nehmotné výsledky výzkumu a vývoje </t>
  </si>
  <si>
    <t>B.I.3</t>
  </si>
  <si>
    <t>Software</t>
  </si>
  <si>
    <t>B.I.4</t>
  </si>
  <si>
    <t>Ocenitelná práva</t>
  </si>
  <si>
    <t>B.I.5</t>
  </si>
  <si>
    <t>Goodwill</t>
  </si>
  <si>
    <t>Nedokončený dlouhodobý nehmotný majetek</t>
  </si>
  <si>
    <t>Poskytnuté zálohy na dlouhodobý nehmotný majetek</t>
  </si>
  <si>
    <t>B.II.</t>
  </si>
  <si>
    <t>Dlouhodobý hmotný majetek</t>
  </si>
  <si>
    <t>B.II.1</t>
  </si>
  <si>
    <t>Pozemky</t>
  </si>
  <si>
    <t>B.II.2</t>
  </si>
  <si>
    <t>Stavby</t>
  </si>
  <si>
    <t>B.II.3</t>
  </si>
  <si>
    <t>B.II.4</t>
  </si>
  <si>
    <t>Pěstitelské celky trvalých porostů</t>
  </si>
  <si>
    <t>B.II.5</t>
  </si>
  <si>
    <t>Dospělá zvířata a jejich skupiny</t>
  </si>
  <si>
    <t>Nedokončený dlouhodobý hmotný majetek</t>
  </si>
  <si>
    <t>Poskytnuté zálohy na dlouhodobý hmotný majetek</t>
  </si>
  <si>
    <t>Oceňovací rozdíl k nabytému majetku</t>
  </si>
  <si>
    <t>B.III.</t>
  </si>
  <si>
    <t>Dlouhodobý finanční majetek</t>
  </si>
  <si>
    <t>B.III.1</t>
  </si>
  <si>
    <t>B.III.2</t>
  </si>
  <si>
    <t>B.III.3</t>
  </si>
  <si>
    <t>Ostatní dlouhodobé cenné papíry a podíly</t>
  </si>
  <si>
    <t>B.III.4</t>
  </si>
  <si>
    <t>B.III.5</t>
  </si>
  <si>
    <t>Jiný dlouhodobý finanční majetek</t>
  </si>
  <si>
    <t>B.III.6</t>
  </si>
  <si>
    <t>B.III.7</t>
  </si>
  <si>
    <t>Poskytnuté zálohy na dlouhodobý finanční majetek</t>
  </si>
  <si>
    <t>C.</t>
  </si>
  <si>
    <t>Oběžná aktiva</t>
  </si>
  <si>
    <t>C.I.</t>
  </si>
  <si>
    <t>Zásoby</t>
  </si>
  <si>
    <t>C.I.1</t>
  </si>
  <si>
    <t>Materiál</t>
  </si>
  <si>
    <t>C.I.2</t>
  </si>
  <si>
    <t>Nedokončená výroba a polotovary</t>
  </si>
  <si>
    <t>C.I.3</t>
  </si>
  <si>
    <t>Výrobky</t>
  </si>
  <si>
    <t>C.I.4</t>
  </si>
  <si>
    <t>Mladá a ostatní zvířata a jejich skupiny</t>
  </si>
  <si>
    <t>C.I.5</t>
  </si>
  <si>
    <t>Zboží</t>
  </si>
  <si>
    <t>C.I.6</t>
  </si>
  <si>
    <t>Poskytnuté zálohy na zásoby</t>
  </si>
  <si>
    <t>C.II.</t>
  </si>
  <si>
    <t>Dlouhodobé pohledávky</t>
  </si>
  <si>
    <t>C.II.1</t>
  </si>
  <si>
    <t>Pohledávky z obchodních vztahů</t>
  </si>
  <si>
    <t>C.II.2</t>
  </si>
  <si>
    <t>Pohledávky - ovládaná nebo ovládající osoba</t>
  </si>
  <si>
    <t>C.II.3</t>
  </si>
  <si>
    <t>Pohledávky - podstatný vliv</t>
  </si>
  <si>
    <t>C.II.4</t>
  </si>
  <si>
    <t>C.II.5</t>
  </si>
  <si>
    <t>Dlouhodobé poskytnuté zálohy</t>
  </si>
  <si>
    <t>C.II.6</t>
  </si>
  <si>
    <t>Dohadné účty aktivní</t>
  </si>
  <si>
    <t>C.II.7</t>
  </si>
  <si>
    <t>Jiné pohledávky</t>
  </si>
  <si>
    <t>C.II.8</t>
  </si>
  <si>
    <t>Odložená daňová pohledávka</t>
  </si>
  <si>
    <t>C.III.</t>
  </si>
  <si>
    <t>Krátkodobé pohledávky</t>
  </si>
  <si>
    <t>C.III.1</t>
  </si>
  <si>
    <t>C.III.2</t>
  </si>
  <si>
    <t>Sociální zabezpečení a zdravotní pojištění</t>
  </si>
  <si>
    <t>Stát - daňové pohledávky</t>
  </si>
  <si>
    <t>Krátkodobé poskytnuté zálohy</t>
  </si>
  <si>
    <t>C.IV.</t>
  </si>
  <si>
    <t>Krátkodobý finanční majetek</t>
  </si>
  <si>
    <t>C.IV.1</t>
  </si>
  <si>
    <t>C.IV.2</t>
  </si>
  <si>
    <t>D.I.</t>
  </si>
  <si>
    <t>Časové rozlišení</t>
  </si>
  <si>
    <t>D.I.1</t>
  </si>
  <si>
    <t xml:space="preserve">Náklady příštích období </t>
  </si>
  <si>
    <t>D.I.2</t>
  </si>
  <si>
    <t>Komplexní náklady příštích období</t>
  </si>
  <si>
    <t>D.I.3</t>
  </si>
  <si>
    <t>Příjmy příštích období</t>
  </si>
  <si>
    <t/>
  </si>
  <si>
    <t>PASIVA CELKEM</t>
  </si>
  <si>
    <t>Vlastní kapitál</t>
  </si>
  <si>
    <t>A.I.</t>
  </si>
  <si>
    <t>Základní kapitál</t>
  </si>
  <si>
    <t>A.I.1</t>
  </si>
  <si>
    <t>A.I.2</t>
  </si>
  <si>
    <t>Vlastní akcie a vlastní obchodní podíly (-)</t>
  </si>
  <si>
    <t>A.I.3</t>
  </si>
  <si>
    <t>Změny základního kapitálu</t>
  </si>
  <si>
    <t>A.II.</t>
  </si>
  <si>
    <t>Kapitálové fondy</t>
  </si>
  <si>
    <t>A.II.1</t>
  </si>
  <si>
    <t>A.II.2</t>
  </si>
  <si>
    <t>Ostatní kapitálové fondy</t>
  </si>
  <si>
    <t>Oceňovací rozdíly z přecenění majetku a závazků</t>
  </si>
  <si>
    <t>Oceňovací rozdíly z přecenění při přeměnách obchodních korporací</t>
  </si>
  <si>
    <t>Rozdíly z přeměn obchodních korporací</t>
  </si>
  <si>
    <t>Rozdíly z ocenění při přeměnách obchodních korporací</t>
  </si>
  <si>
    <t>A.III.</t>
  </si>
  <si>
    <t>A.III.1</t>
  </si>
  <si>
    <t>A.III.2</t>
  </si>
  <si>
    <t>Statutární a ostatní fondy</t>
  </si>
  <si>
    <t>A.IV.</t>
  </si>
  <si>
    <t>Výsledek hospodaření minulých let</t>
  </si>
  <si>
    <t>A.IV.1</t>
  </si>
  <si>
    <t xml:space="preserve">Nerozdělený zisk minulých let </t>
  </si>
  <si>
    <t>A.IV.2</t>
  </si>
  <si>
    <t>Neuhrazená ztráta minulých let</t>
  </si>
  <si>
    <t>A.IV.3</t>
  </si>
  <si>
    <t>Jiný výsledek hospodaření minulých let</t>
  </si>
  <si>
    <t>A.V.</t>
  </si>
  <si>
    <t>Výsledek hospodaření běžného účetního období</t>
  </si>
  <si>
    <t>Cizí zdroje</t>
  </si>
  <si>
    <t>Rezervy</t>
  </si>
  <si>
    <t>Rezervy podle zvláštních právních předpisů</t>
  </si>
  <si>
    <t>Rezerva na důchody a podobné závazky</t>
  </si>
  <si>
    <t>Rezerva na daň z příjmů</t>
  </si>
  <si>
    <t>Ostatní rezervy</t>
  </si>
  <si>
    <t>Dlouhodobé závazky</t>
  </si>
  <si>
    <t>Závazky z obchodních vztahů</t>
  </si>
  <si>
    <t>Závazky - ovládaná nebo ovládající osoba</t>
  </si>
  <si>
    <t>Závazky - podstatný vliv</t>
  </si>
  <si>
    <t>Dlouhodobé přijaté zálohy</t>
  </si>
  <si>
    <t>Vydané dluhopisy</t>
  </si>
  <si>
    <t>Dlouhodobé směnky k úhradě</t>
  </si>
  <si>
    <t>Dohadné účty pasívní</t>
  </si>
  <si>
    <t>Jiné závazky</t>
  </si>
  <si>
    <t>Odložený daňový závazek</t>
  </si>
  <si>
    <t>Krátkodobé závazky</t>
  </si>
  <si>
    <t>Závazky k zaměstnancům</t>
  </si>
  <si>
    <t>Závazky ze sociálního zabezpečení a zdravotního pojištění</t>
  </si>
  <si>
    <t>Stát - daňové závazky a dotace</t>
  </si>
  <si>
    <t>Kratkodobé přijaté zálohy</t>
  </si>
  <si>
    <t xml:space="preserve">Dohadné účty pasivní </t>
  </si>
  <si>
    <t>Krátkodobé finanční výpomoci</t>
  </si>
  <si>
    <t>Výdaje příštích období</t>
  </si>
  <si>
    <t xml:space="preserve">Výnosy příštích období </t>
  </si>
  <si>
    <t>I.</t>
  </si>
  <si>
    <t xml:space="preserve">Tržby za prodej zboží </t>
  </si>
  <si>
    <t>Náklady vynaložené na prodané zboží</t>
  </si>
  <si>
    <t>II.</t>
  </si>
  <si>
    <t>Tržby za prodej vlastních výrobků a služeb</t>
  </si>
  <si>
    <t>Změna stavu zásob vlastní činnosti</t>
  </si>
  <si>
    <t>Aktivace</t>
  </si>
  <si>
    <t>Výkonová spotřeba</t>
  </si>
  <si>
    <t>Spotřeba materiálu a energie</t>
  </si>
  <si>
    <t>Služby</t>
  </si>
  <si>
    <t>Osobní náklady</t>
  </si>
  <si>
    <t>Mzdové náklady</t>
  </si>
  <si>
    <t>Náklady na sociální zabezpečení a zdravotní pojištění</t>
  </si>
  <si>
    <t>D.</t>
  </si>
  <si>
    <t>Daně a poplatky</t>
  </si>
  <si>
    <t>E.</t>
  </si>
  <si>
    <t>III.</t>
  </si>
  <si>
    <t>III.1</t>
  </si>
  <si>
    <t xml:space="preserve">Tržby z prodeje dlouhodobého majetku </t>
  </si>
  <si>
    <t>III.2</t>
  </si>
  <si>
    <t>Tržby z prodeje materiálu</t>
  </si>
  <si>
    <t>F.</t>
  </si>
  <si>
    <t>F.1</t>
  </si>
  <si>
    <t>Zůstatková cena prodaného dlouhodobého majetku</t>
  </si>
  <si>
    <t>F.2</t>
  </si>
  <si>
    <t>G.</t>
  </si>
  <si>
    <t>IV.</t>
  </si>
  <si>
    <t>Ostatní provozní výnosy</t>
  </si>
  <si>
    <t>Ostatní provozní náklady</t>
  </si>
  <si>
    <t>V.</t>
  </si>
  <si>
    <t>*</t>
  </si>
  <si>
    <t>Provozní výsledek hospodaření</t>
  </si>
  <si>
    <t>VI</t>
  </si>
  <si>
    <t>J.</t>
  </si>
  <si>
    <t>VII.</t>
  </si>
  <si>
    <t>Výnosy z dlouhodobého finančního majetku</t>
  </si>
  <si>
    <t>Výnosy z ostatního dlouhodobého finančního majetku</t>
  </si>
  <si>
    <t>K.</t>
  </si>
  <si>
    <t>L.</t>
  </si>
  <si>
    <t>M.</t>
  </si>
  <si>
    <t>Ostatní finanční výnosy</t>
  </si>
  <si>
    <t>Ostatní finanční náklady</t>
  </si>
  <si>
    <t>Finanční výsledek hospodaření</t>
  </si>
  <si>
    <t>Daň z příjmů za běžnou činnost</t>
  </si>
  <si>
    <t>**</t>
  </si>
  <si>
    <t>***</t>
  </si>
  <si>
    <t>VÝKAZY ZISKŮ A ZTRÁT</t>
  </si>
  <si>
    <t>POMĚROVÉ UKAZATELE</t>
  </si>
  <si>
    <r>
      <t xml:space="preserve">ROE </t>
    </r>
    <r>
      <rPr>
        <sz val="8"/>
        <color theme="1"/>
        <rFont val="Calibri"/>
        <family val="2"/>
        <charset val="238"/>
        <scheme val="minor"/>
      </rPr>
      <t>(NI / VK)</t>
    </r>
  </si>
  <si>
    <r>
      <t xml:space="preserve">ROS </t>
    </r>
    <r>
      <rPr>
        <sz val="8"/>
        <color theme="1"/>
        <rFont val="Calibri"/>
        <family val="2"/>
        <charset val="238"/>
        <scheme val="minor"/>
      </rPr>
      <t>(NI / tržby)</t>
    </r>
  </si>
  <si>
    <t>Ukazatele aktivity</t>
  </si>
  <si>
    <r>
      <t xml:space="preserve">Obrat aktiv </t>
    </r>
    <r>
      <rPr>
        <sz val="8"/>
        <color theme="1"/>
        <rFont val="Calibri"/>
        <family val="2"/>
        <charset val="238"/>
        <scheme val="minor"/>
      </rPr>
      <t>(tržby / aktiva)</t>
    </r>
  </si>
  <si>
    <r>
      <t xml:space="preserve">Doba obratu zásob </t>
    </r>
    <r>
      <rPr>
        <sz val="8"/>
        <color theme="1"/>
        <rFont val="Calibri"/>
        <family val="2"/>
        <charset val="238"/>
        <scheme val="minor"/>
      </rPr>
      <t>(zásoby / denní tržby)</t>
    </r>
  </si>
  <si>
    <r>
      <t xml:space="preserve">Doba obratu závazků </t>
    </r>
    <r>
      <rPr>
        <sz val="8"/>
        <color theme="1"/>
        <rFont val="Calibri"/>
        <family val="2"/>
        <charset val="238"/>
        <scheme val="minor"/>
      </rPr>
      <t>(závazky / denní tržby)</t>
    </r>
  </si>
  <si>
    <r>
      <t xml:space="preserve">Doba obratu pohledávek </t>
    </r>
    <r>
      <rPr>
        <sz val="8"/>
        <color theme="1"/>
        <rFont val="Calibri"/>
        <family val="2"/>
        <charset val="238"/>
        <scheme val="minor"/>
      </rPr>
      <t>(pohledávky / denní tržby)</t>
    </r>
  </si>
  <si>
    <t>Ukazatele zadluženosti</t>
  </si>
  <si>
    <r>
      <t xml:space="preserve">Míra celkové zadluženosti </t>
    </r>
    <r>
      <rPr>
        <sz val="8"/>
        <color theme="1"/>
        <rFont val="Calibri"/>
        <family val="2"/>
        <charset val="238"/>
        <scheme val="minor"/>
      </rPr>
      <t>(cizí zdroje / aktiva)</t>
    </r>
  </si>
  <si>
    <r>
      <t xml:space="preserve">Míra zadluženoti vlastního kapitálu </t>
    </r>
    <r>
      <rPr>
        <sz val="8"/>
        <color theme="1"/>
        <rFont val="Calibri"/>
        <family val="2"/>
        <charset val="238"/>
        <scheme val="minor"/>
      </rPr>
      <t>(cizí zdroje / vlastní kapitál)</t>
    </r>
  </si>
  <si>
    <t>Ukazatele platební schopnosti</t>
  </si>
  <si>
    <t>Ukazatele rentability</t>
  </si>
  <si>
    <t>POMOCNÁ DATA</t>
  </si>
  <si>
    <r>
      <t xml:space="preserve">EBIT </t>
    </r>
    <r>
      <rPr>
        <sz val="8"/>
        <color theme="1"/>
        <rFont val="Calibri"/>
        <family val="2"/>
        <charset val="238"/>
        <scheme val="minor"/>
      </rPr>
      <t>(HV před odečtem úroků a daně)</t>
    </r>
  </si>
  <si>
    <t>Počet zaměstnanců</t>
  </si>
  <si>
    <t>CF z provozní činnosti</t>
  </si>
  <si>
    <t>CF z investiční činnosti</t>
  </si>
  <si>
    <t>CF z finanční činnosti</t>
  </si>
  <si>
    <t>Změna peněžních prostředků</t>
  </si>
  <si>
    <r>
      <t xml:space="preserve">CF I </t>
    </r>
    <r>
      <rPr>
        <sz val="8"/>
        <color theme="1"/>
        <rFont val="Calibri"/>
        <family val="2"/>
        <charset val="238"/>
        <scheme val="minor"/>
      </rPr>
      <t>(NI + odpisy)</t>
    </r>
  </si>
  <si>
    <t>Čistý pracovní kapitál</t>
  </si>
  <si>
    <t>v</t>
  </si>
  <si>
    <t>n</t>
  </si>
  <si>
    <t>Výnosy celkem</t>
  </si>
  <si>
    <t>Náklady celkem</t>
  </si>
  <si>
    <t>Tržby</t>
  </si>
  <si>
    <t>ROE</t>
  </si>
  <si>
    <t>ROA (EBIT)</t>
  </si>
  <si>
    <t>ROS</t>
  </si>
  <si>
    <t>ROCE</t>
  </si>
  <si>
    <t>Obrat aktiv</t>
  </si>
  <si>
    <t>Míra celkové zadluženosti</t>
  </si>
  <si>
    <t>Míra zadluženoti vlastního kapitálu</t>
  </si>
  <si>
    <t>Úrokové krytí</t>
  </si>
  <si>
    <t>Běžná likvidita</t>
  </si>
  <si>
    <t>Pohotová likvidita</t>
  </si>
  <si>
    <t>Okamžitá likvidita</t>
  </si>
  <si>
    <t>B.I.2.1</t>
  </si>
  <si>
    <t>Ostatní ocenitelná práva</t>
  </si>
  <si>
    <t>B.I.2.2</t>
  </si>
  <si>
    <t>Ostatní dlouhodobý nehmotný majetek</t>
  </si>
  <si>
    <t>B.I.5.1</t>
  </si>
  <si>
    <t>B.I.5.2</t>
  </si>
  <si>
    <t>Poskytnuté zálohy na dlouhodobý nehmotný majetek a nedokončený dlouhodobý nehmotný majetek</t>
  </si>
  <si>
    <t>Pozemky a stavby</t>
  </si>
  <si>
    <t>B.II.1.1</t>
  </si>
  <si>
    <t>B.II.1.2</t>
  </si>
  <si>
    <t>Hmotné movité věci a soubory movitých věcí</t>
  </si>
  <si>
    <t>Ostatní dlouhodobý hmotný majetek</t>
  </si>
  <si>
    <t>B.II.4.1</t>
  </si>
  <si>
    <t>B.II.4.2</t>
  </si>
  <si>
    <t>B.II.4.3</t>
  </si>
  <si>
    <t>B.II.5.1</t>
  </si>
  <si>
    <t>B.II.5.2</t>
  </si>
  <si>
    <t>Podíly - ovládaná nebo ovládající osoba</t>
  </si>
  <si>
    <t>B.III.7.1</t>
  </si>
  <si>
    <t>B.III.7.2</t>
  </si>
  <si>
    <t>Ostatní dlouhodobý finanční majetek</t>
  </si>
  <si>
    <t>Zápůjčky a úvěry - ostatní</t>
  </si>
  <si>
    <t>Zápůjčka a úvěry - podstatný vliv</t>
  </si>
  <si>
    <t>Podíly - podstatný vliv</t>
  </si>
  <si>
    <t>Zápůjčka a úvěry - ovládaná nebo ovládající osoby</t>
  </si>
  <si>
    <t>Výrobky a zboží</t>
  </si>
  <si>
    <t>C.I.3.1</t>
  </si>
  <si>
    <t>C.I.3.2</t>
  </si>
  <si>
    <t>Pohledávky</t>
  </si>
  <si>
    <t>C.II.1.1</t>
  </si>
  <si>
    <t>C.II.1.2</t>
  </si>
  <si>
    <t>C.II.1.3</t>
  </si>
  <si>
    <t>C.II.1.4</t>
  </si>
  <si>
    <t>C.II.1.5</t>
  </si>
  <si>
    <t>C.II.1.5.1</t>
  </si>
  <si>
    <t>C.II.1.5.2</t>
  </si>
  <si>
    <t>C.II.1.5.3</t>
  </si>
  <si>
    <t>C.II.1.5.4</t>
  </si>
  <si>
    <t>Pohledávky - ostatní</t>
  </si>
  <si>
    <t>Pohledávky za společníky</t>
  </si>
  <si>
    <t>C.II.2.1</t>
  </si>
  <si>
    <t>C.II.2.2</t>
  </si>
  <si>
    <t>C.II.2.3</t>
  </si>
  <si>
    <t>C.II.2.4</t>
  </si>
  <si>
    <t>C.II.2.4.1</t>
  </si>
  <si>
    <t>C.II.2.4.2</t>
  </si>
  <si>
    <t>C.II.2.4.3</t>
  </si>
  <si>
    <t>C.II.2.4.4</t>
  </si>
  <si>
    <t>C.II.2.4.5</t>
  </si>
  <si>
    <t>C.II.2.4.6</t>
  </si>
  <si>
    <t>Ostatní krátkodobý finanční majetek</t>
  </si>
  <si>
    <t>Peněžní prostředky</t>
  </si>
  <si>
    <t>Peněžní prostředky v pokladně</t>
  </si>
  <si>
    <t>Peněžní prostředky na účtech</t>
  </si>
  <si>
    <t>Ážio</t>
  </si>
  <si>
    <t>A.II.2.1</t>
  </si>
  <si>
    <t>A.II.2.2</t>
  </si>
  <si>
    <t>A.II.2.3</t>
  </si>
  <si>
    <t>A.II.2.4</t>
  </si>
  <si>
    <t>A.II.2.5</t>
  </si>
  <si>
    <t>Fondy ze zisku</t>
  </si>
  <si>
    <t>Ostatní rezervní fondy</t>
  </si>
  <si>
    <t>A.VI.</t>
  </si>
  <si>
    <t>Rozhodnuto o zálohové výplatě podílu na zisku</t>
  </si>
  <si>
    <t>B. + C.</t>
  </si>
  <si>
    <t>Závazky</t>
  </si>
  <si>
    <t>C.I.1.1</t>
  </si>
  <si>
    <t>C.I.1.2</t>
  </si>
  <si>
    <t>Vyměnitelné dluhopisy</t>
  </si>
  <si>
    <t>Ostatní dluhopisy</t>
  </si>
  <si>
    <t>Závazky k úvěrovým institucím</t>
  </si>
  <si>
    <t>C.I.7</t>
  </si>
  <si>
    <t>C.I.8</t>
  </si>
  <si>
    <t>C.I.9</t>
  </si>
  <si>
    <t>C.I.9.1</t>
  </si>
  <si>
    <t>C.I.9.2</t>
  </si>
  <si>
    <t>C.I.9.3</t>
  </si>
  <si>
    <t>Závazky - ostatní</t>
  </si>
  <si>
    <t>Závazky ke společníkům</t>
  </si>
  <si>
    <t>Krátkodobé směnky k úhradě</t>
  </si>
  <si>
    <t>Závazky ostatní</t>
  </si>
  <si>
    <t>C.II.8.1</t>
  </si>
  <si>
    <t>C.II.8.2</t>
  </si>
  <si>
    <t>C.II.8.3</t>
  </si>
  <si>
    <t>C.II.8.4</t>
  </si>
  <si>
    <t>C.II.8.5</t>
  </si>
  <si>
    <t>C.II.8.6</t>
  </si>
  <si>
    <t>C.II.8.7</t>
  </si>
  <si>
    <t>A.1</t>
  </si>
  <si>
    <t>A.2</t>
  </si>
  <si>
    <t>A.3</t>
  </si>
  <si>
    <t>D.1</t>
  </si>
  <si>
    <t>D.2</t>
  </si>
  <si>
    <t>D.2.1</t>
  </si>
  <si>
    <t>D.2.2</t>
  </si>
  <si>
    <t>Náklady na sociální zabezpečení, zdravotní pojištění a ostatní náklady</t>
  </si>
  <si>
    <t>Ostatní náklady</t>
  </si>
  <si>
    <t>Úpravy hodnot v provozní oblasti</t>
  </si>
  <si>
    <t>E.1</t>
  </si>
  <si>
    <t>E.1.1</t>
  </si>
  <si>
    <t>E.1.2</t>
  </si>
  <si>
    <t>E.2</t>
  </si>
  <si>
    <t>E.3</t>
  </si>
  <si>
    <t>Úpravy hodnot dlouhodobého nehmotného a hmotného majetku</t>
  </si>
  <si>
    <t>Úpravy hodnot dlouhodobého nehmotného a hnotného majetku - trvalé</t>
  </si>
  <si>
    <t>Úpravy hodnot dlouhodobého nehmotného a hnotného majetku - dočasné</t>
  </si>
  <si>
    <t>Úpravy hodnot zásob</t>
  </si>
  <si>
    <t>Úpravy hodnot pohledávek</t>
  </si>
  <si>
    <t>III.3</t>
  </si>
  <si>
    <t>Jiné provozní výnosy</t>
  </si>
  <si>
    <t>F.3</t>
  </si>
  <si>
    <t>F.4</t>
  </si>
  <si>
    <t>F.5</t>
  </si>
  <si>
    <t>Zůstatková cena prodaného materiálu</t>
  </si>
  <si>
    <t>Rezervy v provozní oblasti a komplexní náklady příštích období</t>
  </si>
  <si>
    <t>Jiné provozní náklady</t>
  </si>
  <si>
    <t>Výnosy z podílů - ovládaná nebo ovládající osoba</t>
  </si>
  <si>
    <t>Ostatní výnosy z podílů</t>
  </si>
  <si>
    <t>IV.1</t>
  </si>
  <si>
    <t>IV.2</t>
  </si>
  <si>
    <t>Náklady vynaložené na prodané podíly</t>
  </si>
  <si>
    <t>V.1</t>
  </si>
  <si>
    <t>V.2</t>
  </si>
  <si>
    <t>Ostatní výnosy z ostatního dlouhodobého finančního majetku</t>
  </si>
  <si>
    <t>H</t>
  </si>
  <si>
    <t>Náklady související s ostatním dlouhodobým finančním majetkem</t>
  </si>
  <si>
    <t>VI.1</t>
  </si>
  <si>
    <t>VI.2</t>
  </si>
  <si>
    <t>Výnosové úroky a podobné výnosy</t>
  </si>
  <si>
    <t>Výnosové úroky a podobné výnosy - ovládaná nebo ovládající osoba</t>
  </si>
  <si>
    <t>Ostatní výnosové úroky a podobné výnosy</t>
  </si>
  <si>
    <t>Úpravy hodnot a rezervy ve finanční oblasti</t>
  </si>
  <si>
    <t>J.1</t>
  </si>
  <si>
    <t>J.2</t>
  </si>
  <si>
    <t>Nákladové úroky a podobné náklady</t>
  </si>
  <si>
    <t>Nákladové úroky a podobné náklady - ovládaná nebo ovládající osoba</t>
  </si>
  <si>
    <t>Ostatní nákladové úroky a podobné náklady</t>
  </si>
  <si>
    <t>Výsledek hospodaření před zdaněním</t>
  </si>
  <si>
    <t>L.1</t>
  </si>
  <si>
    <t>L.2</t>
  </si>
  <si>
    <t>Daň z příjmů splatná</t>
  </si>
  <si>
    <t>Daň z příjmů odložená</t>
  </si>
  <si>
    <t>Výsledek hospodaření po zdanění</t>
  </si>
  <si>
    <t xml:space="preserve">Převod podílu na výsledku hospodaření společníkům </t>
  </si>
  <si>
    <t xml:space="preserve">Výsledek hospodaření za účetní období </t>
  </si>
  <si>
    <t xml:space="preserve">Čistý obrat za účetní období </t>
  </si>
  <si>
    <r>
      <rPr>
        <b/>
        <i/>
        <sz val="11"/>
        <color theme="0" tint="-0.499984740745262"/>
        <rFont val="Calibri"/>
        <family val="2"/>
        <charset val="238"/>
        <scheme val="minor"/>
      </rPr>
      <t>Poznámka:</t>
    </r>
    <r>
      <rPr>
        <i/>
        <sz val="11"/>
        <color theme="0" tint="-0.499984740745262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 xml:space="preserve">Data označená </t>
    </r>
    <r>
      <rPr>
        <i/>
        <sz val="11"/>
        <color theme="9" tint="-0.499984740745262"/>
        <rFont val="Calibri"/>
        <family val="2"/>
        <charset val="238"/>
        <scheme val="minor"/>
      </rPr>
      <t>oranžově</t>
    </r>
    <r>
      <rPr>
        <i/>
        <sz val="11"/>
        <color theme="1"/>
        <rFont val="Calibri"/>
        <family val="2"/>
        <charset val="238"/>
        <scheme val="minor"/>
      </rPr>
      <t xml:space="preserve"> jsou odhadována, reálná data nejsou k dispozici. </t>
    </r>
  </si>
  <si>
    <t>Vertikální analýza</t>
  </si>
  <si>
    <t>Horizontální analýza</t>
  </si>
  <si>
    <t>VÝNOSY</t>
  </si>
  <si>
    <t>NÁKLADY</t>
  </si>
  <si>
    <r>
      <t xml:space="preserve">ROA </t>
    </r>
    <r>
      <rPr>
        <sz val="8"/>
        <color theme="1"/>
        <rFont val="Calibri"/>
        <family val="2"/>
        <charset val="238"/>
        <scheme val="minor"/>
      </rPr>
      <t>(EBIT / aktiva)</t>
    </r>
  </si>
  <si>
    <r>
      <t xml:space="preserve">ROCE </t>
    </r>
    <r>
      <rPr>
        <sz val="8"/>
        <color theme="1"/>
        <rFont val="Calibri"/>
        <family val="2"/>
        <charset val="238"/>
        <scheme val="minor"/>
      </rPr>
      <t>(EBITDA / (VK + dlouhodobé závazky)</t>
    </r>
  </si>
  <si>
    <r>
      <t xml:space="preserve">Úrokové krytí </t>
    </r>
    <r>
      <rPr>
        <sz val="8"/>
        <color theme="1"/>
        <rFont val="Calibri"/>
        <family val="2"/>
        <charset val="238"/>
        <scheme val="minor"/>
      </rPr>
      <t>(EBIT / nákl.úr.)</t>
    </r>
  </si>
  <si>
    <r>
      <t xml:space="preserve">L1 </t>
    </r>
    <r>
      <rPr>
        <sz val="8"/>
        <color theme="1"/>
        <rFont val="Calibri"/>
        <family val="2"/>
        <charset val="238"/>
        <scheme val="minor"/>
      </rPr>
      <t>(oběžná likvidní aktiva / krátkodobá pasiva)</t>
    </r>
  </si>
  <si>
    <r>
      <t xml:space="preserve">L2 </t>
    </r>
    <r>
      <rPr>
        <sz val="8"/>
        <color theme="1"/>
        <rFont val="Calibri"/>
        <family val="2"/>
        <charset val="238"/>
        <scheme val="minor"/>
      </rPr>
      <t>(likvidní aktiva + krátkodobé pohledávky / krátkodobá pasiva)</t>
    </r>
  </si>
  <si>
    <r>
      <t xml:space="preserve">L3 </t>
    </r>
    <r>
      <rPr>
        <sz val="8"/>
        <color theme="1"/>
        <rFont val="Calibri"/>
        <family val="2"/>
        <charset val="238"/>
        <scheme val="minor"/>
      </rPr>
      <t>(likvidní aktiva + krátkodobé pohledávky + zásoby / krátkodobá pasiva)</t>
    </r>
  </si>
  <si>
    <t>Finanční páka</t>
  </si>
  <si>
    <t>Aktiva</t>
  </si>
  <si>
    <t>VK</t>
  </si>
  <si>
    <t>NI</t>
  </si>
  <si>
    <t>EBIT</t>
  </si>
  <si>
    <t>ROA</t>
  </si>
  <si>
    <t>Index finanční páky</t>
  </si>
  <si>
    <t>Provozní páka</t>
  </si>
  <si>
    <t>Provozní výsledek hospdaření</t>
  </si>
  <si>
    <t>Stupeň provozní páky</t>
  </si>
  <si>
    <t>Pyramidový rozklad Du Pont</t>
  </si>
  <si>
    <t>ROE (NI / VK)</t>
  </si>
  <si>
    <t>ROA (NI / aktiva)</t>
  </si>
  <si>
    <t>Zisk</t>
  </si>
  <si>
    <t>Obrat celkových aktiv (tržby / aktiva)</t>
  </si>
  <si>
    <t>Obrat stálých aktiv (tržby / stálá aktiva)</t>
  </si>
  <si>
    <t>Stálá aktiva</t>
  </si>
  <si>
    <t>Obrat oběžných aktiv (tržby / oběžná aktiva)</t>
  </si>
  <si>
    <t>Finanční páka (aktiva / VK)</t>
  </si>
  <si>
    <t>CZ/VK</t>
  </si>
  <si>
    <t>CZ</t>
  </si>
  <si>
    <t>Logaritmická analýza</t>
  </si>
  <si>
    <t>Změna ROE</t>
  </si>
  <si>
    <t>Index ROE</t>
  </si>
  <si>
    <t>Rentabilita tržeb (zisk / tržby)</t>
  </si>
  <si>
    <t>Index Rentability tržeb</t>
  </si>
  <si>
    <t>Index Obratu celkových aktiv</t>
  </si>
  <si>
    <t>Index Finanční páky</t>
  </si>
  <si>
    <t>Vývoj Rentability tržeb</t>
  </si>
  <si>
    <t>Vývoj Obratu celkových aktiv</t>
  </si>
  <si>
    <t>Vývoj Finanční páky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</si>
</sst>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_-* #,##0\ _K_č_-;\-* #,##0\ _K_č_-;_-* &quot;-&quot;??\ _K_č_-;_-@_-"/>
    <numFmt numFmtId="166" formatCode="#,##0_ ;[Red]\-#,##0\ "/>
    <numFmt numFmtId="167" formatCode="_-* #,##0\ &quot;Kč&quot;_-;\-* #,##0\ &quot;Kč&quot;_-;_-* &quot;-&quot;??\ &quot;Kč&quot;_-;_-@_-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0" tint="-0.499984740745262"/>
      <name val="Calibri"/>
      <family val="2"/>
      <charset val="238"/>
      <scheme val="minor"/>
    </font>
    <font>
      <i/>
      <sz val="11"/>
      <color theme="0" tint="-0.49998474074526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9" tint="-0.499984740745262"/>
      <name val="Calibri"/>
      <family val="2"/>
      <charset val="238"/>
      <scheme val="minor"/>
    </font>
    <font>
      <sz val="10"/>
      <color theme="9" tint="-0.499984740745262"/>
      <name val="Calibri"/>
      <family val="2"/>
      <charset val="238"/>
      <scheme val="minor"/>
    </font>
    <font>
      <i/>
      <sz val="11"/>
      <color theme="9" tint="-0.499984740745262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5">
    <xf numFmtId="0" fontId="0" fillId="0" borderId="0" xfId="0"/>
    <xf numFmtId="165" fontId="3" fillId="2" borderId="1" xfId="2" applyNumberFormat="1" applyFont="1" applyFill="1" applyBorder="1" applyProtection="1">
      <protection hidden="1"/>
    </xf>
    <xf numFmtId="165" fontId="3" fillId="2" borderId="3" xfId="2" applyNumberFormat="1" applyFont="1" applyFill="1" applyBorder="1" applyProtection="1">
      <protection hidden="1"/>
    </xf>
    <xf numFmtId="165" fontId="3" fillId="2" borderId="4" xfId="2" applyNumberFormat="1" applyFont="1" applyFill="1" applyBorder="1" applyProtection="1">
      <protection hidden="1"/>
    </xf>
    <xf numFmtId="165" fontId="3" fillId="2" borderId="2" xfId="2" applyNumberFormat="1" applyFont="1" applyFill="1" applyBorder="1" applyProtection="1">
      <protection hidden="1"/>
    </xf>
    <xf numFmtId="165" fontId="3" fillId="2" borderId="4" xfId="2" applyNumberFormat="1" applyFont="1" applyFill="1" applyBorder="1" applyAlignment="1" applyProtection="1">
      <alignment horizontal="left" vertical="center" wrapText="1"/>
      <protection hidden="1"/>
    </xf>
    <xf numFmtId="165" fontId="4" fillId="0" borderId="5" xfId="2" applyNumberFormat="1" applyFont="1" applyFill="1" applyBorder="1" applyProtection="1">
      <protection hidden="1"/>
    </xf>
    <xf numFmtId="165" fontId="4" fillId="0" borderId="6" xfId="2" applyNumberFormat="1" applyFont="1" applyFill="1" applyBorder="1" applyProtection="1">
      <protection hidden="1"/>
    </xf>
    <xf numFmtId="165" fontId="4" fillId="0" borderId="7" xfId="2" applyNumberFormat="1" applyFont="1" applyFill="1" applyBorder="1" applyAlignment="1" applyProtection="1">
      <alignment horizontal="left" vertical="center" wrapText="1"/>
      <protection hidden="1"/>
    </xf>
    <xf numFmtId="165" fontId="4" fillId="0" borderId="8" xfId="2" applyNumberFormat="1" applyFont="1" applyFill="1" applyBorder="1" applyProtection="1">
      <protection hidden="1"/>
    </xf>
    <xf numFmtId="165" fontId="4" fillId="0" borderId="12" xfId="2" applyNumberFormat="1" applyFont="1" applyFill="1" applyBorder="1" applyProtection="1">
      <protection hidden="1"/>
    </xf>
    <xf numFmtId="165" fontId="4" fillId="0" borderId="13" xfId="2" applyNumberFormat="1" applyFont="1" applyFill="1" applyBorder="1" applyProtection="1">
      <protection hidden="1"/>
    </xf>
    <xf numFmtId="165" fontId="4" fillId="0" borderId="14" xfId="2" applyNumberFormat="1" applyFont="1" applyFill="1" applyBorder="1" applyAlignment="1" applyProtection="1">
      <alignment horizontal="left" vertical="center" wrapText="1"/>
      <protection hidden="1"/>
    </xf>
    <xf numFmtId="165" fontId="4" fillId="0" borderId="15" xfId="2" applyNumberFormat="1" applyFont="1" applyFill="1" applyBorder="1" applyProtection="1">
      <protection hidden="1"/>
    </xf>
    <xf numFmtId="0" fontId="9" fillId="0" borderId="0" xfId="0" applyFont="1" applyAlignment="1">
      <alignment wrapText="1"/>
    </xf>
    <xf numFmtId="0" fontId="9" fillId="0" borderId="0" xfId="0" applyFont="1"/>
    <xf numFmtId="2" fontId="9" fillId="0" borderId="0" xfId="0" applyNumberFormat="1" applyFont="1" applyBorder="1" applyAlignment="1">
      <alignment horizontal="center"/>
    </xf>
    <xf numFmtId="2" fontId="9" fillId="0" borderId="10" xfId="0" applyNumberFormat="1" applyFont="1" applyBorder="1" applyAlignment="1">
      <alignment horizontal="center"/>
    </xf>
    <xf numFmtId="2" fontId="9" fillId="0" borderId="19" xfId="0" applyNumberFormat="1" applyFont="1" applyBorder="1" applyAlignment="1">
      <alignment horizontal="center"/>
    </xf>
    <xf numFmtId="2" fontId="9" fillId="0" borderId="17" xfId="0" applyNumberFormat="1" applyFont="1" applyBorder="1" applyAlignment="1">
      <alignment horizontal="center"/>
    </xf>
    <xf numFmtId="10" fontId="9" fillId="0" borderId="0" xfId="0" applyNumberFormat="1" applyFont="1" applyBorder="1" applyAlignment="1">
      <alignment horizontal="center"/>
    </xf>
    <xf numFmtId="10" fontId="9" fillId="0" borderId="10" xfId="0" applyNumberFormat="1" applyFont="1" applyBorder="1" applyAlignment="1">
      <alignment horizontal="center"/>
    </xf>
    <xf numFmtId="2" fontId="9" fillId="0" borderId="0" xfId="0" applyNumberFormat="1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9" xfId="0" applyNumberFormat="1" applyFont="1" applyBorder="1" applyAlignment="1">
      <alignment horizontal="center" vertical="center"/>
    </xf>
    <xf numFmtId="2" fontId="9" fillId="0" borderId="17" xfId="0" applyNumberFormat="1" applyFont="1" applyBorder="1" applyAlignment="1">
      <alignment horizontal="center" vertical="center"/>
    </xf>
    <xf numFmtId="10" fontId="9" fillId="0" borderId="0" xfId="5" applyNumberFormat="1" applyFont="1" applyBorder="1" applyAlignment="1">
      <alignment horizontal="center"/>
    </xf>
    <xf numFmtId="10" fontId="9" fillId="0" borderId="10" xfId="5" applyNumberFormat="1" applyFont="1" applyBorder="1" applyAlignment="1">
      <alignment horizontal="center"/>
    </xf>
    <xf numFmtId="10" fontId="9" fillId="0" borderId="19" xfId="5" applyNumberFormat="1" applyFont="1" applyBorder="1" applyAlignment="1">
      <alignment horizontal="center"/>
    </xf>
    <xf numFmtId="10" fontId="9" fillId="0" borderId="17" xfId="5" applyNumberFormat="1" applyFont="1" applyBorder="1" applyAlignment="1">
      <alignment horizontal="center"/>
    </xf>
    <xf numFmtId="165" fontId="13" fillId="2" borderId="21" xfId="2" applyNumberFormat="1" applyFont="1" applyFill="1" applyBorder="1" applyAlignment="1" applyProtection="1">
      <alignment horizontal="center"/>
      <protection hidden="1"/>
    </xf>
    <xf numFmtId="165" fontId="13" fillId="2" borderId="22" xfId="2" applyNumberFormat="1" applyFont="1" applyFill="1" applyBorder="1" applyAlignment="1" applyProtection="1">
      <alignment horizontal="center"/>
      <protection hidden="1"/>
    </xf>
    <xf numFmtId="0" fontId="14" fillId="0" borderId="0" xfId="0" applyFont="1"/>
    <xf numFmtId="1" fontId="9" fillId="0" borderId="0" xfId="0" applyNumberFormat="1" applyFont="1" applyBorder="1" applyAlignment="1">
      <alignment horizontal="center"/>
    </xf>
    <xf numFmtId="1" fontId="9" fillId="0" borderId="10" xfId="0" applyNumberFormat="1" applyFont="1" applyBorder="1" applyAlignment="1">
      <alignment horizontal="center"/>
    </xf>
    <xf numFmtId="1" fontId="9" fillId="0" borderId="19" xfId="0" applyNumberFormat="1" applyFont="1" applyBorder="1" applyAlignment="1">
      <alignment horizontal="center"/>
    </xf>
    <xf numFmtId="1" fontId="9" fillId="0" borderId="17" xfId="0" applyNumberFormat="1" applyFont="1" applyBorder="1" applyAlignment="1">
      <alignment horizontal="center"/>
    </xf>
    <xf numFmtId="0" fontId="9" fillId="0" borderId="16" xfId="0" applyFont="1" applyBorder="1" applyAlignment="1">
      <alignment horizontal="left"/>
    </xf>
    <xf numFmtId="0" fontId="2" fillId="0" borderId="0" xfId="3" applyProtection="1">
      <protection locked="0"/>
    </xf>
    <xf numFmtId="0" fontId="2" fillId="0" borderId="0" xfId="3" applyAlignment="1" applyProtection="1">
      <alignment horizontal="left" vertical="center"/>
      <protection locked="0"/>
    </xf>
    <xf numFmtId="165" fontId="3" fillId="3" borderId="1" xfId="2" applyNumberFormat="1" applyFont="1" applyFill="1" applyBorder="1" applyProtection="1">
      <protection hidden="1"/>
    </xf>
    <xf numFmtId="165" fontId="3" fillId="3" borderId="3" xfId="2" applyNumberFormat="1" applyFont="1" applyFill="1" applyBorder="1" applyProtection="1">
      <protection hidden="1"/>
    </xf>
    <xf numFmtId="165" fontId="3" fillId="3" borderId="4" xfId="2" applyNumberFormat="1" applyFont="1" applyFill="1" applyBorder="1" applyAlignment="1" applyProtection="1">
      <alignment horizontal="left" vertical="center" wrapText="1"/>
      <protection hidden="1"/>
    </xf>
    <xf numFmtId="165" fontId="3" fillId="3" borderId="2" xfId="2" applyNumberFormat="1" applyFont="1" applyFill="1" applyBorder="1" applyProtection="1">
      <protection hidden="1"/>
    </xf>
    <xf numFmtId="165" fontId="5" fillId="0" borderId="9" xfId="2" applyNumberFormat="1" applyFont="1" applyBorder="1" applyAlignment="1" applyProtection="1">
      <alignment horizontal="left" vertical="center"/>
      <protection hidden="1"/>
    </xf>
    <xf numFmtId="165" fontId="5" fillId="0" borderId="10" xfId="2" applyNumberFormat="1" applyFont="1" applyBorder="1" applyAlignment="1" applyProtection="1">
      <alignment horizontal="left" vertical="center"/>
      <protection hidden="1"/>
    </xf>
    <xf numFmtId="165" fontId="5" fillId="0" borderId="11" xfId="2" applyNumberFormat="1" applyFont="1" applyBorder="1" applyAlignment="1" applyProtection="1">
      <alignment horizontal="left" vertical="center" wrapText="1"/>
      <protection hidden="1"/>
    </xf>
    <xf numFmtId="165" fontId="5" fillId="0" borderId="9" xfId="2" applyNumberFormat="1" applyFont="1" applyBorder="1" applyProtection="1">
      <protection hidden="1"/>
    </xf>
    <xf numFmtId="165" fontId="5" fillId="0" borderId="0" xfId="2" applyNumberFormat="1" applyFont="1" applyBorder="1" applyProtection="1">
      <protection hidden="1"/>
    </xf>
    <xf numFmtId="165" fontId="6" fillId="0" borderId="9" xfId="2" applyNumberFormat="1" applyFont="1" applyBorder="1" applyProtection="1">
      <protection hidden="1"/>
    </xf>
    <xf numFmtId="165" fontId="6" fillId="0" borderId="0" xfId="2" applyNumberFormat="1" applyFont="1" applyBorder="1" applyProtection="1">
      <protection hidden="1"/>
    </xf>
    <xf numFmtId="165" fontId="5" fillId="0" borderId="16" xfId="2" applyNumberFormat="1" applyFont="1" applyBorder="1" applyAlignment="1" applyProtection="1">
      <alignment horizontal="left" vertical="center"/>
      <protection hidden="1"/>
    </xf>
    <xf numFmtId="165" fontId="5" fillId="0" borderId="17" xfId="2" applyNumberFormat="1" applyFont="1" applyBorder="1" applyAlignment="1" applyProtection="1">
      <alignment horizontal="left" vertical="center"/>
      <protection hidden="1"/>
    </xf>
    <xf numFmtId="165" fontId="5" fillId="0" borderId="18" xfId="2" applyNumberFormat="1" applyFont="1" applyBorder="1" applyAlignment="1" applyProtection="1">
      <alignment horizontal="left" vertical="center" wrapText="1"/>
      <protection hidden="1"/>
    </xf>
    <xf numFmtId="0" fontId="5" fillId="0" borderId="0" xfId="3" applyFont="1" applyAlignment="1" applyProtection="1">
      <alignment horizontal="left" vertical="center"/>
      <protection locked="0"/>
    </xf>
    <xf numFmtId="0" fontId="5" fillId="0" borderId="0" xfId="3" applyFont="1" applyAlignment="1" applyProtection="1">
      <alignment horizontal="center" vertical="center"/>
      <protection locked="0"/>
    </xf>
    <xf numFmtId="0" fontId="5" fillId="0" borderId="0" xfId="3" applyFont="1" applyAlignment="1" applyProtection="1">
      <alignment horizontal="left" vertical="center" wrapText="1"/>
      <protection locked="0"/>
    </xf>
    <xf numFmtId="0" fontId="5" fillId="0" borderId="0" xfId="3" applyFont="1" applyProtection="1">
      <protection locked="0"/>
    </xf>
    <xf numFmtId="0" fontId="2" fillId="0" borderId="0" xfId="3" applyProtection="1">
      <protection hidden="1"/>
    </xf>
    <xf numFmtId="0" fontId="2" fillId="0" borderId="0" xfId="3" applyAlignment="1" applyProtection="1">
      <alignment horizontal="left" vertical="center"/>
      <protection hidden="1"/>
    </xf>
    <xf numFmtId="0" fontId="14" fillId="0" borderId="0" xfId="0" applyFont="1" applyProtection="1">
      <protection hidden="1"/>
    </xf>
    <xf numFmtId="0" fontId="5" fillId="0" borderId="9" xfId="3" applyFont="1" applyBorder="1" applyAlignment="1" applyProtection="1">
      <alignment horizontal="left" vertical="center"/>
      <protection hidden="1"/>
    </xf>
    <xf numFmtId="0" fontId="5" fillId="0" borderId="10" xfId="3" applyNumberFormat="1" applyFont="1" applyBorder="1" applyAlignment="1" applyProtection="1">
      <alignment horizontal="center" vertical="center"/>
      <protection hidden="1"/>
    </xf>
    <xf numFmtId="165" fontId="5" fillId="0" borderId="10" xfId="2" applyNumberFormat="1" applyFont="1" applyBorder="1" applyProtection="1">
      <protection hidden="1"/>
    </xf>
    <xf numFmtId="0" fontId="5" fillId="0" borderId="10" xfId="3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2" borderId="20" xfId="0" applyFill="1" applyBorder="1" applyProtection="1">
      <protection hidden="1"/>
    </xf>
    <xf numFmtId="0" fontId="9" fillId="0" borderId="27" xfId="0" applyFont="1" applyBorder="1" applyProtection="1">
      <protection hidden="1"/>
    </xf>
    <xf numFmtId="165" fontId="9" fillId="0" borderId="0" xfId="4" applyNumberFormat="1" applyFont="1" applyBorder="1" applyAlignment="1" applyProtection="1">
      <alignment horizontal="center"/>
      <protection hidden="1"/>
    </xf>
    <xf numFmtId="165" fontId="9" fillId="0" borderId="10" xfId="4" applyNumberFormat="1" applyFont="1" applyBorder="1" applyAlignment="1" applyProtection="1">
      <alignment horizontal="center"/>
      <protection hidden="1"/>
    </xf>
    <xf numFmtId="0" fontId="9" fillId="0" borderId="28" xfId="0" applyFont="1" applyBorder="1" applyProtection="1">
      <protection hidden="1"/>
    </xf>
    <xf numFmtId="0" fontId="9" fillId="0" borderId="29" xfId="0" applyFont="1" applyBorder="1" applyProtection="1">
      <protection hidden="1"/>
    </xf>
    <xf numFmtId="165" fontId="9" fillId="0" borderId="19" xfId="4" applyNumberFormat="1" applyFont="1" applyBorder="1" applyAlignment="1" applyProtection="1">
      <alignment horizontal="center"/>
      <protection hidden="1"/>
    </xf>
    <xf numFmtId="165" fontId="9" fillId="0" borderId="17" xfId="4" applyNumberFormat="1" applyFont="1" applyBorder="1" applyAlignment="1" applyProtection="1">
      <alignment horizontal="center"/>
      <protection hidden="1"/>
    </xf>
    <xf numFmtId="165" fontId="0" fillId="0" borderId="0" xfId="4" applyNumberFormat="1" applyFont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165" fontId="0" fillId="0" borderId="0" xfId="4" applyNumberFormat="1" applyFont="1" applyBorder="1" applyAlignment="1" applyProtection="1">
      <alignment horizontal="center"/>
      <protection hidden="1"/>
    </xf>
    <xf numFmtId="0" fontId="9" fillId="0" borderId="30" xfId="0" applyFont="1" applyBorder="1" applyAlignment="1" applyProtection="1">
      <protection hidden="1"/>
    </xf>
    <xf numFmtId="167" fontId="9" fillId="0" borderId="19" xfId="6" applyNumberFormat="1" applyFont="1" applyBorder="1" applyAlignment="1" applyProtection="1">
      <alignment horizontal="center"/>
      <protection hidden="1"/>
    </xf>
    <xf numFmtId="167" fontId="9" fillId="0" borderId="17" xfId="6" applyNumberFormat="1" applyFont="1" applyBorder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4" fillId="0" borderId="0" xfId="3" applyFont="1" applyProtection="1">
      <protection hidden="1"/>
    </xf>
    <xf numFmtId="0" fontId="14" fillId="0" borderId="0" xfId="3" applyFont="1" applyProtection="1">
      <protection locked="0"/>
    </xf>
    <xf numFmtId="165" fontId="8" fillId="0" borderId="11" xfId="2" applyNumberFormat="1" applyFont="1" applyBorder="1" applyAlignment="1" applyProtection="1">
      <alignment horizontal="left" vertical="center" wrapText="1"/>
      <protection hidden="1"/>
    </xf>
    <xf numFmtId="165" fontId="8" fillId="0" borderId="9" xfId="2" applyNumberFormat="1" applyFont="1" applyBorder="1" applyProtection="1">
      <protection hidden="1"/>
    </xf>
    <xf numFmtId="165" fontId="8" fillId="0" borderId="0" xfId="2" applyNumberFormat="1" applyFont="1" applyBorder="1" applyProtection="1">
      <protection hidden="1"/>
    </xf>
    <xf numFmtId="165" fontId="8" fillId="0" borderId="9" xfId="2" applyNumberFormat="1" applyFont="1" applyBorder="1" applyAlignment="1" applyProtection="1">
      <alignment horizontal="left" vertical="center"/>
      <protection hidden="1"/>
    </xf>
    <xf numFmtId="165" fontId="8" fillId="0" borderId="10" xfId="2" applyNumberFormat="1" applyFont="1" applyBorder="1" applyAlignment="1" applyProtection="1">
      <alignment horizontal="left" vertical="center"/>
      <protection hidden="1"/>
    </xf>
    <xf numFmtId="165" fontId="4" fillId="0" borderId="11" xfId="2" applyNumberFormat="1" applyFont="1" applyFill="1" applyBorder="1" applyAlignment="1" applyProtection="1">
      <alignment horizontal="left" vertical="center" wrapText="1"/>
      <protection hidden="1"/>
    </xf>
    <xf numFmtId="165" fontId="7" fillId="0" borderId="9" xfId="2" applyNumberFormat="1" applyFont="1" applyBorder="1" applyProtection="1">
      <protection hidden="1"/>
    </xf>
    <xf numFmtId="165" fontId="7" fillId="0" borderId="0" xfId="2" applyNumberFormat="1" applyFont="1" applyBorder="1" applyProtection="1">
      <protection hidden="1"/>
    </xf>
    <xf numFmtId="165" fontId="9" fillId="0" borderId="11" xfId="2" applyNumberFormat="1" applyFont="1" applyBorder="1" applyAlignment="1" applyProtection="1">
      <alignment horizontal="left" vertical="center" wrapText="1"/>
      <protection hidden="1"/>
    </xf>
    <xf numFmtId="165" fontId="9" fillId="0" borderId="9" xfId="2" applyNumberFormat="1" applyFont="1" applyBorder="1" applyProtection="1">
      <protection hidden="1"/>
    </xf>
    <xf numFmtId="165" fontId="9" fillId="0" borderId="0" xfId="2" applyNumberFormat="1" applyFont="1" applyBorder="1" applyProtection="1">
      <protection hidden="1"/>
    </xf>
    <xf numFmtId="165" fontId="9" fillId="0" borderId="9" xfId="2" applyNumberFormat="1" applyFont="1" applyBorder="1" applyAlignment="1" applyProtection="1">
      <alignment horizontal="left" vertical="center"/>
      <protection hidden="1"/>
    </xf>
    <xf numFmtId="165" fontId="18" fillId="0" borderId="9" xfId="2" applyNumberFormat="1" applyFont="1" applyFill="1" applyBorder="1" applyProtection="1">
      <protection hidden="1"/>
    </xf>
    <xf numFmtId="165" fontId="18" fillId="0" borderId="10" xfId="2" applyNumberFormat="1" applyFont="1" applyFill="1" applyBorder="1" applyProtection="1">
      <protection hidden="1"/>
    </xf>
    <xf numFmtId="165" fontId="18" fillId="0" borderId="11" xfId="2" applyNumberFormat="1" applyFont="1" applyFill="1" applyBorder="1" applyAlignment="1" applyProtection="1">
      <alignment horizontal="left" vertical="center" wrapText="1"/>
      <protection hidden="1"/>
    </xf>
    <xf numFmtId="165" fontId="9" fillId="0" borderId="10" xfId="2" applyNumberFormat="1" applyFont="1" applyBorder="1" applyAlignment="1" applyProtection="1">
      <alignment horizontal="left" vertical="center"/>
      <protection hidden="1"/>
    </xf>
    <xf numFmtId="165" fontId="7" fillId="0" borderId="11" xfId="2" applyNumberFormat="1" applyFont="1" applyFill="1" applyBorder="1" applyAlignment="1" applyProtection="1">
      <alignment horizontal="left" vertical="center" wrapText="1"/>
      <protection hidden="1"/>
    </xf>
    <xf numFmtId="165" fontId="8" fillId="0" borderId="10" xfId="2" applyNumberFormat="1" applyFont="1" applyBorder="1" applyProtection="1">
      <protection hidden="1"/>
    </xf>
    <xf numFmtId="165" fontId="7" fillId="0" borderId="10" xfId="2" applyNumberFormat="1" applyFont="1" applyBorder="1" applyProtection="1">
      <protection hidden="1"/>
    </xf>
    <xf numFmtId="165" fontId="9" fillId="0" borderId="10" xfId="2" applyNumberFormat="1" applyFont="1" applyBorder="1" applyProtection="1">
      <protection hidden="1"/>
    </xf>
    <xf numFmtId="165" fontId="6" fillId="0" borderId="10" xfId="2" applyNumberFormat="1" applyFont="1" applyBorder="1" applyProtection="1">
      <protection hidden="1"/>
    </xf>
    <xf numFmtId="165" fontId="3" fillId="2" borderId="1" xfId="2" applyNumberFormat="1" applyFont="1" applyFill="1" applyBorder="1" applyAlignment="1" applyProtection="1">
      <alignment horizontal="center"/>
      <protection hidden="1"/>
    </xf>
    <xf numFmtId="165" fontId="3" fillId="2" borderId="2" xfId="2" applyNumberFormat="1" applyFont="1" applyFill="1" applyBorder="1" applyAlignment="1" applyProtection="1">
      <alignment horizontal="center"/>
      <protection hidden="1"/>
    </xf>
    <xf numFmtId="0" fontId="9" fillId="0" borderId="26" xfId="0" applyFont="1" applyBorder="1" applyAlignment="1">
      <alignment horizontal="left" wrapText="1"/>
    </xf>
    <xf numFmtId="0" fontId="8" fillId="0" borderId="9" xfId="3" applyFont="1" applyBorder="1" applyAlignment="1" applyProtection="1">
      <alignment horizontal="left" vertical="center"/>
      <protection hidden="1"/>
    </xf>
    <xf numFmtId="0" fontId="8" fillId="0" borderId="10" xfId="3" applyNumberFormat="1" applyFont="1" applyBorder="1" applyAlignment="1" applyProtection="1">
      <alignment horizontal="center" vertical="center"/>
      <protection hidden="1"/>
    </xf>
    <xf numFmtId="0" fontId="2" fillId="0" borderId="0" xfId="3" applyAlignment="1" applyProtection="1">
      <alignment horizontal="center" vertical="center"/>
      <protection hidden="1"/>
    </xf>
    <xf numFmtId="165" fontId="3" fillId="2" borderId="2" xfId="2" applyNumberFormat="1" applyFont="1" applyFill="1" applyBorder="1" applyAlignment="1" applyProtection="1">
      <alignment horizontal="center" vertical="center"/>
      <protection hidden="1"/>
    </xf>
    <xf numFmtId="166" fontId="8" fillId="4" borderId="13" xfId="3" applyNumberFormat="1" applyFont="1" applyFill="1" applyBorder="1" applyAlignment="1" applyProtection="1">
      <alignment horizontal="center" vertical="center"/>
      <protection hidden="1"/>
    </xf>
    <xf numFmtId="165" fontId="3" fillId="2" borderId="3" xfId="2" applyNumberFormat="1" applyFont="1" applyFill="1" applyBorder="1" applyAlignment="1" applyProtection="1">
      <alignment horizontal="center" vertical="center"/>
      <protection hidden="1"/>
    </xf>
    <xf numFmtId="165" fontId="19" fillId="0" borderId="19" xfId="4" applyNumberFormat="1" applyFont="1" applyBorder="1" applyAlignment="1" applyProtection="1">
      <alignment horizontal="center"/>
      <protection hidden="1"/>
    </xf>
    <xf numFmtId="165" fontId="19" fillId="0" borderId="17" xfId="4" applyNumberFormat="1" applyFont="1" applyBorder="1" applyAlignment="1" applyProtection="1">
      <alignment horizontal="center"/>
      <protection hidden="1"/>
    </xf>
    <xf numFmtId="165" fontId="20" fillId="0" borderId="0" xfId="4" applyNumberFormat="1" applyFont="1" applyBorder="1" applyAlignment="1" applyProtection="1">
      <alignment horizontal="center"/>
      <protection hidden="1"/>
    </xf>
    <xf numFmtId="165" fontId="20" fillId="0" borderId="10" xfId="4" applyNumberFormat="1" applyFont="1" applyBorder="1" applyAlignment="1" applyProtection="1">
      <alignment horizontal="center"/>
      <protection hidden="1"/>
    </xf>
    <xf numFmtId="165" fontId="20" fillId="0" borderId="19" xfId="4" applyNumberFormat="1" applyFont="1" applyBorder="1" applyAlignment="1" applyProtection="1">
      <alignment horizontal="center"/>
      <protection hidden="1"/>
    </xf>
    <xf numFmtId="165" fontId="20" fillId="0" borderId="17" xfId="4" applyNumberFormat="1" applyFont="1" applyBorder="1" applyAlignment="1" applyProtection="1">
      <alignment horizontal="center"/>
      <protection hidden="1"/>
    </xf>
    <xf numFmtId="165" fontId="4" fillId="0" borderId="5" xfId="2" applyNumberFormat="1" applyFont="1" applyFill="1" applyBorder="1" applyAlignment="1" applyProtection="1">
      <alignment vertical="center"/>
      <protection hidden="1"/>
    </xf>
    <xf numFmtId="165" fontId="4" fillId="0" borderId="6" xfId="2" applyNumberFormat="1" applyFont="1" applyFill="1" applyBorder="1" applyAlignment="1" applyProtection="1">
      <alignment vertical="center"/>
      <protection hidden="1"/>
    </xf>
    <xf numFmtId="165" fontId="4" fillId="0" borderId="8" xfId="2" applyNumberFormat="1" applyFont="1" applyFill="1" applyBorder="1" applyAlignment="1" applyProtection="1">
      <alignment vertical="center"/>
      <protection hidden="1"/>
    </xf>
    <xf numFmtId="165" fontId="5" fillId="0" borderId="9" xfId="2" applyNumberFormat="1" applyFont="1" applyBorder="1" applyAlignment="1" applyProtection="1">
      <alignment vertical="center"/>
      <protection hidden="1"/>
    </xf>
    <xf numFmtId="165" fontId="5" fillId="0" borderId="0" xfId="2" applyNumberFormat="1" applyFont="1" applyBorder="1" applyAlignment="1" applyProtection="1">
      <alignment vertical="center"/>
      <protection hidden="1"/>
    </xf>
    <xf numFmtId="165" fontId="5" fillId="0" borderId="10" xfId="2" applyNumberFormat="1" applyFont="1" applyBorder="1" applyAlignment="1" applyProtection="1">
      <alignment vertical="center"/>
      <protection hidden="1"/>
    </xf>
    <xf numFmtId="165" fontId="4" fillId="0" borderId="12" xfId="2" applyNumberFormat="1" applyFont="1" applyFill="1" applyBorder="1" applyAlignment="1" applyProtection="1">
      <alignment vertical="center"/>
      <protection hidden="1"/>
    </xf>
    <xf numFmtId="165" fontId="4" fillId="0" borderId="13" xfId="2" applyNumberFormat="1" applyFont="1" applyFill="1" applyBorder="1" applyAlignment="1" applyProtection="1">
      <alignment vertical="center"/>
      <protection hidden="1"/>
    </xf>
    <xf numFmtId="165" fontId="4" fillId="0" borderId="15" xfId="2" applyNumberFormat="1" applyFont="1" applyFill="1" applyBorder="1" applyAlignment="1" applyProtection="1">
      <alignment vertical="center"/>
      <protection hidden="1"/>
    </xf>
    <xf numFmtId="165" fontId="6" fillId="0" borderId="9" xfId="2" applyNumberFormat="1" applyFont="1" applyBorder="1" applyAlignment="1" applyProtection="1">
      <alignment vertical="center"/>
      <protection hidden="1"/>
    </xf>
    <xf numFmtId="165" fontId="6" fillId="0" borderId="0" xfId="2" applyNumberFormat="1" applyFont="1" applyBorder="1" applyAlignment="1" applyProtection="1">
      <alignment vertical="center"/>
      <protection hidden="1"/>
    </xf>
    <xf numFmtId="165" fontId="6" fillId="0" borderId="10" xfId="2" applyNumberFormat="1" applyFont="1" applyBorder="1" applyAlignment="1" applyProtection="1">
      <alignment vertical="center"/>
      <protection hidden="1"/>
    </xf>
    <xf numFmtId="165" fontId="7" fillId="0" borderId="9" xfId="2" applyNumberFormat="1" applyFont="1" applyBorder="1" applyAlignment="1" applyProtection="1">
      <alignment vertical="center"/>
      <protection hidden="1"/>
    </xf>
    <xf numFmtId="165" fontId="7" fillId="0" borderId="0" xfId="2" applyNumberFormat="1" applyFont="1" applyBorder="1" applyAlignment="1" applyProtection="1">
      <alignment vertical="center"/>
      <protection hidden="1"/>
    </xf>
    <xf numFmtId="165" fontId="7" fillId="0" borderId="10" xfId="2" applyNumberFormat="1" applyFont="1" applyBorder="1" applyAlignment="1" applyProtection="1">
      <alignment vertical="center"/>
      <protection hidden="1"/>
    </xf>
    <xf numFmtId="165" fontId="8" fillId="0" borderId="9" xfId="2" applyNumberFormat="1" applyFont="1" applyBorder="1" applyAlignment="1" applyProtection="1">
      <alignment vertical="center"/>
      <protection hidden="1"/>
    </xf>
    <xf numFmtId="165" fontId="8" fillId="0" borderId="0" xfId="2" applyNumberFormat="1" applyFont="1" applyBorder="1" applyAlignment="1" applyProtection="1">
      <alignment vertical="center"/>
      <protection hidden="1"/>
    </xf>
    <xf numFmtId="165" fontId="8" fillId="0" borderId="10" xfId="2" applyNumberFormat="1" applyFont="1" applyBorder="1" applyAlignment="1" applyProtection="1">
      <alignment vertical="center"/>
      <protection hidden="1"/>
    </xf>
    <xf numFmtId="165" fontId="4" fillId="0" borderId="9" xfId="2" applyNumberFormat="1" applyFont="1" applyFill="1" applyBorder="1" applyAlignment="1" applyProtection="1">
      <alignment vertical="center"/>
      <protection hidden="1"/>
    </xf>
    <xf numFmtId="165" fontId="4" fillId="0" borderId="10" xfId="2" applyNumberFormat="1" applyFont="1" applyFill="1" applyBorder="1" applyAlignment="1" applyProtection="1">
      <alignment vertical="center"/>
      <protection hidden="1"/>
    </xf>
    <xf numFmtId="165" fontId="3" fillId="3" borderId="1" xfId="2" applyNumberFormat="1" applyFont="1" applyFill="1" applyBorder="1" applyAlignment="1" applyProtection="1">
      <alignment vertical="center"/>
      <protection hidden="1"/>
    </xf>
    <xf numFmtId="165" fontId="3" fillId="3" borderId="3" xfId="2" applyNumberFormat="1" applyFont="1" applyFill="1" applyBorder="1" applyAlignment="1" applyProtection="1">
      <alignment vertical="center"/>
      <protection hidden="1"/>
    </xf>
    <xf numFmtId="165" fontId="3" fillId="3" borderId="2" xfId="2" applyNumberFormat="1" applyFont="1" applyFill="1" applyBorder="1" applyAlignment="1" applyProtection="1">
      <alignment vertical="center"/>
      <protection hidden="1"/>
    </xf>
    <xf numFmtId="165" fontId="18" fillId="0" borderId="9" xfId="2" applyNumberFormat="1" applyFont="1" applyFill="1" applyBorder="1" applyAlignment="1" applyProtection="1">
      <alignment vertical="center"/>
      <protection hidden="1"/>
    </xf>
    <xf numFmtId="165" fontId="18" fillId="0" borderId="10" xfId="2" applyNumberFormat="1" applyFont="1" applyFill="1" applyBorder="1" applyAlignment="1" applyProtection="1">
      <alignment vertical="center"/>
      <protection hidden="1"/>
    </xf>
    <xf numFmtId="165" fontId="18" fillId="0" borderId="0" xfId="2" applyNumberFormat="1" applyFont="1" applyFill="1" applyBorder="1" applyAlignment="1" applyProtection="1">
      <alignment vertical="center"/>
      <protection hidden="1"/>
    </xf>
    <xf numFmtId="165" fontId="7" fillId="0" borderId="9" xfId="2" applyNumberFormat="1" applyFont="1" applyFill="1" applyBorder="1" applyAlignment="1" applyProtection="1">
      <alignment vertical="center"/>
      <protection hidden="1"/>
    </xf>
    <xf numFmtId="165" fontId="7" fillId="0" borderId="10" xfId="2" applyNumberFormat="1" applyFont="1" applyFill="1" applyBorder="1" applyAlignment="1" applyProtection="1">
      <alignment vertical="center"/>
      <protection hidden="1"/>
    </xf>
    <xf numFmtId="165" fontId="5" fillId="0" borderId="16" xfId="2" applyNumberFormat="1" applyFont="1" applyBorder="1" applyAlignment="1" applyProtection="1">
      <alignment vertical="center"/>
      <protection hidden="1"/>
    </xf>
    <xf numFmtId="165" fontId="5" fillId="0" borderId="19" xfId="2" applyNumberFormat="1" applyFont="1" applyBorder="1" applyAlignment="1" applyProtection="1">
      <alignment vertical="center"/>
      <protection hidden="1"/>
    </xf>
    <xf numFmtId="165" fontId="5" fillId="0" borderId="17" xfId="2" applyNumberFormat="1" applyFont="1" applyBorder="1" applyAlignment="1" applyProtection="1">
      <alignment vertical="center"/>
      <protection hidden="1"/>
    </xf>
    <xf numFmtId="166" fontId="8" fillId="4" borderId="12" xfId="3" applyNumberFormat="1" applyFont="1" applyFill="1" applyBorder="1" applyAlignment="1" applyProtection="1">
      <alignment vertical="center"/>
      <protection hidden="1"/>
    </xf>
    <xf numFmtId="166" fontId="8" fillId="4" borderId="14" xfId="3" applyNumberFormat="1" applyFont="1" applyFill="1" applyBorder="1" applyAlignment="1" applyProtection="1">
      <alignment vertical="center"/>
      <protection hidden="1"/>
    </xf>
    <xf numFmtId="165" fontId="7" fillId="4" borderId="12" xfId="4" applyNumberFormat="1" applyFont="1" applyFill="1" applyBorder="1" applyAlignment="1" applyProtection="1">
      <alignment horizontal="center" vertical="center"/>
      <protection hidden="1"/>
    </xf>
    <xf numFmtId="165" fontId="7" fillId="4" borderId="15" xfId="4" applyNumberFormat="1" applyFont="1" applyFill="1" applyBorder="1" applyAlignment="1" applyProtection="1">
      <alignment horizontal="center" vertical="center"/>
      <protection hidden="1"/>
    </xf>
    <xf numFmtId="165" fontId="7" fillId="4" borderId="13" xfId="4" applyNumberFormat="1" applyFont="1" applyFill="1" applyBorder="1" applyAlignment="1" applyProtection="1">
      <alignment horizontal="center" vertical="center"/>
      <protection hidden="1"/>
    </xf>
    <xf numFmtId="165" fontId="18" fillId="0" borderId="9" xfId="4" applyNumberFormat="1" applyFont="1" applyBorder="1" applyAlignment="1" applyProtection="1">
      <alignment horizontal="center" vertical="center"/>
      <protection hidden="1"/>
    </xf>
    <xf numFmtId="165" fontId="18" fillId="0" borderId="0" xfId="4" applyNumberFormat="1" applyFont="1" applyBorder="1" applyAlignment="1" applyProtection="1">
      <alignment horizontal="center" vertical="center"/>
      <protection hidden="1"/>
    </xf>
    <xf numFmtId="165" fontId="18" fillId="0" borderId="10" xfId="4" applyNumberFormat="1" applyFont="1" applyBorder="1" applyAlignment="1" applyProtection="1">
      <alignment horizontal="center" vertical="center"/>
      <protection hidden="1"/>
    </xf>
    <xf numFmtId="165" fontId="5" fillId="0" borderId="9" xfId="4" applyNumberFormat="1" applyFont="1" applyBorder="1" applyAlignment="1" applyProtection="1">
      <alignment horizontal="center" vertical="center"/>
      <protection hidden="1"/>
    </xf>
    <xf numFmtId="165" fontId="5" fillId="0" borderId="0" xfId="4" applyNumberFormat="1" applyFont="1" applyBorder="1" applyAlignment="1" applyProtection="1">
      <alignment horizontal="center" vertical="center"/>
      <protection hidden="1"/>
    </xf>
    <xf numFmtId="165" fontId="5" fillId="0" borderId="10" xfId="4" applyNumberFormat="1" applyFont="1" applyBorder="1" applyAlignment="1" applyProtection="1">
      <alignment horizontal="center" vertical="center"/>
      <protection hidden="1"/>
    </xf>
    <xf numFmtId="165" fontId="8" fillId="0" borderId="9" xfId="4" applyNumberFormat="1" applyFont="1" applyBorder="1" applyAlignment="1" applyProtection="1">
      <alignment horizontal="center" vertical="center"/>
      <protection hidden="1"/>
    </xf>
    <xf numFmtId="165" fontId="8" fillId="0" borderId="0" xfId="4" applyNumberFormat="1" applyFont="1" applyBorder="1" applyAlignment="1" applyProtection="1">
      <alignment horizontal="center" vertical="center"/>
      <protection hidden="1"/>
    </xf>
    <xf numFmtId="165" fontId="8" fillId="0" borderId="10" xfId="4" applyNumberFormat="1" applyFont="1" applyBorder="1" applyAlignment="1" applyProtection="1">
      <alignment horizontal="center" vertical="center"/>
      <protection hidden="1"/>
    </xf>
    <xf numFmtId="165" fontId="8" fillId="4" borderId="12" xfId="4" applyNumberFormat="1" applyFont="1" applyFill="1" applyBorder="1" applyAlignment="1" applyProtection="1">
      <alignment horizontal="center" vertical="center"/>
      <protection hidden="1"/>
    </xf>
    <xf numFmtId="165" fontId="8" fillId="4" borderId="15" xfId="4" applyNumberFormat="1" applyFont="1" applyFill="1" applyBorder="1" applyAlignment="1" applyProtection="1">
      <alignment horizontal="center" vertical="center"/>
      <protection hidden="1"/>
    </xf>
    <xf numFmtId="165" fontId="8" fillId="4" borderId="13" xfId="4" applyNumberFormat="1" applyFont="1" applyFill="1" applyBorder="1" applyAlignment="1" applyProtection="1">
      <alignment horizontal="center" vertical="center"/>
      <protection hidden="1"/>
    </xf>
    <xf numFmtId="165" fontId="3" fillId="2" borderId="1" xfId="2" applyNumberFormat="1" applyFont="1" applyFill="1" applyBorder="1" applyAlignment="1" applyProtection="1">
      <alignment vertical="center"/>
      <protection hidden="1"/>
    </xf>
    <xf numFmtId="165" fontId="3" fillId="2" borderId="4" xfId="2" applyNumberFormat="1" applyFont="1" applyFill="1" applyBorder="1" applyAlignment="1" applyProtection="1">
      <alignment vertical="center"/>
      <protection hidden="1"/>
    </xf>
    <xf numFmtId="165" fontId="3" fillId="2" borderId="1" xfId="4" applyNumberFormat="1" applyFont="1" applyFill="1" applyBorder="1" applyAlignment="1" applyProtection="1">
      <alignment horizontal="center" vertical="center"/>
      <protection hidden="1"/>
    </xf>
    <xf numFmtId="165" fontId="3" fillId="2" borderId="2" xfId="4" applyNumberFormat="1" applyFont="1" applyFill="1" applyBorder="1" applyAlignment="1" applyProtection="1">
      <alignment horizontal="center" vertical="center"/>
      <protection hidden="1"/>
    </xf>
    <xf numFmtId="165" fontId="3" fillId="2" borderId="3" xfId="4" applyNumberFormat="1" applyFont="1" applyFill="1" applyBorder="1" applyAlignment="1" applyProtection="1">
      <alignment horizontal="center" vertical="center"/>
      <protection hidden="1"/>
    </xf>
    <xf numFmtId="166" fontId="8" fillId="4" borderId="14" xfId="3" applyNumberFormat="1" applyFont="1" applyFill="1" applyBorder="1" applyAlignment="1" applyProtection="1">
      <alignment vertical="center" wrapText="1"/>
      <protection hidden="1"/>
    </xf>
    <xf numFmtId="9" fontId="2" fillId="0" borderId="31" xfId="5" applyFont="1" applyBorder="1" applyAlignment="1" applyProtection="1">
      <alignment horizontal="center" vertical="center"/>
      <protection locked="0"/>
    </xf>
    <xf numFmtId="9" fontId="2" fillId="0" borderId="32" xfId="5" applyFont="1" applyBorder="1" applyAlignment="1" applyProtection="1">
      <alignment horizontal="center" vertical="center"/>
      <protection locked="0"/>
    </xf>
    <xf numFmtId="9" fontId="2" fillId="0" borderId="33" xfId="5" applyFont="1" applyBorder="1" applyAlignment="1" applyProtection="1">
      <alignment horizontal="center" vertical="center"/>
      <protection locked="0"/>
    </xf>
    <xf numFmtId="9" fontId="2" fillId="0" borderId="9" xfId="5" applyFont="1" applyBorder="1" applyAlignment="1" applyProtection="1">
      <alignment horizontal="center" vertical="center"/>
      <protection locked="0"/>
    </xf>
    <xf numFmtId="9" fontId="2" fillId="0" borderId="0" xfId="5" applyFont="1" applyBorder="1" applyAlignment="1" applyProtection="1">
      <alignment horizontal="center" vertical="center"/>
      <protection locked="0"/>
    </xf>
    <xf numFmtId="9" fontId="2" fillId="0" borderId="10" xfId="5" applyFont="1" applyBorder="1" applyAlignment="1" applyProtection="1">
      <alignment horizontal="center" vertical="center"/>
      <protection locked="0"/>
    </xf>
    <xf numFmtId="9" fontId="2" fillId="0" borderId="16" xfId="5" applyFont="1" applyBorder="1" applyAlignment="1" applyProtection="1">
      <alignment horizontal="center" vertical="center"/>
      <protection locked="0"/>
    </xf>
    <xf numFmtId="9" fontId="2" fillId="0" borderId="19" xfId="5" applyFont="1" applyBorder="1" applyAlignment="1" applyProtection="1">
      <alignment horizontal="center" vertical="center"/>
      <protection locked="0"/>
    </xf>
    <xf numFmtId="9" fontId="2" fillId="0" borderId="17" xfId="5" applyFont="1" applyBorder="1" applyAlignment="1" applyProtection="1">
      <alignment horizontal="center" vertical="center"/>
      <protection locked="0"/>
    </xf>
    <xf numFmtId="9" fontId="3" fillId="3" borderId="4" xfId="5" applyFont="1" applyFill="1" applyBorder="1" applyAlignment="1" applyProtection="1">
      <alignment horizontal="center" vertical="center" wrapText="1"/>
      <protection hidden="1"/>
    </xf>
    <xf numFmtId="9" fontId="4" fillId="0" borderId="7" xfId="5" applyFont="1" applyFill="1" applyBorder="1" applyAlignment="1" applyProtection="1">
      <alignment horizontal="center" vertical="center" wrapText="1"/>
      <protection hidden="1"/>
    </xf>
    <xf numFmtId="9" fontId="5" fillId="0" borderId="11" xfId="5" applyFont="1" applyBorder="1" applyAlignment="1" applyProtection="1">
      <alignment horizontal="center" vertical="center" wrapText="1"/>
      <protection hidden="1"/>
    </xf>
    <xf numFmtId="9" fontId="8" fillId="0" borderId="11" xfId="5" applyFont="1" applyBorder="1" applyAlignment="1" applyProtection="1">
      <alignment horizontal="center" vertical="center" wrapText="1"/>
      <protection hidden="1"/>
    </xf>
    <xf numFmtId="9" fontId="4" fillId="0" borderId="14" xfId="5" applyFont="1" applyFill="1" applyBorder="1" applyAlignment="1" applyProtection="1">
      <alignment horizontal="center" vertical="center" wrapText="1"/>
      <protection hidden="1"/>
    </xf>
    <xf numFmtId="9" fontId="9" fillId="0" borderId="11" xfId="5" applyFont="1" applyBorder="1" applyAlignment="1" applyProtection="1">
      <alignment horizontal="center" vertical="center" wrapText="1"/>
      <protection hidden="1"/>
    </xf>
    <xf numFmtId="9" fontId="18" fillId="0" borderId="11" xfId="5" applyFont="1" applyFill="1" applyBorder="1" applyAlignment="1" applyProtection="1">
      <alignment horizontal="center" vertical="center" wrapText="1"/>
      <protection hidden="1"/>
    </xf>
    <xf numFmtId="9" fontId="3" fillId="2" borderId="4" xfId="5" applyFont="1" applyFill="1" applyBorder="1" applyAlignment="1" applyProtection="1">
      <alignment horizontal="center" vertical="center" wrapText="1"/>
      <protection hidden="1"/>
    </xf>
    <xf numFmtId="9" fontId="4" fillId="0" borderId="11" xfId="5" applyFont="1" applyFill="1" applyBorder="1" applyAlignment="1" applyProtection="1">
      <alignment horizontal="center" vertical="center" wrapText="1"/>
      <protection hidden="1"/>
    </xf>
    <xf numFmtId="9" fontId="7" fillId="0" borderId="11" xfId="5" applyFont="1" applyFill="1" applyBorder="1" applyAlignment="1" applyProtection="1">
      <alignment horizontal="center" vertical="center" wrapText="1"/>
      <protection hidden="1"/>
    </xf>
    <xf numFmtId="9" fontId="5" fillId="0" borderId="18" xfId="5" applyFont="1" applyBorder="1" applyAlignment="1" applyProtection="1">
      <alignment horizontal="center" vertical="center" wrapText="1"/>
      <protection hidden="1"/>
    </xf>
    <xf numFmtId="165" fontId="3" fillId="2" borderId="3" xfId="2" applyNumberFormat="1" applyFont="1" applyFill="1" applyBorder="1" applyAlignment="1" applyProtection="1">
      <alignment horizontal="center"/>
      <protection hidden="1"/>
    </xf>
    <xf numFmtId="165" fontId="3" fillId="2" borderId="2" xfId="2" applyNumberFormat="1" applyFont="1" applyFill="1" applyBorder="1" applyAlignment="1" applyProtection="1">
      <protection hidden="1"/>
    </xf>
    <xf numFmtId="165" fontId="3" fillId="2" borderId="3" xfId="2" applyNumberFormat="1" applyFont="1" applyFill="1" applyBorder="1" applyAlignment="1" applyProtection="1">
      <protection hidden="1"/>
    </xf>
    <xf numFmtId="165" fontId="3" fillId="2" borderId="0" xfId="2" applyNumberFormat="1" applyFont="1" applyFill="1" applyBorder="1" applyAlignment="1" applyProtection="1">
      <alignment vertical="center"/>
      <protection hidden="1"/>
    </xf>
    <xf numFmtId="165" fontId="3" fillId="2" borderId="0" xfId="2" applyNumberFormat="1" applyFont="1" applyFill="1" applyBorder="1" applyAlignment="1" applyProtection="1">
      <alignment horizontal="center" vertical="center"/>
      <protection hidden="1"/>
    </xf>
    <xf numFmtId="166" fontId="8" fillId="4" borderId="0" xfId="3" applyNumberFormat="1" applyFont="1" applyFill="1" applyBorder="1" applyAlignment="1" applyProtection="1">
      <alignment vertical="center"/>
      <protection hidden="1"/>
    </xf>
    <xf numFmtId="166" fontId="8" fillId="4" borderId="0" xfId="3" applyNumberFormat="1" applyFont="1" applyFill="1" applyBorder="1" applyAlignment="1" applyProtection="1">
      <alignment horizontal="center" vertical="center"/>
      <protection hidden="1"/>
    </xf>
    <xf numFmtId="165" fontId="7" fillId="5" borderId="12" xfId="4" applyNumberFormat="1" applyFont="1" applyFill="1" applyBorder="1" applyAlignment="1" applyProtection="1">
      <alignment horizontal="center" vertical="center"/>
      <protection hidden="1"/>
    </xf>
    <xf numFmtId="165" fontId="7" fillId="5" borderId="15" xfId="4" applyNumberFormat="1" applyFont="1" applyFill="1" applyBorder="1" applyAlignment="1" applyProtection="1">
      <alignment horizontal="center" vertical="center"/>
      <protection hidden="1"/>
    </xf>
    <xf numFmtId="165" fontId="7" fillId="5" borderId="13" xfId="4" applyNumberFormat="1" applyFont="1" applyFill="1" applyBorder="1" applyAlignment="1" applyProtection="1">
      <alignment horizontal="center" vertical="center"/>
      <protection hidden="1"/>
    </xf>
    <xf numFmtId="166" fontId="8" fillId="5" borderId="14" xfId="3" applyNumberFormat="1" applyFont="1" applyFill="1" applyBorder="1" applyAlignment="1" applyProtection="1">
      <alignment vertical="center"/>
      <protection hidden="1"/>
    </xf>
    <xf numFmtId="165" fontId="5" fillId="0" borderId="16" xfId="4" applyNumberFormat="1" applyFont="1" applyBorder="1" applyAlignment="1" applyProtection="1">
      <alignment horizontal="center" vertical="center"/>
      <protection hidden="1"/>
    </xf>
    <xf numFmtId="165" fontId="5" fillId="0" borderId="19" xfId="4" applyNumberFormat="1" applyFont="1" applyBorder="1" applyAlignment="1" applyProtection="1">
      <alignment horizontal="center" vertical="center"/>
      <protection hidden="1"/>
    </xf>
    <xf numFmtId="165" fontId="5" fillId="0" borderId="17" xfId="4" applyNumberFormat="1" applyFont="1" applyBorder="1" applyAlignment="1" applyProtection="1">
      <alignment horizontal="center" vertical="center"/>
      <protection hidden="1"/>
    </xf>
    <xf numFmtId="165" fontId="7" fillId="0" borderId="12" xfId="4" applyNumberFormat="1" applyFont="1" applyFill="1" applyBorder="1" applyAlignment="1" applyProtection="1">
      <alignment horizontal="center" vertical="center"/>
      <protection hidden="1"/>
    </xf>
    <xf numFmtId="165" fontId="7" fillId="0" borderId="15" xfId="4" applyNumberFormat="1" applyFont="1" applyFill="1" applyBorder="1" applyAlignment="1" applyProtection="1">
      <alignment horizontal="center" vertical="center"/>
      <protection hidden="1"/>
    </xf>
    <xf numFmtId="165" fontId="7" fillId="0" borderId="13" xfId="4" applyNumberFormat="1" applyFont="1" applyFill="1" applyBorder="1" applyAlignment="1" applyProtection="1">
      <alignment horizontal="center" vertical="center"/>
      <protection hidden="1"/>
    </xf>
    <xf numFmtId="9" fontId="7" fillId="4" borderId="12" xfId="5" applyFont="1" applyFill="1" applyBorder="1" applyAlignment="1" applyProtection="1">
      <alignment horizontal="center" vertical="center"/>
      <protection hidden="1"/>
    </xf>
    <xf numFmtId="9" fontId="7" fillId="4" borderId="15" xfId="5" applyFont="1" applyFill="1" applyBorder="1" applyAlignment="1" applyProtection="1">
      <alignment horizontal="center" vertical="center"/>
      <protection hidden="1"/>
    </xf>
    <xf numFmtId="9" fontId="7" fillId="4" borderId="13" xfId="5" applyFont="1" applyFill="1" applyBorder="1" applyAlignment="1" applyProtection="1">
      <alignment horizontal="center" vertical="center"/>
      <protection hidden="1"/>
    </xf>
    <xf numFmtId="9" fontId="8" fillId="4" borderId="12" xfId="5" applyFont="1" applyFill="1" applyBorder="1" applyAlignment="1" applyProtection="1">
      <alignment horizontal="center" vertical="center"/>
      <protection hidden="1"/>
    </xf>
    <xf numFmtId="9" fontId="8" fillId="4" borderId="15" xfId="5" applyFont="1" applyFill="1" applyBorder="1" applyAlignment="1" applyProtection="1">
      <alignment horizontal="center" vertical="center"/>
      <protection hidden="1"/>
    </xf>
    <xf numFmtId="9" fontId="8" fillId="4" borderId="13" xfId="5" applyFont="1" applyFill="1" applyBorder="1" applyAlignment="1" applyProtection="1">
      <alignment horizontal="center" vertical="center"/>
      <protection hidden="1"/>
    </xf>
    <xf numFmtId="9" fontId="5" fillId="0" borderId="9" xfId="5" applyFont="1" applyBorder="1" applyAlignment="1" applyProtection="1">
      <alignment horizontal="center" vertical="center"/>
      <protection hidden="1"/>
    </xf>
    <xf numFmtId="9" fontId="5" fillId="0" borderId="0" xfId="5" applyFont="1" applyBorder="1" applyAlignment="1" applyProtection="1">
      <alignment horizontal="center" vertical="center"/>
      <protection hidden="1"/>
    </xf>
    <xf numFmtId="9" fontId="5" fillId="0" borderId="10" xfId="5" applyFont="1" applyBorder="1" applyAlignment="1" applyProtection="1">
      <alignment horizontal="center" vertical="center"/>
      <protection hidden="1"/>
    </xf>
    <xf numFmtId="9" fontId="7" fillId="5" borderId="12" xfId="5" applyFont="1" applyFill="1" applyBorder="1" applyAlignment="1" applyProtection="1">
      <alignment horizontal="center" vertical="center"/>
      <protection hidden="1"/>
    </xf>
    <xf numFmtId="9" fontId="7" fillId="5" borderId="15" xfId="5" applyFont="1" applyFill="1" applyBorder="1" applyAlignment="1" applyProtection="1">
      <alignment horizontal="center" vertical="center"/>
      <protection hidden="1"/>
    </xf>
    <xf numFmtId="9" fontId="7" fillId="5" borderId="13" xfId="5" applyFont="1" applyFill="1" applyBorder="1" applyAlignment="1" applyProtection="1">
      <alignment horizontal="center" vertical="center"/>
      <protection hidden="1"/>
    </xf>
    <xf numFmtId="9" fontId="7" fillId="4" borderId="34" xfId="5" applyFont="1" applyFill="1" applyBorder="1" applyAlignment="1" applyProtection="1">
      <alignment horizontal="center" vertical="center"/>
      <protection hidden="1"/>
    </xf>
    <xf numFmtId="9" fontId="7" fillId="4" borderId="35" xfId="5" applyFont="1" applyFill="1" applyBorder="1" applyAlignment="1" applyProtection="1">
      <alignment horizontal="center" vertical="center"/>
      <protection hidden="1"/>
    </xf>
    <xf numFmtId="9" fontId="7" fillId="4" borderId="36" xfId="5" applyFont="1" applyFill="1" applyBorder="1" applyAlignment="1" applyProtection="1">
      <alignment horizontal="center" vertical="center"/>
      <protection hidden="1"/>
    </xf>
    <xf numFmtId="9" fontId="7" fillId="5" borderId="37" xfId="5" applyFont="1" applyFill="1" applyBorder="1" applyAlignment="1" applyProtection="1">
      <alignment horizontal="center" vertical="center"/>
      <protection hidden="1"/>
    </xf>
    <xf numFmtId="9" fontId="7" fillId="5" borderId="38" xfId="5" applyFont="1" applyFill="1" applyBorder="1" applyAlignment="1" applyProtection="1">
      <alignment horizontal="center" vertical="center"/>
      <protection hidden="1"/>
    </xf>
    <xf numFmtId="9" fontId="7" fillId="5" borderId="39" xfId="5" applyFont="1" applyFill="1" applyBorder="1" applyAlignment="1" applyProtection="1">
      <alignment horizontal="center" vertical="center"/>
      <protection hidden="1"/>
    </xf>
    <xf numFmtId="9" fontId="18" fillId="0" borderId="9" xfId="5" applyFont="1" applyBorder="1" applyAlignment="1" applyProtection="1">
      <alignment horizontal="center" vertical="center"/>
      <protection hidden="1"/>
    </xf>
    <xf numFmtId="9" fontId="18" fillId="0" borderId="0" xfId="5" applyFont="1" applyBorder="1" applyAlignment="1" applyProtection="1">
      <alignment horizontal="center" vertical="center"/>
      <protection hidden="1"/>
    </xf>
    <xf numFmtId="9" fontId="18" fillId="0" borderId="10" xfId="5" applyFont="1" applyBorder="1" applyAlignment="1" applyProtection="1">
      <alignment horizontal="center" vertical="center"/>
      <protection hidden="1"/>
    </xf>
    <xf numFmtId="9" fontId="7" fillId="0" borderId="12" xfId="5" applyFont="1" applyFill="1" applyBorder="1" applyAlignment="1" applyProtection="1">
      <alignment horizontal="center" vertical="center"/>
      <protection hidden="1"/>
    </xf>
    <xf numFmtId="9" fontId="7" fillId="0" borderId="15" xfId="5" applyFont="1" applyFill="1" applyBorder="1" applyAlignment="1" applyProtection="1">
      <alignment horizontal="center" vertical="center"/>
      <protection hidden="1"/>
    </xf>
    <xf numFmtId="9" fontId="7" fillId="0" borderId="13" xfId="5" applyFont="1" applyFill="1" applyBorder="1" applyAlignment="1" applyProtection="1">
      <alignment horizontal="center" vertical="center"/>
      <protection hidden="1"/>
    </xf>
    <xf numFmtId="9" fontId="8" fillId="0" borderId="9" xfId="5" applyFont="1" applyBorder="1" applyAlignment="1" applyProtection="1">
      <alignment horizontal="center" vertical="center"/>
      <protection hidden="1"/>
    </xf>
    <xf numFmtId="9" fontId="8" fillId="0" borderId="0" xfId="5" applyFont="1" applyBorder="1" applyAlignment="1" applyProtection="1">
      <alignment horizontal="center" vertical="center"/>
      <protection hidden="1"/>
    </xf>
    <xf numFmtId="9" fontId="8" fillId="0" borderId="10" xfId="5" applyFont="1" applyBorder="1" applyAlignment="1" applyProtection="1">
      <alignment horizontal="center" vertical="center"/>
      <protection hidden="1"/>
    </xf>
    <xf numFmtId="9" fontId="5" fillId="0" borderId="16" xfId="5" applyFont="1" applyBorder="1" applyAlignment="1" applyProtection="1">
      <alignment horizontal="center" vertical="center"/>
      <protection hidden="1"/>
    </xf>
    <xf numFmtId="9" fontId="5" fillId="0" borderId="19" xfId="5" applyFont="1" applyBorder="1" applyAlignment="1" applyProtection="1">
      <alignment horizontal="center" vertical="center"/>
      <protection hidden="1"/>
    </xf>
    <xf numFmtId="9" fontId="5" fillId="0" borderId="17" xfId="5" applyFont="1" applyBorder="1" applyAlignment="1" applyProtection="1">
      <alignment horizontal="center" vertical="center"/>
      <protection hidden="1"/>
    </xf>
    <xf numFmtId="10" fontId="9" fillId="0" borderId="0" xfId="0" applyNumberFormat="1" applyFont="1" applyBorder="1" applyAlignment="1">
      <alignment horizontal="center" vertical="center"/>
    </xf>
    <xf numFmtId="10" fontId="9" fillId="0" borderId="10" xfId="0" applyNumberFormat="1" applyFont="1" applyBorder="1" applyAlignment="1">
      <alignment horizontal="center" vertical="center"/>
    </xf>
    <xf numFmtId="165" fontId="2" fillId="0" borderId="0" xfId="3" applyNumberFormat="1" applyProtection="1">
      <protection locked="0"/>
    </xf>
    <xf numFmtId="165" fontId="13" fillId="2" borderId="20" xfId="2" applyNumberFormat="1" applyFont="1" applyFill="1" applyBorder="1" applyProtection="1">
      <protection hidden="1"/>
    </xf>
    <xf numFmtId="0" fontId="9" fillId="0" borderId="27" xfId="0" applyFont="1" applyBorder="1"/>
    <xf numFmtId="165" fontId="9" fillId="0" borderId="0" xfId="4" applyNumberFormat="1" applyFont="1" applyBorder="1" applyAlignment="1">
      <alignment horizontal="center"/>
    </xf>
    <xf numFmtId="165" fontId="9" fillId="0" borderId="10" xfId="4" applyNumberFormat="1" applyFont="1" applyBorder="1" applyAlignment="1">
      <alignment horizontal="center"/>
    </xf>
    <xf numFmtId="0" fontId="9" fillId="0" borderId="28" xfId="0" applyFont="1" applyBorder="1"/>
    <xf numFmtId="0" fontId="9" fillId="0" borderId="40" xfId="0" applyFont="1" applyBorder="1"/>
    <xf numFmtId="165" fontId="9" fillId="0" borderId="41" xfId="4" applyNumberFormat="1" applyFont="1" applyBorder="1" applyAlignment="1">
      <alignment horizontal="center"/>
    </xf>
    <xf numFmtId="165" fontId="9" fillId="0" borderId="42" xfId="4" applyNumberFormat="1" applyFont="1" applyBorder="1" applyAlignment="1">
      <alignment horizontal="center"/>
    </xf>
    <xf numFmtId="10" fontId="9" fillId="0" borderId="41" xfId="0" applyNumberFormat="1" applyFont="1" applyBorder="1" applyAlignment="1">
      <alignment horizontal="center"/>
    </xf>
    <xf numFmtId="10" fontId="9" fillId="0" borderId="42" xfId="0" applyNumberFormat="1" applyFont="1" applyBorder="1" applyAlignment="1">
      <alignment horizontal="center"/>
    </xf>
    <xf numFmtId="0" fontId="9" fillId="0" borderId="29" xfId="0" applyFont="1" applyBorder="1"/>
    <xf numFmtId="165" fontId="13" fillId="2" borderId="31" xfId="2" applyNumberFormat="1" applyFont="1" applyFill="1" applyBorder="1" applyProtection="1">
      <protection hidden="1"/>
    </xf>
    <xf numFmtId="165" fontId="13" fillId="2" borderId="32" xfId="2" applyNumberFormat="1" applyFont="1" applyFill="1" applyBorder="1" applyProtection="1">
      <protection hidden="1"/>
    </xf>
    <xf numFmtId="165" fontId="13" fillId="2" borderId="33" xfId="2" applyNumberFormat="1" applyFont="1" applyFill="1" applyBorder="1" applyProtection="1">
      <protection hidden="1"/>
    </xf>
    <xf numFmtId="0" fontId="9" fillId="0" borderId="43" xfId="0" applyFont="1" applyFill="1" applyBorder="1"/>
    <xf numFmtId="165" fontId="9" fillId="0" borderId="32" xfId="4" applyNumberFormat="1" applyFont="1" applyBorder="1" applyAlignment="1">
      <alignment horizontal="center"/>
    </xf>
    <xf numFmtId="165" fontId="9" fillId="0" borderId="33" xfId="4" applyNumberFormat="1" applyFont="1" applyBorder="1" applyAlignment="1">
      <alignment horizontal="center"/>
    </xf>
    <xf numFmtId="0" fontId="9" fillId="0" borderId="28" xfId="0" applyFont="1" applyFill="1" applyBorder="1"/>
    <xf numFmtId="0" fontId="9" fillId="0" borderId="29" xfId="0" applyFont="1" applyFill="1" applyBorder="1"/>
    <xf numFmtId="9" fontId="9" fillId="0" borderId="19" xfId="5" applyFont="1" applyBorder="1" applyAlignment="1">
      <alignment horizontal="center"/>
    </xf>
    <xf numFmtId="2" fontId="9" fillId="0" borderId="19" xfId="5" applyNumberFormat="1" applyFont="1" applyBorder="1" applyAlignment="1">
      <alignment horizontal="center"/>
    </xf>
    <xf numFmtId="2" fontId="9" fillId="0" borderId="17" xfId="5" applyNumberFormat="1" applyFont="1" applyBorder="1" applyAlignment="1">
      <alignment horizontal="center"/>
    </xf>
    <xf numFmtId="0" fontId="12" fillId="2" borderId="20" xfId="0" applyFont="1" applyFill="1" applyBorder="1" applyProtection="1">
      <protection hidden="1"/>
    </xf>
    <xf numFmtId="165" fontId="9" fillId="0" borderId="44" xfId="4" applyNumberFormat="1" applyFont="1" applyBorder="1"/>
    <xf numFmtId="165" fontId="9" fillId="0" borderId="47" xfId="4" applyNumberFormat="1" applyFont="1" applyBorder="1"/>
    <xf numFmtId="165" fontId="9" fillId="0" borderId="28" xfId="4" applyNumberFormat="1" applyFont="1" applyBorder="1"/>
    <xf numFmtId="165" fontId="9" fillId="0" borderId="29" xfId="4" applyNumberFormat="1" applyFont="1" applyBorder="1"/>
    <xf numFmtId="165" fontId="22" fillId="0" borderId="28" xfId="4" applyNumberFormat="1" applyFont="1" applyBorder="1"/>
    <xf numFmtId="165" fontId="22" fillId="0" borderId="44" xfId="4" applyNumberFormat="1" applyFont="1" applyBorder="1"/>
    <xf numFmtId="2" fontId="9" fillId="0" borderId="0" xfId="0" applyNumberFormat="1" applyFont="1"/>
    <xf numFmtId="0" fontId="12" fillId="2" borderId="31" xfId="0" applyFont="1" applyFill="1" applyBorder="1" applyProtection="1">
      <protection hidden="1"/>
    </xf>
    <xf numFmtId="165" fontId="13" fillId="2" borderId="32" xfId="2" applyNumberFormat="1" applyFont="1" applyFill="1" applyBorder="1" applyAlignment="1" applyProtection="1">
      <alignment horizontal="center"/>
      <protection hidden="1"/>
    </xf>
    <xf numFmtId="165" fontId="13" fillId="2" borderId="33" xfId="2" applyNumberFormat="1" applyFont="1" applyFill="1" applyBorder="1" applyAlignment="1" applyProtection="1">
      <alignment horizontal="center"/>
      <protection hidden="1"/>
    </xf>
    <xf numFmtId="0" fontId="9" fillId="0" borderId="9" xfId="0" applyFont="1" applyBorder="1"/>
    <xf numFmtId="0" fontId="9" fillId="0" borderId="16" xfId="0" applyFont="1" applyBorder="1"/>
    <xf numFmtId="0" fontId="9" fillId="0" borderId="34" xfId="0" applyFont="1" applyBorder="1"/>
    <xf numFmtId="0" fontId="9" fillId="0" borderId="48" xfId="0" applyFont="1" applyBorder="1"/>
    <xf numFmtId="0" fontId="9" fillId="0" borderId="5" xfId="0" applyFont="1" applyBorder="1"/>
    <xf numFmtId="10" fontId="9" fillId="0" borderId="45" xfId="5" applyNumberFormat="1" applyFont="1" applyBorder="1" applyAlignment="1">
      <alignment horizontal="center"/>
    </xf>
    <xf numFmtId="10" fontId="9" fillId="0" borderId="46" xfId="5" applyNumberFormat="1" applyFont="1" applyBorder="1" applyAlignment="1">
      <alignment horizontal="center"/>
    </xf>
    <xf numFmtId="10" fontId="9" fillId="0" borderId="8" xfId="5" applyNumberFormat="1" applyFont="1" applyBorder="1" applyAlignment="1">
      <alignment horizontal="center"/>
    </xf>
    <xf numFmtId="10" fontId="9" fillId="0" borderId="6" xfId="5" applyNumberFormat="1" applyFont="1" applyBorder="1" applyAlignment="1">
      <alignment horizontal="center"/>
    </xf>
    <xf numFmtId="10" fontId="22" fillId="0" borderId="0" xfId="5" applyNumberFormat="1" applyFont="1" applyBorder="1" applyAlignment="1">
      <alignment horizontal="center"/>
    </xf>
    <xf numFmtId="10" fontId="22" fillId="0" borderId="10" xfId="5" applyNumberFormat="1" applyFont="1" applyBorder="1" applyAlignment="1">
      <alignment horizontal="center"/>
    </xf>
    <xf numFmtId="164" fontId="22" fillId="0" borderId="45" xfId="4" applyNumberFormat="1" applyFont="1" applyBorder="1" applyAlignment="1">
      <alignment horizontal="center"/>
    </xf>
    <xf numFmtId="164" fontId="22" fillId="0" borderId="46" xfId="4" applyNumberFormat="1" applyFont="1" applyBorder="1" applyAlignment="1">
      <alignment horizontal="center"/>
    </xf>
    <xf numFmtId="164" fontId="9" fillId="0" borderId="8" xfId="4" applyNumberFormat="1" applyFont="1" applyBorder="1" applyAlignment="1">
      <alignment horizontal="center"/>
    </xf>
    <xf numFmtId="164" fontId="9" fillId="0" borderId="6" xfId="4" applyNumberFormat="1" applyFont="1" applyBorder="1" applyAlignment="1">
      <alignment horizontal="center"/>
    </xf>
    <xf numFmtId="164" fontId="9" fillId="0" borderId="45" xfId="4" applyNumberFormat="1" applyFont="1" applyBorder="1" applyAlignment="1">
      <alignment horizontal="center"/>
    </xf>
    <xf numFmtId="164" fontId="9" fillId="0" borderId="46" xfId="4" applyNumberFormat="1" applyFont="1" applyBorder="1" applyAlignment="1">
      <alignment horizontal="center"/>
    </xf>
    <xf numFmtId="165" fontId="9" fillId="0" borderId="19" xfId="4" applyNumberFormat="1" applyFont="1" applyBorder="1" applyAlignment="1">
      <alignment horizontal="center"/>
    </xf>
    <xf numFmtId="165" fontId="9" fillId="0" borderId="17" xfId="4" applyNumberFormat="1" applyFont="1" applyBorder="1" applyAlignment="1">
      <alignment horizontal="center"/>
    </xf>
    <xf numFmtId="2" fontId="9" fillId="0" borderId="35" xfId="0" applyNumberFormat="1" applyFont="1" applyBorder="1" applyAlignment="1">
      <alignment horizontal="center"/>
    </xf>
    <xf numFmtId="2" fontId="9" fillId="0" borderId="36" xfId="0" applyNumberFormat="1" applyFont="1" applyBorder="1" applyAlignment="1">
      <alignment horizontal="center"/>
    </xf>
    <xf numFmtId="2" fontId="9" fillId="0" borderId="49" xfId="0" applyNumberFormat="1" applyFont="1" applyBorder="1" applyAlignment="1">
      <alignment horizontal="center"/>
    </xf>
    <xf numFmtId="2" fontId="9" fillId="0" borderId="50" xfId="0" applyNumberFormat="1" applyFont="1" applyBorder="1" applyAlignment="1">
      <alignment horizontal="center"/>
    </xf>
    <xf numFmtId="2" fontId="9" fillId="0" borderId="8" xfId="0" applyNumberFormat="1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165" fontId="3" fillId="2" borderId="1" xfId="2" applyNumberFormat="1" applyFont="1" applyFill="1" applyBorder="1" applyAlignment="1" applyProtection="1">
      <alignment horizontal="center"/>
      <protection locked="0"/>
    </xf>
    <xf numFmtId="165" fontId="3" fillId="2" borderId="2" xfId="2" applyNumberFormat="1" applyFont="1" applyFill="1" applyBorder="1" applyAlignment="1" applyProtection="1">
      <alignment horizontal="center"/>
      <protection locked="0"/>
    </xf>
    <xf numFmtId="165" fontId="3" fillId="2" borderId="1" xfId="2" applyNumberFormat="1" applyFont="1" applyFill="1" applyBorder="1" applyAlignment="1" applyProtection="1">
      <alignment horizontal="center"/>
      <protection hidden="1"/>
    </xf>
    <xf numFmtId="165" fontId="3" fillId="2" borderId="2" xfId="2" applyNumberFormat="1" applyFont="1" applyFill="1" applyBorder="1" applyAlignment="1" applyProtection="1">
      <alignment horizontal="center"/>
      <protection hidden="1"/>
    </xf>
    <xf numFmtId="0" fontId="10" fillId="2" borderId="1" xfId="0" applyFont="1" applyFill="1" applyBorder="1" applyAlignment="1" applyProtection="1">
      <alignment horizontal="center"/>
      <protection hidden="1"/>
    </xf>
    <xf numFmtId="0" fontId="10" fillId="2" borderId="2" xfId="0" applyFont="1" applyFill="1" applyBorder="1" applyAlignment="1" applyProtection="1">
      <alignment horizontal="center"/>
      <protection hidden="1"/>
    </xf>
    <xf numFmtId="0" fontId="10" fillId="2" borderId="3" xfId="0" applyFont="1" applyFill="1" applyBorder="1" applyAlignment="1" applyProtection="1">
      <alignment horizontal="center"/>
      <protection hidden="1"/>
    </xf>
    <xf numFmtId="165" fontId="3" fillId="2" borderId="3" xfId="2" applyNumberFormat="1" applyFont="1" applyFill="1" applyBorder="1" applyAlignment="1" applyProtection="1">
      <alignment horizontal="center"/>
      <protection hidden="1"/>
    </xf>
    <xf numFmtId="165" fontId="3" fillId="2" borderId="31" xfId="2" applyNumberFormat="1" applyFont="1" applyFill="1" applyBorder="1" applyAlignment="1" applyProtection="1">
      <alignment horizontal="center"/>
      <protection hidden="1"/>
    </xf>
    <xf numFmtId="165" fontId="3" fillId="2" borderId="32" xfId="2" applyNumberFormat="1" applyFont="1" applyFill="1" applyBorder="1" applyAlignment="1" applyProtection="1">
      <alignment horizontal="center"/>
      <protection hidden="1"/>
    </xf>
    <xf numFmtId="165" fontId="3" fillId="2" borderId="33" xfId="2" applyNumberFormat="1" applyFont="1" applyFill="1" applyBorder="1" applyAlignment="1" applyProtection="1">
      <alignment horizontal="center"/>
      <protection hidden="1"/>
    </xf>
    <xf numFmtId="0" fontId="9" fillId="0" borderId="16" xfId="0" applyFont="1" applyBorder="1" applyAlignment="1">
      <alignment horizontal="left" wrapText="1"/>
    </xf>
    <xf numFmtId="0" fontId="9" fillId="0" borderId="26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25" xfId="0" applyFont="1" applyBorder="1" applyAlignment="1">
      <alignment horizontal="left" wrapText="1"/>
    </xf>
    <xf numFmtId="0" fontId="9" fillId="0" borderId="9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12" fillId="2" borderId="20" xfId="0" applyFont="1" applyFill="1" applyBorder="1" applyAlignment="1">
      <alignment horizontal="center" wrapText="1"/>
    </xf>
    <xf numFmtId="0" fontId="12" fillId="2" borderId="21" xfId="0" applyFont="1" applyFill="1" applyBorder="1" applyAlignment="1">
      <alignment horizontal="center" wrapText="1"/>
    </xf>
    <xf numFmtId="0" fontId="9" fillId="0" borderId="23" xfId="0" applyFont="1" applyBorder="1" applyAlignment="1">
      <alignment horizontal="left" wrapText="1"/>
    </xf>
    <xf numFmtId="0" fontId="9" fillId="0" borderId="24" xfId="0" applyFont="1" applyBorder="1" applyAlignment="1">
      <alignment horizontal="left" wrapText="1"/>
    </xf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</cellXfs>
  <cellStyles count="7">
    <cellStyle name="Čárka" xfId="4" builtinId="3"/>
    <cellStyle name="Čárka 2" xfId="2" xr:uid="{00000000-0005-0000-0000-000001000000}"/>
    <cellStyle name="Měna" xfId="6" builtinId="4"/>
    <cellStyle name="Normal" xfId="1" xr:uid="{00000000-0005-0000-0000-000003000000}"/>
    <cellStyle name="Normální" xfId="0" builtinId="0"/>
    <cellStyle name="Normální 2" xfId="3" xr:uid="{00000000-0005-0000-0000-000005000000}"/>
    <cellStyle name="Procenta" xfId="5" builtinId="5"/>
  </cellStyles>
  <dxfs count="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B1:I150"/>
  <sheetViews>
    <sheetView showGridLines="0" tabSelected="1" zoomScaleNormal="100" workbookViewId="0">
      <selection activeCell="I11" sqref="I11"/>
    </sheetView>
  </sheetViews>
  <sheetFormatPr defaultColWidth="9.140625" defaultRowHeight="15" outlineLevelRow="3" x14ac:dyDescent="0.25"/>
  <cols>
    <col min="1" max="1" width="3.5703125" style="38" customWidth="1"/>
    <col min="2" max="2" width="8.5703125" style="39" customWidth="1"/>
    <col min="3" max="3" width="7.85546875" style="39" customWidth="1"/>
    <col min="4" max="4" width="40.5703125" style="38" customWidth="1"/>
    <col min="5" max="9" width="12.85546875" style="38" bestFit="1" customWidth="1"/>
    <col min="10" max="16384" width="9.140625" style="38"/>
  </cols>
  <sheetData>
    <row r="1" spans="2:9" ht="15.75" thickBot="1" x14ac:dyDescent="0.3">
      <c r="B1" s="301" t="s">
        <v>0</v>
      </c>
      <c r="C1" s="302"/>
      <c r="D1" s="302"/>
      <c r="E1" s="302"/>
      <c r="F1" s="302"/>
      <c r="G1" s="302"/>
      <c r="H1" s="302"/>
      <c r="I1" s="302"/>
    </row>
    <row r="2" spans="2:9" ht="5.0999999999999996" customHeight="1" thickBot="1" x14ac:dyDescent="0.3"/>
    <row r="3" spans="2:9" ht="15.75" thickBot="1" x14ac:dyDescent="0.3">
      <c r="B3" s="1"/>
      <c r="C3" s="2"/>
      <c r="D3" s="3"/>
      <c r="E3" s="4">
        <v>2015</v>
      </c>
      <c r="F3" s="4">
        <v>2016</v>
      </c>
      <c r="G3" s="4">
        <v>2017</v>
      </c>
      <c r="H3" s="4">
        <v>2018</v>
      </c>
      <c r="I3" s="4">
        <v>2019</v>
      </c>
    </row>
    <row r="4" spans="2:9" ht="15.75" thickBot="1" x14ac:dyDescent="0.3">
      <c r="B4" s="1"/>
      <c r="C4" s="2">
        <v>1</v>
      </c>
      <c r="D4" s="5" t="s">
        <v>1</v>
      </c>
      <c r="E4" s="1">
        <f>SUM(E5,E6,E40,E77)</f>
        <v>5046193</v>
      </c>
      <c r="F4" s="4">
        <f>SUM(F5,F6,F40,F77)</f>
        <v>4466840</v>
      </c>
      <c r="G4" s="4">
        <f>SUM(G5,G6,G40,G77)</f>
        <v>4002548</v>
      </c>
      <c r="H4" s="4">
        <f>SUM(H5,H6,H40,H77)</f>
        <v>3702370</v>
      </c>
      <c r="I4" s="2">
        <f>SUM(I5,I6,I40,I77)</f>
        <v>3696186</v>
      </c>
    </row>
    <row r="5" spans="2:9" ht="15.75" outlineLevel="1" thickBot="1" x14ac:dyDescent="0.3">
      <c r="B5" s="40" t="s">
        <v>2</v>
      </c>
      <c r="C5" s="41">
        <v>2</v>
      </c>
      <c r="D5" s="42" t="s">
        <v>3</v>
      </c>
      <c r="E5" s="40">
        <v>0</v>
      </c>
      <c r="F5" s="43">
        <v>0</v>
      </c>
      <c r="G5" s="43">
        <v>0</v>
      </c>
      <c r="H5" s="43">
        <v>0</v>
      </c>
      <c r="I5" s="41">
        <v>0</v>
      </c>
    </row>
    <row r="6" spans="2:9" ht="15.75" outlineLevel="1" thickBot="1" x14ac:dyDescent="0.3">
      <c r="B6" s="40" t="s">
        <v>4</v>
      </c>
      <c r="C6" s="41">
        <v>3</v>
      </c>
      <c r="D6" s="42" t="s">
        <v>5</v>
      </c>
      <c r="E6" s="40">
        <f>SUM(E7,E17,E30)</f>
        <v>973649</v>
      </c>
      <c r="F6" s="43">
        <f t="shared" ref="F6:I6" si="0">SUM(F7,F17,F30)</f>
        <v>888815</v>
      </c>
      <c r="G6" s="43">
        <f t="shared" si="0"/>
        <v>972844</v>
      </c>
      <c r="H6" s="43">
        <f t="shared" si="0"/>
        <v>741045</v>
      </c>
      <c r="I6" s="41">
        <f t="shared" si="0"/>
        <v>764184</v>
      </c>
    </row>
    <row r="7" spans="2:9" ht="15.75" outlineLevel="2" thickBot="1" x14ac:dyDescent="0.3">
      <c r="B7" s="6" t="s">
        <v>6</v>
      </c>
      <c r="C7" s="7">
        <v>4</v>
      </c>
      <c r="D7" s="8" t="s">
        <v>7</v>
      </c>
      <c r="E7" s="6">
        <f>SUM(E8,E9,E12,E13,E14)</f>
        <v>23147</v>
      </c>
      <c r="F7" s="9">
        <f t="shared" ref="F7:I7" si="1">SUM(F8,F9,F12,F13,F14)</f>
        <v>10726</v>
      </c>
      <c r="G7" s="9">
        <f t="shared" si="1"/>
        <v>4545</v>
      </c>
      <c r="H7" s="9">
        <f t="shared" si="1"/>
        <v>9259</v>
      </c>
      <c r="I7" s="7">
        <f t="shared" si="1"/>
        <v>7228</v>
      </c>
    </row>
    <row r="8" spans="2:9" ht="15.75" outlineLevel="3" thickTop="1" x14ac:dyDescent="0.25">
      <c r="B8" s="44" t="s">
        <v>8</v>
      </c>
      <c r="C8" s="45">
        <v>5</v>
      </c>
      <c r="D8" s="46" t="s">
        <v>10</v>
      </c>
      <c r="E8" s="47">
        <v>0</v>
      </c>
      <c r="F8" s="48">
        <v>0</v>
      </c>
      <c r="G8" s="48">
        <v>0</v>
      </c>
      <c r="H8" s="48">
        <v>0</v>
      </c>
      <c r="I8" s="63">
        <v>0</v>
      </c>
    </row>
    <row r="9" spans="2:9" outlineLevel="3" x14ac:dyDescent="0.25">
      <c r="B9" s="44" t="s">
        <v>9</v>
      </c>
      <c r="C9" s="45">
        <v>6</v>
      </c>
      <c r="D9" s="46" t="s">
        <v>14</v>
      </c>
      <c r="E9" s="47">
        <f>SUM(E10:E11)</f>
        <v>20876</v>
      </c>
      <c r="F9" s="48">
        <f t="shared" ref="F9:I9" si="2">SUM(F10:F11)</f>
        <v>10510</v>
      </c>
      <c r="G9" s="48">
        <f t="shared" si="2"/>
        <v>4393</v>
      </c>
      <c r="H9" s="48">
        <f t="shared" si="2"/>
        <v>9172</v>
      </c>
      <c r="I9" s="63">
        <f t="shared" si="2"/>
        <v>7106</v>
      </c>
    </row>
    <row r="10" spans="2:9" outlineLevel="3" x14ac:dyDescent="0.25">
      <c r="B10" s="86" t="s">
        <v>240</v>
      </c>
      <c r="C10" s="45">
        <v>7</v>
      </c>
      <c r="D10" s="83" t="s">
        <v>12</v>
      </c>
      <c r="E10" s="84">
        <v>20876</v>
      </c>
      <c r="F10" s="85">
        <v>10510</v>
      </c>
      <c r="G10" s="85">
        <v>4393</v>
      </c>
      <c r="H10" s="85">
        <v>9172</v>
      </c>
      <c r="I10" s="100">
        <v>7106</v>
      </c>
    </row>
    <row r="11" spans="2:9" outlineLevel="3" x14ac:dyDescent="0.25">
      <c r="B11" s="86" t="s">
        <v>242</v>
      </c>
      <c r="C11" s="45">
        <v>8</v>
      </c>
      <c r="D11" s="83" t="s">
        <v>241</v>
      </c>
      <c r="E11" s="84">
        <v>0</v>
      </c>
      <c r="F11" s="85">
        <v>0</v>
      </c>
      <c r="G11" s="85">
        <v>0</v>
      </c>
      <c r="H11" s="85">
        <v>0</v>
      </c>
      <c r="I11" s="100">
        <v>0</v>
      </c>
    </row>
    <row r="12" spans="2:9" outlineLevel="3" x14ac:dyDescent="0.25">
      <c r="B12" s="44" t="s">
        <v>11</v>
      </c>
      <c r="C12" s="45">
        <v>9</v>
      </c>
      <c r="D12" s="46" t="s">
        <v>16</v>
      </c>
      <c r="E12" s="47">
        <v>0</v>
      </c>
      <c r="F12" s="48">
        <v>0</v>
      </c>
      <c r="G12" s="48">
        <v>0</v>
      </c>
      <c r="H12" s="48">
        <v>0</v>
      </c>
      <c r="I12" s="63">
        <v>0</v>
      </c>
    </row>
    <row r="13" spans="2:9" outlineLevel="3" x14ac:dyDescent="0.25">
      <c r="B13" s="44" t="s">
        <v>13</v>
      </c>
      <c r="C13" s="45">
        <v>10</v>
      </c>
      <c r="D13" s="46" t="s">
        <v>243</v>
      </c>
      <c r="E13" s="47">
        <v>281</v>
      </c>
      <c r="F13" s="48">
        <v>216</v>
      </c>
      <c r="G13" s="48">
        <v>152</v>
      </c>
      <c r="H13" s="48">
        <v>87</v>
      </c>
      <c r="I13" s="63">
        <v>22</v>
      </c>
    </row>
    <row r="14" spans="2:9" ht="38.25" outlineLevel="3" x14ac:dyDescent="0.25">
      <c r="B14" s="44" t="s">
        <v>15</v>
      </c>
      <c r="C14" s="45">
        <v>11</v>
      </c>
      <c r="D14" s="46" t="s">
        <v>246</v>
      </c>
      <c r="E14" s="47">
        <f>SUM(E15:E16)</f>
        <v>1990</v>
      </c>
      <c r="F14" s="48">
        <f t="shared" ref="F14:I14" si="3">SUM(F15:F16)</f>
        <v>0</v>
      </c>
      <c r="G14" s="48">
        <f t="shared" si="3"/>
        <v>0</v>
      </c>
      <c r="H14" s="48">
        <f t="shared" si="3"/>
        <v>0</v>
      </c>
      <c r="I14" s="63">
        <f t="shared" si="3"/>
        <v>100</v>
      </c>
    </row>
    <row r="15" spans="2:9" ht="25.5" outlineLevel="3" x14ac:dyDescent="0.25">
      <c r="B15" s="86" t="s">
        <v>244</v>
      </c>
      <c r="C15" s="45">
        <v>12</v>
      </c>
      <c r="D15" s="83" t="s">
        <v>18</v>
      </c>
      <c r="E15" s="84">
        <v>0</v>
      </c>
      <c r="F15" s="85">
        <v>0</v>
      </c>
      <c r="G15" s="85">
        <v>0</v>
      </c>
      <c r="H15" s="85">
        <v>0</v>
      </c>
      <c r="I15" s="100">
        <v>0</v>
      </c>
    </row>
    <row r="16" spans="2:9" ht="15.75" outlineLevel="3" thickBot="1" x14ac:dyDescent="0.3">
      <c r="B16" s="86" t="s">
        <v>245</v>
      </c>
      <c r="C16" s="45">
        <v>13</v>
      </c>
      <c r="D16" s="83" t="s">
        <v>17</v>
      </c>
      <c r="E16" s="84">
        <v>1990</v>
      </c>
      <c r="F16" s="85">
        <v>0</v>
      </c>
      <c r="G16" s="85">
        <v>0</v>
      </c>
      <c r="H16" s="85">
        <v>0</v>
      </c>
      <c r="I16" s="100">
        <v>100</v>
      </c>
    </row>
    <row r="17" spans="2:9" ht="16.5" outlineLevel="2" thickTop="1" thickBot="1" x14ac:dyDescent="0.3">
      <c r="B17" s="10" t="s">
        <v>19</v>
      </c>
      <c r="C17" s="11">
        <v>14</v>
      </c>
      <c r="D17" s="12" t="s">
        <v>20</v>
      </c>
      <c r="E17" s="10">
        <f>SUM(E18,E21,E22,E23,E27)</f>
        <v>562387</v>
      </c>
      <c r="F17" s="13">
        <f t="shared" ref="F17:I17" si="4">SUM(F18,F21,F22,F23,F27)</f>
        <v>568191</v>
      </c>
      <c r="G17" s="13">
        <f t="shared" si="4"/>
        <v>514259</v>
      </c>
      <c r="H17" s="13">
        <f t="shared" si="4"/>
        <v>466469</v>
      </c>
      <c r="I17" s="11">
        <f t="shared" si="4"/>
        <v>496084</v>
      </c>
    </row>
    <row r="18" spans="2:9" ht="15.75" outlineLevel="3" thickTop="1" x14ac:dyDescent="0.25">
      <c r="B18" s="44" t="s">
        <v>21</v>
      </c>
      <c r="C18" s="45">
        <v>15</v>
      </c>
      <c r="D18" s="46" t="s">
        <v>247</v>
      </c>
      <c r="E18" s="47">
        <f>SUM(E19:E20)</f>
        <v>362306</v>
      </c>
      <c r="F18" s="48">
        <f t="shared" ref="F18:I18" si="5">SUM(F19:F20)</f>
        <v>393797</v>
      </c>
      <c r="G18" s="48">
        <f t="shared" si="5"/>
        <v>382676</v>
      </c>
      <c r="H18" s="48">
        <f t="shared" si="5"/>
        <v>369837</v>
      </c>
      <c r="I18" s="63">
        <f t="shared" si="5"/>
        <v>388657</v>
      </c>
    </row>
    <row r="19" spans="2:9" outlineLevel="3" x14ac:dyDescent="0.25">
      <c r="B19" s="86" t="s">
        <v>248</v>
      </c>
      <c r="C19" s="45">
        <v>16</v>
      </c>
      <c r="D19" s="83" t="s">
        <v>22</v>
      </c>
      <c r="E19" s="84">
        <v>57788</v>
      </c>
      <c r="F19" s="85">
        <v>97820</v>
      </c>
      <c r="G19" s="85">
        <v>100979</v>
      </c>
      <c r="H19" s="85">
        <v>100979</v>
      </c>
      <c r="I19" s="100">
        <v>133266</v>
      </c>
    </row>
    <row r="20" spans="2:9" outlineLevel="3" x14ac:dyDescent="0.25">
      <c r="B20" s="86" t="s">
        <v>249</v>
      </c>
      <c r="C20" s="45">
        <v>17</v>
      </c>
      <c r="D20" s="83" t="s">
        <v>24</v>
      </c>
      <c r="E20" s="84">
        <v>304518</v>
      </c>
      <c r="F20" s="85">
        <v>295977</v>
      </c>
      <c r="G20" s="85">
        <v>281697</v>
      </c>
      <c r="H20" s="85">
        <v>268858</v>
      </c>
      <c r="I20" s="100">
        <v>255391</v>
      </c>
    </row>
    <row r="21" spans="2:9" outlineLevel="3" x14ac:dyDescent="0.25">
      <c r="B21" s="44" t="s">
        <v>23</v>
      </c>
      <c r="C21" s="45">
        <v>18</v>
      </c>
      <c r="D21" s="46" t="s">
        <v>250</v>
      </c>
      <c r="E21" s="47">
        <v>189052</v>
      </c>
      <c r="F21" s="48">
        <v>166662</v>
      </c>
      <c r="G21" s="48">
        <v>128377</v>
      </c>
      <c r="H21" s="48">
        <v>95202</v>
      </c>
      <c r="I21" s="63">
        <v>98013</v>
      </c>
    </row>
    <row r="22" spans="2:9" outlineLevel="3" x14ac:dyDescent="0.25">
      <c r="B22" s="44" t="s">
        <v>25</v>
      </c>
      <c r="C22" s="45">
        <v>19</v>
      </c>
      <c r="D22" s="46" t="s">
        <v>32</v>
      </c>
      <c r="E22" s="47">
        <v>0</v>
      </c>
      <c r="F22" s="48">
        <v>0</v>
      </c>
      <c r="G22" s="48">
        <v>0</v>
      </c>
      <c r="H22" s="48">
        <v>0</v>
      </c>
      <c r="I22" s="63">
        <v>0</v>
      </c>
    </row>
    <row r="23" spans="2:9" outlineLevel="3" x14ac:dyDescent="0.25">
      <c r="B23" s="44" t="s">
        <v>26</v>
      </c>
      <c r="C23" s="45">
        <v>20</v>
      </c>
      <c r="D23" s="46" t="s">
        <v>251</v>
      </c>
      <c r="E23" s="47"/>
      <c r="F23" s="48"/>
      <c r="G23" s="48"/>
      <c r="H23" s="48"/>
      <c r="I23" s="63"/>
    </row>
    <row r="24" spans="2:9" outlineLevel="3" x14ac:dyDescent="0.25">
      <c r="B24" s="86" t="s">
        <v>252</v>
      </c>
      <c r="C24" s="45">
        <v>21</v>
      </c>
      <c r="D24" s="83" t="s">
        <v>27</v>
      </c>
      <c r="E24" s="84">
        <v>0</v>
      </c>
      <c r="F24" s="85">
        <v>0</v>
      </c>
      <c r="G24" s="85">
        <v>0</v>
      </c>
      <c r="H24" s="85">
        <v>0</v>
      </c>
      <c r="I24" s="100">
        <v>0</v>
      </c>
    </row>
    <row r="25" spans="2:9" outlineLevel="3" x14ac:dyDescent="0.25">
      <c r="B25" s="86" t="s">
        <v>253</v>
      </c>
      <c r="C25" s="45">
        <v>22</v>
      </c>
      <c r="D25" s="83" t="s">
        <v>29</v>
      </c>
      <c r="E25" s="84">
        <v>0</v>
      </c>
      <c r="F25" s="85">
        <v>0</v>
      </c>
      <c r="G25" s="85">
        <v>0</v>
      </c>
      <c r="H25" s="85">
        <v>0</v>
      </c>
      <c r="I25" s="100">
        <v>0</v>
      </c>
    </row>
    <row r="26" spans="2:9" outlineLevel="3" x14ac:dyDescent="0.25">
      <c r="B26" s="86" t="s">
        <v>254</v>
      </c>
      <c r="C26" s="45">
        <v>23</v>
      </c>
      <c r="D26" s="83" t="s">
        <v>251</v>
      </c>
      <c r="E26" s="84">
        <v>0</v>
      </c>
      <c r="F26" s="85">
        <v>0</v>
      </c>
      <c r="G26" s="85">
        <v>0</v>
      </c>
      <c r="H26" s="85">
        <v>0</v>
      </c>
      <c r="I26" s="100">
        <v>0</v>
      </c>
    </row>
    <row r="27" spans="2:9" outlineLevel="3" x14ac:dyDescent="0.25">
      <c r="B27" s="44" t="s">
        <v>28</v>
      </c>
      <c r="C27" s="45">
        <v>24</v>
      </c>
      <c r="D27" s="46" t="s">
        <v>30</v>
      </c>
      <c r="E27" s="47">
        <f>SUM(E28:E29)</f>
        <v>11029</v>
      </c>
      <c r="F27" s="48">
        <f t="shared" ref="F27:I27" si="6">SUM(F28:F29)</f>
        <v>7732</v>
      </c>
      <c r="G27" s="48">
        <f t="shared" si="6"/>
        <v>3206</v>
      </c>
      <c r="H27" s="48">
        <f t="shared" si="6"/>
        <v>1430</v>
      </c>
      <c r="I27" s="63">
        <f t="shared" si="6"/>
        <v>9414</v>
      </c>
    </row>
    <row r="28" spans="2:9" ht="25.5" outlineLevel="3" x14ac:dyDescent="0.25">
      <c r="B28" s="44" t="s">
        <v>255</v>
      </c>
      <c r="C28" s="87">
        <v>25</v>
      </c>
      <c r="D28" s="83" t="s">
        <v>31</v>
      </c>
      <c r="E28" s="84">
        <v>0</v>
      </c>
      <c r="F28" s="85">
        <v>430</v>
      </c>
      <c r="G28" s="85">
        <v>0</v>
      </c>
      <c r="H28" s="85">
        <v>0</v>
      </c>
      <c r="I28" s="100">
        <v>216</v>
      </c>
    </row>
    <row r="29" spans="2:9" ht="15.75" outlineLevel="3" thickBot="1" x14ac:dyDescent="0.3">
      <c r="B29" s="44" t="s">
        <v>256</v>
      </c>
      <c r="C29" s="87">
        <v>26</v>
      </c>
      <c r="D29" s="83" t="s">
        <v>30</v>
      </c>
      <c r="E29" s="84">
        <v>11029</v>
      </c>
      <c r="F29" s="85">
        <v>7302</v>
      </c>
      <c r="G29" s="85">
        <v>3206</v>
      </c>
      <c r="H29" s="85">
        <v>1430</v>
      </c>
      <c r="I29" s="100">
        <v>9198</v>
      </c>
    </row>
    <row r="30" spans="2:9" ht="16.5" outlineLevel="2" thickTop="1" thickBot="1" x14ac:dyDescent="0.3">
      <c r="B30" s="10" t="s">
        <v>33</v>
      </c>
      <c r="C30" s="11">
        <v>27</v>
      </c>
      <c r="D30" s="12" t="s">
        <v>34</v>
      </c>
      <c r="E30" s="10">
        <f>SUM(E31:E37)</f>
        <v>388115</v>
      </c>
      <c r="F30" s="13">
        <f t="shared" ref="F30:I30" si="7">SUM(F31:F37)</f>
        <v>309898</v>
      </c>
      <c r="G30" s="13">
        <f t="shared" si="7"/>
        <v>454040</v>
      </c>
      <c r="H30" s="13">
        <f t="shared" si="7"/>
        <v>265317</v>
      </c>
      <c r="I30" s="11">
        <f t="shared" si="7"/>
        <v>260872</v>
      </c>
    </row>
    <row r="31" spans="2:9" ht="15.75" outlineLevel="3" thickTop="1" x14ac:dyDescent="0.25">
      <c r="B31" s="44" t="s">
        <v>35</v>
      </c>
      <c r="C31" s="45">
        <v>28</v>
      </c>
      <c r="D31" s="46" t="s">
        <v>257</v>
      </c>
      <c r="E31" s="47">
        <v>60852</v>
      </c>
      <c r="F31" s="48">
        <v>58876</v>
      </c>
      <c r="G31" s="48">
        <v>59373</v>
      </c>
      <c r="H31" s="48">
        <v>127192</v>
      </c>
      <c r="I31" s="63">
        <v>128545</v>
      </c>
    </row>
    <row r="32" spans="2:9" ht="25.5" outlineLevel="3" x14ac:dyDescent="0.25">
      <c r="B32" s="44" t="s">
        <v>36</v>
      </c>
      <c r="C32" s="45">
        <v>29</v>
      </c>
      <c r="D32" s="46" t="s">
        <v>264</v>
      </c>
      <c r="E32" s="48">
        <v>0</v>
      </c>
      <c r="F32" s="48">
        <v>0</v>
      </c>
      <c r="G32" s="48">
        <v>0</v>
      </c>
      <c r="H32" s="48">
        <v>0</v>
      </c>
      <c r="I32" s="63">
        <v>0</v>
      </c>
    </row>
    <row r="33" spans="2:9" outlineLevel="3" x14ac:dyDescent="0.25">
      <c r="B33" s="44" t="s">
        <v>37</v>
      </c>
      <c r="C33" s="45">
        <v>30</v>
      </c>
      <c r="D33" s="46" t="s">
        <v>263</v>
      </c>
      <c r="E33" s="47">
        <v>699</v>
      </c>
      <c r="F33" s="48">
        <v>300</v>
      </c>
      <c r="G33" s="48">
        <v>22427</v>
      </c>
      <c r="H33" s="48">
        <v>29800</v>
      </c>
      <c r="I33" s="63">
        <v>29807</v>
      </c>
    </row>
    <row r="34" spans="2:9" outlineLevel="3" x14ac:dyDescent="0.25">
      <c r="B34" s="44" t="s">
        <v>39</v>
      </c>
      <c r="C34" s="45">
        <v>31</v>
      </c>
      <c r="D34" s="46" t="s">
        <v>262</v>
      </c>
      <c r="E34" s="47">
        <v>216309</v>
      </c>
      <c r="F34" s="48">
        <v>140467</v>
      </c>
      <c r="G34" s="48">
        <v>271985</v>
      </c>
      <c r="H34" s="48">
        <v>8070</v>
      </c>
      <c r="I34" s="63">
        <v>2265</v>
      </c>
    </row>
    <row r="35" spans="2:9" outlineLevel="3" x14ac:dyDescent="0.25">
      <c r="B35" s="44" t="s">
        <v>40</v>
      </c>
      <c r="C35" s="45">
        <v>32</v>
      </c>
      <c r="D35" s="46" t="s">
        <v>38</v>
      </c>
      <c r="E35" s="47">
        <v>110255</v>
      </c>
      <c r="F35" s="48">
        <v>110255</v>
      </c>
      <c r="G35" s="48">
        <v>100255</v>
      </c>
      <c r="H35" s="48">
        <v>100255</v>
      </c>
      <c r="I35" s="63">
        <v>100255</v>
      </c>
    </row>
    <row r="36" spans="2:9" outlineLevel="3" x14ac:dyDescent="0.25">
      <c r="B36" s="44" t="s">
        <v>42</v>
      </c>
      <c r="C36" s="45">
        <v>33</v>
      </c>
      <c r="D36" s="46" t="s">
        <v>261</v>
      </c>
      <c r="E36" s="48">
        <v>0</v>
      </c>
      <c r="F36" s="48">
        <v>0</v>
      </c>
      <c r="G36" s="48">
        <v>0</v>
      </c>
      <c r="H36" s="48">
        <v>0</v>
      </c>
      <c r="I36" s="63">
        <v>0</v>
      </c>
    </row>
    <row r="37" spans="2:9" outlineLevel="3" x14ac:dyDescent="0.25">
      <c r="B37" s="44" t="s">
        <v>43</v>
      </c>
      <c r="C37" s="45">
        <v>34</v>
      </c>
      <c r="D37" s="46" t="s">
        <v>260</v>
      </c>
      <c r="E37" s="47">
        <f>SUM(E38:E39)</f>
        <v>0</v>
      </c>
      <c r="F37" s="48">
        <f t="shared" ref="F37:I37" si="8">SUM(F38:F39)</f>
        <v>0</v>
      </c>
      <c r="G37" s="48">
        <f t="shared" si="8"/>
        <v>0</v>
      </c>
      <c r="H37" s="48">
        <f t="shared" si="8"/>
        <v>0</v>
      </c>
      <c r="I37" s="63">
        <f t="shared" si="8"/>
        <v>0</v>
      </c>
    </row>
    <row r="38" spans="2:9" outlineLevel="3" x14ac:dyDescent="0.25">
      <c r="B38" s="86" t="s">
        <v>258</v>
      </c>
      <c r="C38" s="87">
        <v>35</v>
      </c>
      <c r="D38" s="83" t="s">
        <v>41</v>
      </c>
      <c r="E38" s="84">
        <v>0</v>
      </c>
      <c r="F38" s="85">
        <v>0</v>
      </c>
      <c r="G38" s="85">
        <v>0</v>
      </c>
      <c r="H38" s="85">
        <v>0</v>
      </c>
      <c r="I38" s="100">
        <v>0</v>
      </c>
    </row>
    <row r="39" spans="2:9" ht="26.25" outlineLevel="3" thickBot="1" x14ac:dyDescent="0.3">
      <c r="B39" s="86" t="s">
        <v>259</v>
      </c>
      <c r="C39" s="87">
        <v>36</v>
      </c>
      <c r="D39" s="83" t="s">
        <v>44</v>
      </c>
      <c r="E39" s="84">
        <v>0</v>
      </c>
      <c r="F39" s="85">
        <v>0</v>
      </c>
      <c r="G39" s="85">
        <v>0</v>
      </c>
      <c r="H39" s="85">
        <v>0</v>
      </c>
      <c r="I39" s="100">
        <v>0</v>
      </c>
    </row>
    <row r="40" spans="2:9" ht="15.75" outlineLevel="1" thickBot="1" x14ac:dyDescent="0.3">
      <c r="B40" s="40" t="s">
        <v>45</v>
      </c>
      <c r="C40" s="41">
        <v>37</v>
      </c>
      <c r="D40" s="42" t="s">
        <v>46</v>
      </c>
      <c r="E40" s="40">
        <f>SUM(E41,E49,E71,E74)</f>
        <v>4060936</v>
      </c>
      <c r="F40" s="43">
        <f t="shared" ref="F40:I40" si="9">SUM(F41,F49,F71,F74)</f>
        <v>3554701</v>
      </c>
      <c r="G40" s="43">
        <f t="shared" si="9"/>
        <v>3010406</v>
      </c>
      <c r="H40" s="43">
        <f t="shared" si="9"/>
        <v>2951296</v>
      </c>
      <c r="I40" s="41">
        <f t="shared" si="9"/>
        <v>2917283</v>
      </c>
    </row>
    <row r="41" spans="2:9" ht="15.75" outlineLevel="2" thickBot="1" x14ac:dyDescent="0.3">
      <c r="B41" s="6" t="s">
        <v>47</v>
      </c>
      <c r="C41" s="7">
        <v>38</v>
      </c>
      <c r="D41" s="8" t="s">
        <v>48</v>
      </c>
      <c r="E41" s="6">
        <f>SUM(E42,E43,E44,E47,E48)</f>
        <v>629030</v>
      </c>
      <c r="F41" s="9">
        <f t="shared" ref="F41:I41" si="10">SUM(F42,F43,F44,F47,F48)</f>
        <v>549705</v>
      </c>
      <c r="G41" s="9">
        <f t="shared" si="10"/>
        <v>587336</v>
      </c>
      <c r="H41" s="9">
        <f t="shared" si="10"/>
        <v>484514</v>
      </c>
      <c r="I41" s="7">
        <f t="shared" si="10"/>
        <v>597702</v>
      </c>
    </row>
    <row r="42" spans="2:9" ht="15.75" outlineLevel="3" thickTop="1" x14ac:dyDescent="0.25">
      <c r="B42" s="44" t="s">
        <v>49</v>
      </c>
      <c r="C42" s="45">
        <v>39</v>
      </c>
      <c r="D42" s="46" t="s">
        <v>50</v>
      </c>
      <c r="E42" s="47">
        <v>282949</v>
      </c>
      <c r="F42" s="48">
        <v>263639</v>
      </c>
      <c r="G42" s="48">
        <v>315435</v>
      </c>
      <c r="H42" s="48">
        <v>315526</v>
      </c>
      <c r="I42" s="63">
        <v>330793</v>
      </c>
    </row>
    <row r="43" spans="2:9" outlineLevel="3" x14ac:dyDescent="0.25">
      <c r="B43" s="44" t="s">
        <v>51</v>
      </c>
      <c r="C43" s="45">
        <v>40</v>
      </c>
      <c r="D43" s="46" t="s">
        <v>52</v>
      </c>
      <c r="E43" s="47">
        <v>337501</v>
      </c>
      <c r="F43" s="48">
        <v>278859</v>
      </c>
      <c r="G43" s="48">
        <v>270426</v>
      </c>
      <c r="H43" s="48">
        <v>164247</v>
      </c>
      <c r="I43" s="63">
        <v>266403</v>
      </c>
    </row>
    <row r="44" spans="2:9" outlineLevel="3" x14ac:dyDescent="0.25">
      <c r="B44" s="44" t="s">
        <v>53</v>
      </c>
      <c r="C44" s="45">
        <v>41</v>
      </c>
      <c r="D44" s="46" t="s">
        <v>265</v>
      </c>
      <c r="E44" s="47">
        <f>SUM(E45:E46)</f>
        <v>0</v>
      </c>
      <c r="F44" s="48">
        <f t="shared" ref="F44:I44" si="11">SUM(F45:F46)</f>
        <v>0</v>
      </c>
      <c r="G44" s="48">
        <f t="shared" si="11"/>
        <v>0</v>
      </c>
      <c r="H44" s="48">
        <f t="shared" si="11"/>
        <v>0</v>
      </c>
      <c r="I44" s="63">
        <f t="shared" si="11"/>
        <v>0</v>
      </c>
    </row>
    <row r="45" spans="2:9" outlineLevel="3" x14ac:dyDescent="0.25">
      <c r="B45" s="86" t="s">
        <v>266</v>
      </c>
      <c r="C45" s="87">
        <v>42</v>
      </c>
      <c r="D45" s="83" t="s">
        <v>54</v>
      </c>
      <c r="E45" s="84">
        <v>0</v>
      </c>
      <c r="F45" s="85">
        <v>0</v>
      </c>
      <c r="G45" s="85">
        <v>0</v>
      </c>
      <c r="H45" s="85">
        <v>0</v>
      </c>
      <c r="I45" s="100">
        <v>0</v>
      </c>
    </row>
    <row r="46" spans="2:9" outlineLevel="3" x14ac:dyDescent="0.25">
      <c r="B46" s="86" t="s">
        <v>267</v>
      </c>
      <c r="C46" s="87">
        <v>43</v>
      </c>
      <c r="D46" s="83" t="s">
        <v>58</v>
      </c>
      <c r="E46" s="84">
        <v>0</v>
      </c>
      <c r="F46" s="85">
        <v>0</v>
      </c>
      <c r="G46" s="85">
        <v>0</v>
      </c>
      <c r="H46" s="85">
        <v>0</v>
      </c>
      <c r="I46" s="100">
        <v>0</v>
      </c>
    </row>
    <row r="47" spans="2:9" outlineLevel="3" x14ac:dyDescent="0.25">
      <c r="B47" s="44" t="s">
        <v>55</v>
      </c>
      <c r="C47" s="45">
        <v>44</v>
      </c>
      <c r="D47" s="46" t="s">
        <v>56</v>
      </c>
      <c r="E47" s="47">
        <v>0</v>
      </c>
      <c r="F47" s="48">
        <v>0</v>
      </c>
      <c r="G47" s="48">
        <v>0</v>
      </c>
      <c r="H47" s="48">
        <v>0</v>
      </c>
      <c r="I47" s="63">
        <v>0</v>
      </c>
    </row>
    <row r="48" spans="2:9" ht="15.75" outlineLevel="3" thickBot="1" x14ac:dyDescent="0.3">
      <c r="B48" s="44" t="s">
        <v>57</v>
      </c>
      <c r="C48" s="45">
        <v>45</v>
      </c>
      <c r="D48" s="46" t="s">
        <v>60</v>
      </c>
      <c r="E48" s="47">
        <v>8580</v>
      </c>
      <c r="F48" s="48">
        <v>7207</v>
      </c>
      <c r="G48" s="48">
        <v>1475</v>
      </c>
      <c r="H48" s="48">
        <v>4741</v>
      </c>
      <c r="I48" s="63">
        <v>506</v>
      </c>
    </row>
    <row r="49" spans="2:9" ht="16.5" outlineLevel="2" thickTop="1" thickBot="1" x14ac:dyDescent="0.3">
      <c r="B49" s="10" t="s">
        <v>61</v>
      </c>
      <c r="C49" s="11">
        <v>46</v>
      </c>
      <c r="D49" s="12" t="s">
        <v>268</v>
      </c>
      <c r="E49" s="10">
        <f>SUM(E50,E60)</f>
        <v>3340500</v>
      </c>
      <c r="F49" s="13">
        <f t="shared" ref="F49:I49" si="12">SUM(F50,F60)</f>
        <v>2833009</v>
      </c>
      <c r="G49" s="13">
        <f t="shared" si="12"/>
        <v>2220934</v>
      </c>
      <c r="H49" s="13">
        <f t="shared" si="12"/>
        <v>2155237</v>
      </c>
      <c r="I49" s="11">
        <f t="shared" si="12"/>
        <v>2004190</v>
      </c>
    </row>
    <row r="50" spans="2:9" ht="15.75" outlineLevel="2" thickTop="1" x14ac:dyDescent="0.25">
      <c r="B50" s="44" t="s">
        <v>63</v>
      </c>
      <c r="C50" s="45">
        <v>47</v>
      </c>
      <c r="D50" s="46" t="s">
        <v>62</v>
      </c>
      <c r="E50" s="47">
        <f>SUM(E51:E55)</f>
        <v>587891</v>
      </c>
      <c r="F50" s="48">
        <f t="shared" ref="F50:I50" si="13">SUM(F51:F55)</f>
        <v>532306</v>
      </c>
      <c r="G50" s="48">
        <f t="shared" si="13"/>
        <v>653621</v>
      </c>
      <c r="H50" s="48">
        <f t="shared" si="13"/>
        <v>619815</v>
      </c>
      <c r="I50" s="63">
        <f t="shared" si="13"/>
        <v>601363</v>
      </c>
    </row>
    <row r="51" spans="2:9" outlineLevel="3" x14ac:dyDescent="0.25">
      <c r="B51" s="86" t="s">
        <v>269</v>
      </c>
      <c r="C51" s="87">
        <v>48</v>
      </c>
      <c r="D51" s="83" t="s">
        <v>64</v>
      </c>
      <c r="E51" s="84">
        <v>424371</v>
      </c>
      <c r="F51" s="85">
        <v>369014</v>
      </c>
      <c r="G51" s="85">
        <v>501102</v>
      </c>
      <c r="H51" s="85">
        <v>469654</v>
      </c>
      <c r="I51" s="100">
        <v>455461</v>
      </c>
    </row>
    <row r="52" spans="2:9" outlineLevel="3" x14ac:dyDescent="0.25">
      <c r="B52" s="86" t="s">
        <v>270</v>
      </c>
      <c r="C52" s="87">
        <v>49</v>
      </c>
      <c r="D52" s="83" t="s">
        <v>66</v>
      </c>
      <c r="E52" s="84">
        <v>0</v>
      </c>
      <c r="F52" s="85">
        <v>0</v>
      </c>
      <c r="G52" s="85">
        <v>0</v>
      </c>
      <c r="H52" s="85">
        <v>0</v>
      </c>
      <c r="I52" s="100">
        <v>0</v>
      </c>
    </row>
    <row r="53" spans="2:9" outlineLevel="3" x14ac:dyDescent="0.25">
      <c r="B53" s="86" t="s">
        <v>271</v>
      </c>
      <c r="C53" s="87">
        <v>50</v>
      </c>
      <c r="D53" s="83" t="s">
        <v>68</v>
      </c>
      <c r="E53" s="84">
        <v>0</v>
      </c>
      <c r="F53" s="85">
        <v>0</v>
      </c>
      <c r="G53" s="85">
        <v>0</v>
      </c>
      <c r="H53" s="85">
        <v>0</v>
      </c>
      <c r="I53" s="100">
        <v>0</v>
      </c>
    </row>
    <row r="54" spans="2:9" outlineLevel="3" x14ac:dyDescent="0.25">
      <c r="B54" s="86" t="s">
        <v>272</v>
      </c>
      <c r="C54" s="87">
        <v>51</v>
      </c>
      <c r="D54" s="83" t="s">
        <v>77</v>
      </c>
      <c r="E54" s="84">
        <v>163507</v>
      </c>
      <c r="F54" s="85">
        <v>163082</v>
      </c>
      <c r="G54" s="85">
        <v>151282</v>
      </c>
      <c r="H54" s="85">
        <v>149004</v>
      </c>
      <c r="I54" s="100">
        <v>145902</v>
      </c>
    </row>
    <row r="55" spans="2:9" outlineLevel="3" x14ac:dyDescent="0.25">
      <c r="B55" s="86" t="s">
        <v>273</v>
      </c>
      <c r="C55" s="87">
        <v>52</v>
      </c>
      <c r="D55" s="83" t="s">
        <v>278</v>
      </c>
      <c r="E55" s="89">
        <f>SUM(E56:E59)</f>
        <v>13</v>
      </c>
      <c r="F55" s="90">
        <f t="shared" ref="F55:I55" si="14">SUM(F56:F59)</f>
        <v>210</v>
      </c>
      <c r="G55" s="90">
        <f t="shared" si="14"/>
        <v>1237</v>
      </c>
      <c r="H55" s="90">
        <f t="shared" si="14"/>
        <v>1157</v>
      </c>
      <c r="I55" s="101">
        <f t="shared" si="14"/>
        <v>0</v>
      </c>
    </row>
    <row r="56" spans="2:9" outlineLevel="3" x14ac:dyDescent="0.25">
      <c r="B56" s="94" t="s">
        <v>274</v>
      </c>
      <c r="C56" s="87">
        <v>53</v>
      </c>
      <c r="D56" s="91" t="s">
        <v>279</v>
      </c>
      <c r="E56" s="92">
        <v>0</v>
      </c>
      <c r="F56" s="93">
        <v>0</v>
      </c>
      <c r="G56" s="93">
        <v>0</v>
      </c>
      <c r="H56" s="93">
        <v>0</v>
      </c>
      <c r="I56" s="102">
        <v>0</v>
      </c>
    </row>
    <row r="57" spans="2:9" outlineLevel="3" x14ac:dyDescent="0.25">
      <c r="B57" s="44" t="s">
        <v>275</v>
      </c>
      <c r="C57" s="45">
        <v>54</v>
      </c>
      <c r="D57" s="46" t="s">
        <v>71</v>
      </c>
      <c r="E57" s="84">
        <v>0</v>
      </c>
      <c r="F57" s="85">
        <v>0</v>
      </c>
      <c r="G57" s="85">
        <v>0</v>
      </c>
      <c r="H57" s="85">
        <v>0</v>
      </c>
      <c r="I57" s="100">
        <v>0</v>
      </c>
    </row>
    <row r="58" spans="2:9" outlineLevel="3" x14ac:dyDescent="0.25">
      <c r="B58" s="44" t="s">
        <v>276</v>
      </c>
      <c r="C58" s="45">
        <v>55</v>
      </c>
      <c r="D58" s="46" t="s">
        <v>73</v>
      </c>
      <c r="E58" s="84">
        <v>0</v>
      </c>
      <c r="F58" s="85">
        <v>0</v>
      </c>
      <c r="G58" s="85">
        <v>0</v>
      </c>
      <c r="H58" s="85">
        <v>0</v>
      </c>
      <c r="I58" s="100">
        <v>0</v>
      </c>
    </row>
    <row r="59" spans="2:9" outlineLevel="3" x14ac:dyDescent="0.25">
      <c r="B59" s="44" t="s">
        <v>277</v>
      </c>
      <c r="C59" s="45">
        <v>56</v>
      </c>
      <c r="D59" s="46" t="s">
        <v>75</v>
      </c>
      <c r="E59" s="47">
        <v>13</v>
      </c>
      <c r="F59" s="48">
        <v>210</v>
      </c>
      <c r="G59" s="48">
        <v>1237</v>
      </c>
      <c r="H59" s="48">
        <v>1157</v>
      </c>
      <c r="I59" s="63">
        <v>0</v>
      </c>
    </row>
    <row r="60" spans="2:9" outlineLevel="2" x14ac:dyDescent="0.25">
      <c r="B60" s="44" t="s">
        <v>65</v>
      </c>
      <c r="C60" s="45">
        <v>57</v>
      </c>
      <c r="D60" s="46" t="s">
        <v>79</v>
      </c>
      <c r="E60" s="47">
        <f>SUM(E61:E64)</f>
        <v>2752609</v>
      </c>
      <c r="F60" s="48">
        <f t="shared" ref="F60:I60" si="15">SUM(F61:F64)</f>
        <v>2300703</v>
      </c>
      <c r="G60" s="48">
        <f t="shared" si="15"/>
        <v>1567313</v>
      </c>
      <c r="H60" s="48">
        <f t="shared" si="15"/>
        <v>1535422</v>
      </c>
      <c r="I60" s="63">
        <f t="shared" si="15"/>
        <v>1402827</v>
      </c>
    </row>
    <row r="61" spans="2:9" outlineLevel="3" x14ac:dyDescent="0.25">
      <c r="B61" s="86" t="s">
        <v>280</v>
      </c>
      <c r="C61" s="87">
        <v>58</v>
      </c>
      <c r="D61" s="83" t="s">
        <v>64</v>
      </c>
      <c r="E61" s="84">
        <v>2587591</v>
      </c>
      <c r="F61" s="85">
        <v>2098118</v>
      </c>
      <c r="G61" s="85">
        <v>1489254</v>
      </c>
      <c r="H61" s="85">
        <v>1259496</v>
      </c>
      <c r="I61" s="100">
        <v>1134264</v>
      </c>
    </row>
    <row r="62" spans="2:9" outlineLevel="3" x14ac:dyDescent="0.25">
      <c r="B62" s="86" t="s">
        <v>281</v>
      </c>
      <c r="C62" s="87">
        <v>59</v>
      </c>
      <c r="D62" s="83" t="s">
        <v>66</v>
      </c>
      <c r="E62" s="84">
        <v>127851</v>
      </c>
      <c r="F62" s="85">
        <v>167758</v>
      </c>
      <c r="G62" s="85">
        <v>41362</v>
      </c>
      <c r="H62" s="85">
        <v>226210</v>
      </c>
      <c r="I62" s="100">
        <v>183111</v>
      </c>
    </row>
    <row r="63" spans="2:9" outlineLevel="3" x14ac:dyDescent="0.25">
      <c r="B63" s="86" t="s">
        <v>282</v>
      </c>
      <c r="C63" s="87">
        <v>60</v>
      </c>
      <c r="D63" s="83" t="s">
        <v>68</v>
      </c>
      <c r="E63" s="84">
        <v>0</v>
      </c>
      <c r="F63" s="85">
        <v>0</v>
      </c>
      <c r="G63" s="85">
        <v>0</v>
      </c>
      <c r="H63" s="85">
        <v>0</v>
      </c>
      <c r="I63" s="100">
        <v>0</v>
      </c>
    </row>
    <row r="64" spans="2:9" outlineLevel="3" x14ac:dyDescent="0.25">
      <c r="B64" s="86" t="s">
        <v>283</v>
      </c>
      <c r="C64" s="87">
        <v>61</v>
      </c>
      <c r="D64" s="83" t="s">
        <v>278</v>
      </c>
      <c r="E64" s="84">
        <f>SUM(E65:E70)</f>
        <v>37167</v>
      </c>
      <c r="F64" s="85">
        <f t="shared" ref="F64:I64" si="16">SUM(F65:F70)</f>
        <v>34827</v>
      </c>
      <c r="G64" s="85">
        <f t="shared" si="16"/>
        <v>36697</v>
      </c>
      <c r="H64" s="85">
        <f t="shared" si="16"/>
        <v>49716</v>
      </c>
      <c r="I64" s="100">
        <f t="shared" si="16"/>
        <v>85452</v>
      </c>
    </row>
    <row r="65" spans="2:9" outlineLevel="3" x14ac:dyDescent="0.25">
      <c r="B65" s="44" t="s">
        <v>284</v>
      </c>
      <c r="C65" s="45">
        <v>62</v>
      </c>
      <c r="D65" s="46" t="s">
        <v>279</v>
      </c>
      <c r="E65" s="47">
        <v>0</v>
      </c>
      <c r="F65" s="48">
        <v>0</v>
      </c>
      <c r="G65" s="48">
        <v>0</v>
      </c>
      <c r="H65" s="48">
        <v>0</v>
      </c>
      <c r="I65" s="63">
        <v>0</v>
      </c>
    </row>
    <row r="66" spans="2:9" outlineLevel="3" x14ac:dyDescent="0.25">
      <c r="B66" s="44" t="s">
        <v>285</v>
      </c>
      <c r="C66" s="45">
        <v>63</v>
      </c>
      <c r="D66" s="46" t="s">
        <v>82</v>
      </c>
      <c r="E66" s="47">
        <v>0</v>
      </c>
      <c r="F66" s="48">
        <v>0</v>
      </c>
      <c r="G66" s="48">
        <v>0</v>
      </c>
      <c r="H66" s="48">
        <v>0</v>
      </c>
      <c r="I66" s="63">
        <v>0</v>
      </c>
    </row>
    <row r="67" spans="2:9" outlineLevel="3" x14ac:dyDescent="0.25">
      <c r="B67" s="44" t="s">
        <v>286</v>
      </c>
      <c r="C67" s="45">
        <v>64</v>
      </c>
      <c r="D67" s="46" t="s">
        <v>83</v>
      </c>
      <c r="E67" s="47">
        <v>25247</v>
      </c>
      <c r="F67" s="48">
        <v>17100</v>
      </c>
      <c r="G67" s="48">
        <v>21170</v>
      </c>
      <c r="H67" s="48">
        <v>35847</v>
      </c>
      <c r="I67" s="63">
        <v>30887</v>
      </c>
    </row>
    <row r="68" spans="2:9" outlineLevel="3" x14ac:dyDescent="0.25">
      <c r="B68" s="44" t="s">
        <v>287</v>
      </c>
      <c r="C68" s="45">
        <v>65</v>
      </c>
      <c r="D68" s="46" t="s">
        <v>84</v>
      </c>
      <c r="E68" s="49">
        <v>5291</v>
      </c>
      <c r="F68" s="50">
        <v>9765</v>
      </c>
      <c r="G68" s="50">
        <v>6118</v>
      </c>
      <c r="H68" s="50">
        <v>7924</v>
      </c>
      <c r="I68" s="103">
        <v>7699</v>
      </c>
    </row>
    <row r="69" spans="2:9" outlineLevel="3" x14ac:dyDescent="0.25">
      <c r="B69" s="44" t="s">
        <v>288</v>
      </c>
      <c r="C69" s="45">
        <v>66</v>
      </c>
      <c r="D69" s="46" t="s">
        <v>73</v>
      </c>
      <c r="E69" s="47">
        <v>563</v>
      </c>
      <c r="F69" s="48">
        <v>5273</v>
      </c>
      <c r="G69" s="48">
        <v>4755</v>
      </c>
      <c r="H69" s="48">
        <v>3027</v>
      </c>
      <c r="I69" s="63">
        <v>4007</v>
      </c>
    </row>
    <row r="70" spans="2:9" ht="15.75" outlineLevel="3" thickBot="1" x14ac:dyDescent="0.3">
      <c r="B70" s="44" t="s">
        <v>289</v>
      </c>
      <c r="C70" s="45">
        <v>67</v>
      </c>
      <c r="D70" s="46" t="s">
        <v>75</v>
      </c>
      <c r="E70" s="47">
        <v>6066</v>
      </c>
      <c r="F70" s="48">
        <v>2689</v>
      </c>
      <c r="G70" s="48">
        <v>4654</v>
      </c>
      <c r="H70" s="48">
        <v>2918</v>
      </c>
      <c r="I70" s="63">
        <v>42859</v>
      </c>
    </row>
    <row r="71" spans="2:9" ht="16.5" outlineLevel="2" thickTop="1" thickBot="1" x14ac:dyDescent="0.3">
      <c r="B71" s="10" t="s">
        <v>78</v>
      </c>
      <c r="C71" s="11">
        <v>68</v>
      </c>
      <c r="D71" s="12" t="s">
        <v>86</v>
      </c>
      <c r="E71" s="10">
        <f>SUM(E72:E73)</f>
        <v>0</v>
      </c>
      <c r="F71" s="13">
        <f t="shared" ref="F71:I71" si="17">SUM(F72:F73)</f>
        <v>0</v>
      </c>
      <c r="G71" s="13">
        <f t="shared" si="17"/>
        <v>0</v>
      </c>
      <c r="H71" s="13">
        <f t="shared" si="17"/>
        <v>0</v>
      </c>
      <c r="I71" s="11">
        <f t="shared" si="17"/>
        <v>0</v>
      </c>
    </row>
    <row r="72" spans="2:9" ht="15.75" outlineLevel="3" thickTop="1" x14ac:dyDescent="0.25">
      <c r="B72" s="95" t="s">
        <v>80</v>
      </c>
      <c r="C72" s="96">
        <v>69</v>
      </c>
      <c r="D72" s="97" t="s">
        <v>257</v>
      </c>
      <c r="E72" s="47">
        <v>0</v>
      </c>
      <c r="F72" s="48">
        <v>0</v>
      </c>
      <c r="G72" s="48">
        <v>0</v>
      </c>
      <c r="H72" s="48">
        <v>0</v>
      </c>
      <c r="I72" s="63">
        <v>0</v>
      </c>
    </row>
    <row r="73" spans="2:9" ht="15.75" outlineLevel="3" thickBot="1" x14ac:dyDescent="0.3">
      <c r="B73" s="95" t="s">
        <v>81</v>
      </c>
      <c r="C73" s="96">
        <v>70</v>
      </c>
      <c r="D73" s="97" t="s">
        <v>290</v>
      </c>
      <c r="E73" s="47">
        <v>0</v>
      </c>
      <c r="F73" s="48">
        <v>0</v>
      </c>
      <c r="G73" s="48">
        <v>0</v>
      </c>
      <c r="H73" s="48">
        <v>0</v>
      </c>
      <c r="I73" s="63">
        <v>0</v>
      </c>
    </row>
    <row r="74" spans="2:9" ht="16.5" outlineLevel="2" thickTop="1" thickBot="1" x14ac:dyDescent="0.3">
      <c r="B74" s="10" t="s">
        <v>85</v>
      </c>
      <c r="C74" s="11">
        <v>71</v>
      </c>
      <c r="D74" s="12" t="s">
        <v>291</v>
      </c>
      <c r="E74" s="10">
        <f>SUM(E75:E76)</f>
        <v>91406</v>
      </c>
      <c r="F74" s="13">
        <f t="shared" ref="F74:I74" si="18">SUM(F75:F76)</f>
        <v>171987</v>
      </c>
      <c r="G74" s="13">
        <f t="shared" si="18"/>
        <v>202136</v>
      </c>
      <c r="H74" s="13">
        <f t="shared" si="18"/>
        <v>311545</v>
      </c>
      <c r="I74" s="11">
        <f t="shared" si="18"/>
        <v>315391</v>
      </c>
    </row>
    <row r="75" spans="2:9" ht="15.75" outlineLevel="3" thickTop="1" x14ac:dyDescent="0.25">
      <c r="B75" s="94" t="s">
        <v>87</v>
      </c>
      <c r="C75" s="98">
        <v>72</v>
      </c>
      <c r="D75" s="91" t="s">
        <v>292</v>
      </c>
      <c r="E75" s="92">
        <v>8767</v>
      </c>
      <c r="F75" s="93">
        <v>8046</v>
      </c>
      <c r="G75" s="93">
        <v>6776</v>
      </c>
      <c r="H75" s="93">
        <v>3765</v>
      </c>
      <c r="I75" s="102">
        <v>5508</v>
      </c>
    </row>
    <row r="76" spans="2:9" ht="15.75" outlineLevel="3" thickBot="1" x14ac:dyDescent="0.3">
      <c r="B76" s="94" t="s">
        <v>88</v>
      </c>
      <c r="C76" s="98">
        <v>73</v>
      </c>
      <c r="D76" s="91" t="s">
        <v>293</v>
      </c>
      <c r="E76" s="92">
        <v>82639</v>
      </c>
      <c r="F76" s="93">
        <v>163941</v>
      </c>
      <c r="G76" s="93">
        <v>195360</v>
      </c>
      <c r="H76" s="93">
        <v>307780</v>
      </c>
      <c r="I76" s="102">
        <v>309883</v>
      </c>
    </row>
    <row r="77" spans="2:9" ht="15.75" outlineLevel="1" thickBot="1" x14ac:dyDescent="0.3">
      <c r="B77" s="40" t="s">
        <v>89</v>
      </c>
      <c r="C77" s="41">
        <v>74</v>
      </c>
      <c r="D77" s="42" t="s">
        <v>90</v>
      </c>
      <c r="E77" s="40">
        <f>SUM(E78:E80)</f>
        <v>11608</v>
      </c>
      <c r="F77" s="43">
        <f>SUM(F78:F80)</f>
        <v>23324</v>
      </c>
      <c r="G77" s="43">
        <f>SUM(G78:G80)</f>
        <v>19298</v>
      </c>
      <c r="H77" s="43">
        <f>SUM(H78:H80)</f>
        <v>10029</v>
      </c>
      <c r="I77" s="41">
        <f>SUM(I78:I80)</f>
        <v>14719</v>
      </c>
    </row>
    <row r="78" spans="2:9" outlineLevel="2" x14ac:dyDescent="0.25">
      <c r="B78" s="44" t="s">
        <v>91</v>
      </c>
      <c r="C78" s="45">
        <v>75</v>
      </c>
      <c r="D78" s="46" t="s">
        <v>92</v>
      </c>
      <c r="E78" s="47">
        <v>9834</v>
      </c>
      <c r="F78" s="48">
        <v>21232</v>
      </c>
      <c r="G78" s="48">
        <v>19286</v>
      </c>
      <c r="H78" s="48">
        <v>10028</v>
      </c>
      <c r="I78" s="63">
        <v>14663</v>
      </c>
    </row>
    <row r="79" spans="2:9" outlineLevel="2" x14ac:dyDescent="0.25">
      <c r="B79" s="44" t="s">
        <v>93</v>
      </c>
      <c r="C79" s="45">
        <v>76</v>
      </c>
      <c r="D79" s="46" t="s">
        <v>94</v>
      </c>
      <c r="E79" s="47">
        <v>0</v>
      </c>
      <c r="F79" s="48">
        <v>0</v>
      </c>
      <c r="G79" s="48">
        <v>0</v>
      </c>
      <c r="H79" s="48">
        <v>0</v>
      </c>
      <c r="I79" s="63">
        <v>0</v>
      </c>
    </row>
    <row r="80" spans="2:9" ht="15.75" outlineLevel="2" thickBot="1" x14ac:dyDescent="0.3">
      <c r="B80" s="44" t="s">
        <v>95</v>
      </c>
      <c r="C80" s="45">
        <v>77</v>
      </c>
      <c r="D80" s="46" t="s">
        <v>96</v>
      </c>
      <c r="E80" s="47">
        <v>1774</v>
      </c>
      <c r="F80" s="48">
        <v>2092</v>
      </c>
      <c r="G80" s="48">
        <v>12</v>
      </c>
      <c r="H80" s="48">
        <v>1</v>
      </c>
      <c r="I80" s="63">
        <v>56</v>
      </c>
    </row>
    <row r="81" spans="2:9" ht="15.75" thickBot="1" x14ac:dyDescent="0.3">
      <c r="B81" s="1" t="s">
        <v>97</v>
      </c>
      <c r="C81" s="2">
        <v>78</v>
      </c>
      <c r="D81" s="5" t="s">
        <v>98</v>
      </c>
      <c r="E81" s="1">
        <f>SUM(E82,E104,E144)</f>
        <v>5069059</v>
      </c>
      <c r="F81" s="4">
        <f>SUM(F82,F104,F144)</f>
        <v>4477350</v>
      </c>
      <c r="G81" s="4">
        <f>SUM(G82,G104,G144)</f>
        <v>4006941</v>
      </c>
      <c r="H81" s="4">
        <f>SUM(H82,H104,H144)</f>
        <v>3711542</v>
      </c>
      <c r="I81" s="2">
        <f>SUM(I82,I104,I144)</f>
        <v>3703392</v>
      </c>
    </row>
    <row r="82" spans="2:9" ht="15.75" outlineLevel="1" thickBot="1" x14ac:dyDescent="0.3">
      <c r="B82" s="40" t="s">
        <v>2</v>
      </c>
      <c r="C82" s="41">
        <v>79</v>
      </c>
      <c r="D82" s="42" t="s">
        <v>99</v>
      </c>
      <c r="E82" s="40">
        <f>SUM(E83,E87,E95,E98,E102,E103)</f>
        <v>1348728</v>
      </c>
      <c r="F82" s="43">
        <f t="shared" ref="F82:I82" si="19">SUM(F83,F87,F95,F98,F102,F103)</f>
        <v>1439710</v>
      </c>
      <c r="G82" s="43">
        <f t="shared" si="19"/>
        <v>1470108</v>
      </c>
      <c r="H82" s="43">
        <f t="shared" si="19"/>
        <v>1472790</v>
      </c>
      <c r="I82" s="41">
        <f t="shared" si="19"/>
        <v>1495858</v>
      </c>
    </row>
    <row r="83" spans="2:9" ht="15.75" outlineLevel="2" thickBot="1" x14ac:dyDescent="0.3">
      <c r="B83" s="119" t="s">
        <v>100</v>
      </c>
      <c r="C83" s="120">
        <v>80</v>
      </c>
      <c r="D83" s="8" t="s">
        <v>101</v>
      </c>
      <c r="E83" s="119">
        <f>SUM(E84:E86)</f>
        <v>384436</v>
      </c>
      <c r="F83" s="121">
        <f t="shared" ref="F83:I83" si="20">SUM(F84:F86)</f>
        <v>384436</v>
      </c>
      <c r="G83" s="121">
        <f t="shared" si="20"/>
        <v>384436</v>
      </c>
      <c r="H83" s="121">
        <f t="shared" si="20"/>
        <v>384436</v>
      </c>
      <c r="I83" s="120">
        <f t="shared" si="20"/>
        <v>384436</v>
      </c>
    </row>
    <row r="84" spans="2:9" ht="15.75" outlineLevel="3" thickTop="1" x14ac:dyDescent="0.25">
      <c r="B84" s="44" t="s">
        <v>102</v>
      </c>
      <c r="C84" s="45">
        <v>81</v>
      </c>
      <c r="D84" s="46" t="s">
        <v>101</v>
      </c>
      <c r="E84" s="122">
        <v>384436</v>
      </c>
      <c r="F84" s="123">
        <v>384436</v>
      </c>
      <c r="G84" s="123">
        <v>384436</v>
      </c>
      <c r="H84" s="123">
        <v>384436</v>
      </c>
      <c r="I84" s="124">
        <v>384436</v>
      </c>
    </row>
    <row r="85" spans="2:9" outlineLevel="3" x14ac:dyDescent="0.25">
      <c r="B85" s="44" t="s">
        <v>103</v>
      </c>
      <c r="C85" s="45">
        <v>82</v>
      </c>
      <c r="D85" s="46" t="s">
        <v>104</v>
      </c>
      <c r="E85" s="122">
        <v>0</v>
      </c>
      <c r="F85" s="123">
        <v>0</v>
      </c>
      <c r="G85" s="123">
        <v>0</v>
      </c>
      <c r="H85" s="123">
        <v>0</v>
      </c>
      <c r="I85" s="124">
        <v>0</v>
      </c>
    </row>
    <row r="86" spans="2:9" ht="15.75" outlineLevel="3" thickBot="1" x14ac:dyDescent="0.3">
      <c r="B86" s="44" t="s">
        <v>105</v>
      </c>
      <c r="C86" s="45">
        <v>83</v>
      </c>
      <c r="D86" s="46" t="s">
        <v>106</v>
      </c>
      <c r="E86" s="122">
        <v>0</v>
      </c>
      <c r="F86" s="123">
        <v>0</v>
      </c>
      <c r="G86" s="123">
        <v>0</v>
      </c>
      <c r="H86" s="123">
        <v>0</v>
      </c>
      <c r="I86" s="124">
        <v>0</v>
      </c>
    </row>
    <row r="87" spans="2:9" ht="16.5" outlineLevel="2" thickTop="1" thickBot="1" x14ac:dyDescent="0.3">
      <c r="B87" s="125" t="s">
        <v>107</v>
      </c>
      <c r="C87" s="126">
        <v>84</v>
      </c>
      <c r="D87" s="12" t="s">
        <v>294</v>
      </c>
      <c r="E87" s="125">
        <f>SUM(E88:E94)</f>
        <v>-3006</v>
      </c>
      <c r="F87" s="127">
        <f t="shared" ref="F87:I87" si="21">SUM(F88:F94)</f>
        <v>-2238</v>
      </c>
      <c r="G87" s="127">
        <f t="shared" si="21"/>
        <v>-3350</v>
      </c>
      <c r="H87" s="127">
        <f t="shared" si="21"/>
        <v>-1136</v>
      </c>
      <c r="I87" s="126">
        <f t="shared" si="21"/>
        <v>134</v>
      </c>
    </row>
    <row r="88" spans="2:9" ht="15.75" outlineLevel="3" thickTop="1" x14ac:dyDescent="0.25">
      <c r="B88" s="44" t="s">
        <v>109</v>
      </c>
      <c r="C88" s="45">
        <v>85</v>
      </c>
      <c r="D88" s="46" t="s">
        <v>294</v>
      </c>
      <c r="E88" s="128">
        <v>0</v>
      </c>
      <c r="F88" s="129">
        <v>0</v>
      </c>
      <c r="G88" s="129">
        <v>0</v>
      </c>
      <c r="H88" s="129">
        <v>0</v>
      </c>
      <c r="I88" s="130">
        <v>0</v>
      </c>
    </row>
    <row r="89" spans="2:9" outlineLevel="3" x14ac:dyDescent="0.25">
      <c r="B89" s="44" t="s">
        <v>110</v>
      </c>
      <c r="C89" s="45">
        <v>86</v>
      </c>
      <c r="D89" s="46" t="s">
        <v>108</v>
      </c>
      <c r="E89" s="128">
        <f>SUM(E90:E94)</f>
        <v>-1503</v>
      </c>
      <c r="F89" s="129">
        <f t="shared" ref="F89:I89" si="22">SUM(F90:F94)</f>
        <v>-1119</v>
      </c>
      <c r="G89" s="129">
        <f t="shared" si="22"/>
        <v>-1675</v>
      </c>
      <c r="H89" s="129">
        <f t="shared" si="22"/>
        <v>-568</v>
      </c>
      <c r="I89" s="130">
        <f t="shared" si="22"/>
        <v>67</v>
      </c>
    </row>
    <row r="90" spans="2:9" outlineLevel="3" x14ac:dyDescent="0.25">
      <c r="B90" s="86" t="s">
        <v>295</v>
      </c>
      <c r="C90" s="87">
        <v>87</v>
      </c>
      <c r="D90" s="83" t="s">
        <v>111</v>
      </c>
      <c r="E90" s="131">
        <v>344</v>
      </c>
      <c r="F90" s="132">
        <v>376</v>
      </c>
      <c r="G90" s="132">
        <v>376</v>
      </c>
      <c r="H90" s="132">
        <v>376</v>
      </c>
      <c r="I90" s="133">
        <v>555</v>
      </c>
    </row>
    <row r="91" spans="2:9" outlineLevel="3" x14ac:dyDescent="0.25">
      <c r="B91" s="86" t="s">
        <v>296</v>
      </c>
      <c r="C91" s="87">
        <v>88</v>
      </c>
      <c r="D91" s="83" t="s">
        <v>112</v>
      </c>
      <c r="E91" s="131">
        <v>-1847</v>
      </c>
      <c r="F91" s="132">
        <v>-1495</v>
      </c>
      <c r="G91" s="132">
        <v>-2051</v>
      </c>
      <c r="H91" s="132">
        <v>-944</v>
      </c>
      <c r="I91" s="133">
        <v>-488</v>
      </c>
    </row>
    <row r="92" spans="2:9" ht="25.5" outlineLevel="3" x14ac:dyDescent="0.25">
      <c r="B92" s="86" t="s">
        <v>297</v>
      </c>
      <c r="C92" s="87">
        <v>89</v>
      </c>
      <c r="D92" s="83" t="s">
        <v>113</v>
      </c>
      <c r="E92" s="134">
        <v>0</v>
      </c>
      <c r="F92" s="135">
        <v>0</v>
      </c>
      <c r="G92" s="135">
        <v>0</v>
      </c>
      <c r="H92" s="135">
        <v>0</v>
      </c>
      <c r="I92" s="136">
        <v>0</v>
      </c>
    </row>
    <row r="93" spans="2:9" outlineLevel="3" x14ac:dyDescent="0.25">
      <c r="B93" s="86" t="s">
        <v>298</v>
      </c>
      <c r="C93" s="87">
        <v>90</v>
      </c>
      <c r="D93" s="83" t="s">
        <v>114</v>
      </c>
      <c r="E93" s="131">
        <v>0</v>
      </c>
      <c r="F93" s="132">
        <v>0</v>
      </c>
      <c r="G93" s="132">
        <v>0</v>
      </c>
      <c r="H93" s="132">
        <v>0</v>
      </c>
      <c r="I93" s="133">
        <v>0</v>
      </c>
    </row>
    <row r="94" spans="2:9" ht="26.25" outlineLevel="3" thickBot="1" x14ac:dyDescent="0.3">
      <c r="B94" s="86" t="s">
        <v>299</v>
      </c>
      <c r="C94" s="87">
        <v>91</v>
      </c>
      <c r="D94" s="83" t="s">
        <v>115</v>
      </c>
      <c r="E94" s="131">
        <v>0</v>
      </c>
      <c r="F94" s="132">
        <v>0</v>
      </c>
      <c r="G94" s="132">
        <v>0</v>
      </c>
      <c r="H94" s="132">
        <v>0</v>
      </c>
      <c r="I94" s="133">
        <v>0</v>
      </c>
    </row>
    <row r="95" spans="2:9" ht="16.5" outlineLevel="2" thickTop="1" thickBot="1" x14ac:dyDescent="0.3">
      <c r="B95" s="125" t="s">
        <v>116</v>
      </c>
      <c r="C95" s="126">
        <v>92</v>
      </c>
      <c r="D95" s="12" t="s">
        <v>300</v>
      </c>
      <c r="E95" s="125">
        <f>SUM(E96:E97)</f>
        <v>73877</v>
      </c>
      <c r="F95" s="127">
        <f t="shared" ref="F95:I95" si="23">SUM(F96:F97)</f>
        <v>74073</v>
      </c>
      <c r="G95" s="127">
        <f t="shared" si="23"/>
        <v>75522</v>
      </c>
      <c r="H95" s="127">
        <f t="shared" si="23"/>
        <v>75692</v>
      </c>
      <c r="I95" s="126">
        <f t="shared" si="23"/>
        <v>75840</v>
      </c>
    </row>
    <row r="96" spans="2:9" ht="15.75" outlineLevel="3" thickTop="1" x14ac:dyDescent="0.25">
      <c r="B96" s="44" t="s">
        <v>117</v>
      </c>
      <c r="C96" s="45">
        <v>93</v>
      </c>
      <c r="D96" s="46" t="s">
        <v>301</v>
      </c>
      <c r="E96" s="122">
        <v>73732</v>
      </c>
      <c r="F96" s="123">
        <v>73732</v>
      </c>
      <c r="G96" s="123">
        <v>73732</v>
      </c>
      <c r="H96" s="123">
        <v>73732</v>
      </c>
      <c r="I96" s="124">
        <v>73732</v>
      </c>
    </row>
    <row r="97" spans="2:9" ht="15.75" outlineLevel="3" thickBot="1" x14ac:dyDescent="0.3">
      <c r="B97" s="44" t="s">
        <v>118</v>
      </c>
      <c r="C97" s="45">
        <v>94</v>
      </c>
      <c r="D97" s="46" t="s">
        <v>119</v>
      </c>
      <c r="E97" s="122">
        <v>145</v>
      </c>
      <c r="F97" s="123">
        <v>341</v>
      </c>
      <c r="G97" s="123">
        <v>1790</v>
      </c>
      <c r="H97" s="123">
        <v>1960</v>
      </c>
      <c r="I97" s="124">
        <v>2108</v>
      </c>
    </row>
    <row r="98" spans="2:9" ht="16.5" outlineLevel="2" thickTop="1" thickBot="1" x14ac:dyDescent="0.3">
      <c r="B98" s="125" t="s">
        <v>120</v>
      </c>
      <c r="C98" s="126">
        <v>95</v>
      </c>
      <c r="D98" s="12" t="s">
        <v>121</v>
      </c>
      <c r="E98" s="125">
        <f>SUM(E99:E101)</f>
        <v>588765</v>
      </c>
      <c r="F98" s="127">
        <f t="shared" ref="F98:I98" si="24">SUM(F99:F101)</f>
        <v>708291</v>
      </c>
      <c r="G98" s="127">
        <f t="shared" si="24"/>
        <v>796710</v>
      </c>
      <c r="H98" s="127">
        <f t="shared" si="24"/>
        <v>828370</v>
      </c>
      <c r="I98" s="126">
        <f t="shared" si="24"/>
        <v>827649</v>
      </c>
    </row>
    <row r="99" spans="2:9" ht="15.75" outlineLevel="3" thickTop="1" x14ac:dyDescent="0.25">
      <c r="B99" s="44" t="s">
        <v>122</v>
      </c>
      <c r="C99" s="45">
        <v>96</v>
      </c>
      <c r="D99" s="46" t="s">
        <v>123</v>
      </c>
      <c r="E99" s="122">
        <v>588765</v>
      </c>
      <c r="F99" s="123">
        <v>708291</v>
      </c>
      <c r="G99" s="123">
        <v>796710</v>
      </c>
      <c r="H99" s="123">
        <v>828370</v>
      </c>
      <c r="I99" s="124">
        <v>827649</v>
      </c>
    </row>
    <row r="100" spans="2:9" outlineLevel="3" x14ac:dyDescent="0.25">
      <c r="B100" s="44" t="s">
        <v>124</v>
      </c>
      <c r="C100" s="45">
        <v>97</v>
      </c>
      <c r="D100" s="46" t="s">
        <v>125</v>
      </c>
      <c r="E100" s="122">
        <v>0</v>
      </c>
      <c r="F100" s="123">
        <v>0</v>
      </c>
      <c r="G100" s="123">
        <v>0</v>
      </c>
      <c r="H100" s="123">
        <v>0</v>
      </c>
      <c r="I100" s="124">
        <v>0</v>
      </c>
    </row>
    <row r="101" spans="2:9" ht="15.75" outlineLevel="3" thickBot="1" x14ac:dyDescent="0.3">
      <c r="B101" s="44" t="s">
        <v>126</v>
      </c>
      <c r="C101" s="45">
        <v>98</v>
      </c>
      <c r="D101" s="46" t="s">
        <v>127</v>
      </c>
      <c r="E101" s="128">
        <v>0</v>
      </c>
      <c r="F101" s="129">
        <v>0</v>
      </c>
      <c r="G101" s="129">
        <v>0</v>
      </c>
      <c r="H101" s="129">
        <v>0</v>
      </c>
      <c r="I101" s="130">
        <v>0</v>
      </c>
    </row>
    <row r="102" spans="2:9" ht="16.5" outlineLevel="2" thickTop="1" thickBot="1" x14ac:dyDescent="0.3">
      <c r="B102" s="125" t="s">
        <v>128</v>
      </c>
      <c r="C102" s="126">
        <v>99</v>
      </c>
      <c r="D102" s="12" t="s">
        <v>129</v>
      </c>
      <c r="E102" s="125">
        <f>'Výkazy ZZ'!E56</f>
        <v>304656</v>
      </c>
      <c r="F102" s="127">
        <f>'Výkazy ZZ'!F56</f>
        <v>275148</v>
      </c>
      <c r="G102" s="127">
        <f>'Výkazy ZZ'!G56</f>
        <v>216790</v>
      </c>
      <c r="H102" s="127">
        <f>'Výkazy ZZ'!H56</f>
        <v>185428</v>
      </c>
      <c r="I102" s="126">
        <f>'Výkazy ZZ'!I56</f>
        <v>207799</v>
      </c>
    </row>
    <row r="103" spans="2:9" ht="16.5" outlineLevel="2" thickTop="1" thickBot="1" x14ac:dyDescent="0.3">
      <c r="B103" s="137" t="s">
        <v>302</v>
      </c>
      <c r="C103" s="138">
        <v>100</v>
      </c>
      <c r="D103" s="88" t="s">
        <v>303</v>
      </c>
      <c r="E103" s="122">
        <v>0</v>
      </c>
      <c r="F103" s="123">
        <v>0</v>
      </c>
      <c r="G103" s="123">
        <v>0</v>
      </c>
      <c r="H103" s="123">
        <v>0</v>
      </c>
      <c r="I103" s="124">
        <v>0</v>
      </c>
    </row>
    <row r="104" spans="2:9" ht="15.75" outlineLevel="1" thickBot="1" x14ac:dyDescent="0.3">
      <c r="B104" s="139" t="s">
        <v>304</v>
      </c>
      <c r="C104" s="140">
        <v>101</v>
      </c>
      <c r="D104" s="42" t="s">
        <v>130</v>
      </c>
      <c r="E104" s="139">
        <f>SUM(E105,E110)</f>
        <v>3662329</v>
      </c>
      <c r="F104" s="141">
        <f t="shared" ref="F104:I104" si="25">SUM(F105,F110)</f>
        <v>2992468</v>
      </c>
      <c r="G104" s="141">
        <f t="shared" si="25"/>
        <v>2479433</v>
      </c>
      <c r="H104" s="141">
        <f t="shared" si="25"/>
        <v>2229811</v>
      </c>
      <c r="I104" s="140">
        <f t="shared" si="25"/>
        <v>2206611</v>
      </c>
    </row>
    <row r="105" spans="2:9" ht="15.75" outlineLevel="2" thickBot="1" x14ac:dyDescent="0.3">
      <c r="B105" s="119" t="s">
        <v>6</v>
      </c>
      <c r="C105" s="120">
        <v>102</v>
      </c>
      <c r="D105" s="8" t="s">
        <v>131</v>
      </c>
      <c r="E105" s="119">
        <f>SUM(E106:E109)</f>
        <v>866009</v>
      </c>
      <c r="F105" s="121">
        <f t="shared" ref="F105:I105" si="26">SUM(F106:F109)</f>
        <v>847704</v>
      </c>
      <c r="G105" s="121">
        <f t="shared" si="26"/>
        <v>838200</v>
      </c>
      <c r="H105" s="121">
        <f t="shared" si="26"/>
        <v>813658</v>
      </c>
      <c r="I105" s="120">
        <f t="shared" si="26"/>
        <v>790510</v>
      </c>
    </row>
    <row r="106" spans="2:9" ht="15.75" outlineLevel="3" thickTop="1" x14ac:dyDescent="0.25">
      <c r="B106" s="44" t="s">
        <v>8</v>
      </c>
      <c r="C106" s="45">
        <v>103</v>
      </c>
      <c r="D106" s="46" t="s">
        <v>133</v>
      </c>
      <c r="E106" s="122">
        <v>0</v>
      </c>
      <c r="F106" s="123">
        <v>0</v>
      </c>
      <c r="G106" s="123">
        <v>0</v>
      </c>
      <c r="H106" s="123">
        <v>0</v>
      </c>
      <c r="I106" s="124">
        <v>0</v>
      </c>
    </row>
    <row r="107" spans="2:9" outlineLevel="3" x14ac:dyDescent="0.25">
      <c r="B107" s="44" t="s">
        <v>9</v>
      </c>
      <c r="C107" s="45">
        <v>104</v>
      </c>
      <c r="D107" s="46" t="s">
        <v>134</v>
      </c>
      <c r="E107" s="122">
        <v>0</v>
      </c>
      <c r="F107" s="123">
        <v>0</v>
      </c>
      <c r="G107" s="123">
        <v>0</v>
      </c>
      <c r="H107" s="123">
        <v>0</v>
      </c>
      <c r="I107" s="124">
        <v>0</v>
      </c>
    </row>
    <row r="108" spans="2:9" outlineLevel="3" x14ac:dyDescent="0.25">
      <c r="B108" s="44" t="s">
        <v>11</v>
      </c>
      <c r="C108" s="45">
        <v>105</v>
      </c>
      <c r="D108" s="46" t="s">
        <v>132</v>
      </c>
      <c r="E108" s="122">
        <v>31508</v>
      </c>
      <c r="F108" s="123">
        <v>22136</v>
      </c>
      <c r="G108" s="123">
        <v>7166</v>
      </c>
      <c r="H108" s="123">
        <v>940</v>
      </c>
      <c r="I108" s="124">
        <v>0</v>
      </c>
    </row>
    <row r="109" spans="2:9" ht="15.75" outlineLevel="3" thickBot="1" x14ac:dyDescent="0.3">
      <c r="B109" s="44" t="s">
        <v>13</v>
      </c>
      <c r="C109" s="45">
        <v>106</v>
      </c>
      <c r="D109" s="46" t="s">
        <v>135</v>
      </c>
      <c r="E109" s="122">
        <v>834501</v>
      </c>
      <c r="F109" s="123">
        <v>825568</v>
      </c>
      <c r="G109" s="123">
        <v>831034</v>
      </c>
      <c r="H109" s="123">
        <v>812718</v>
      </c>
      <c r="I109" s="124">
        <v>790510</v>
      </c>
    </row>
    <row r="110" spans="2:9" ht="16.5" outlineLevel="2" thickTop="1" thickBot="1" x14ac:dyDescent="0.3">
      <c r="B110" s="125" t="s">
        <v>45</v>
      </c>
      <c r="C110" s="126">
        <v>107</v>
      </c>
      <c r="D110" s="12" t="s">
        <v>305</v>
      </c>
      <c r="E110" s="125">
        <f>SUM(E111,E126)</f>
        <v>2796320</v>
      </c>
      <c r="F110" s="127">
        <f t="shared" ref="F110:I110" si="27">SUM(F111,F126)</f>
        <v>2144764</v>
      </c>
      <c r="G110" s="127">
        <f t="shared" si="27"/>
        <v>1641233</v>
      </c>
      <c r="H110" s="127">
        <f t="shared" si="27"/>
        <v>1416153</v>
      </c>
      <c r="I110" s="126">
        <f t="shared" si="27"/>
        <v>1416101</v>
      </c>
    </row>
    <row r="111" spans="2:9" ht="16.5" outlineLevel="2" thickTop="1" thickBot="1" x14ac:dyDescent="0.3">
      <c r="B111" s="125" t="s">
        <v>47</v>
      </c>
      <c r="C111" s="126">
        <v>108</v>
      </c>
      <c r="D111" s="12" t="s">
        <v>136</v>
      </c>
      <c r="E111" s="125">
        <f>SUM(E112,E115:E122)</f>
        <v>20008</v>
      </c>
      <c r="F111" s="127">
        <f t="shared" ref="F111:I111" si="28">SUM(F112,F115:F122)</f>
        <v>4801</v>
      </c>
      <c r="G111" s="127">
        <f t="shared" si="28"/>
        <v>7412</v>
      </c>
      <c r="H111" s="127">
        <f t="shared" si="28"/>
        <v>21470</v>
      </c>
      <c r="I111" s="126">
        <f t="shared" si="28"/>
        <v>21557</v>
      </c>
    </row>
    <row r="112" spans="2:9" ht="15.75" outlineLevel="2" thickTop="1" x14ac:dyDescent="0.25">
      <c r="B112" s="142" t="s">
        <v>49</v>
      </c>
      <c r="C112" s="143">
        <v>109</v>
      </c>
      <c r="D112" s="97" t="s">
        <v>141</v>
      </c>
      <c r="E112" s="142">
        <f>SUM(E113:E114)</f>
        <v>0</v>
      </c>
      <c r="F112" s="144">
        <f t="shared" ref="F112:I112" si="29">SUM(F113:F114)</f>
        <v>0</v>
      </c>
      <c r="G112" s="144">
        <f t="shared" si="29"/>
        <v>0</v>
      </c>
      <c r="H112" s="144">
        <f t="shared" si="29"/>
        <v>0</v>
      </c>
      <c r="I112" s="143">
        <f t="shared" si="29"/>
        <v>0</v>
      </c>
    </row>
    <row r="113" spans="2:9" outlineLevel="2" x14ac:dyDescent="0.25">
      <c r="B113" s="145" t="s">
        <v>306</v>
      </c>
      <c r="C113" s="146">
        <v>110</v>
      </c>
      <c r="D113" s="99" t="s">
        <v>308</v>
      </c>
      <c r="E113" s="122">
        <v>0</v>
      </c>
      <c r="F113" s="123">
        <v>0</v>
      </c>
      <c r="G113" s="123">
        <v>0</v>
      </c>
      <c r="H113" s="123">
        <v>0</v>
      </c>
      <c r="I113" s="124">
        <v>0</v>
      </c>
    </row>
    <row r="114" spans="2:9" outlineLevel="2" x14ac:dyDescent="0.25">
      <c r="B114" s="145" t="s">
        <v>307</v>
      </c>
      <c r="C114" s="146">
        <v>111</v>
      </c>
      <c r="D114" s="99" t="s">
        <v>309</v>
      </c>
      <c r="E114" s="122">
        <v>0</v>
      </c>
      <c r="F114" s="123">
        <v>0</v>
      </c>
      <c r="G114" s="123">
        <v>0</v>
      </c>
      <c r="H114" s="123">
        <v>0</v>
      </c>
      <c r="I114" s="124">
        <v>0</v>
      </c>
    </row>
    <row r="115" spans="2:9" outlineLevel="3" x14ac:dyDescent="0.25">
      <c r="B115" s="44" t="s">
        <v>51</v>
      </c>
      <c r="C115" s="45">
        <v>112</v>
      </c>
      <c r="D115" s="46" t="s">
        <v>310</v>
      </c>
      <c r="E115" s="122">
        <v>0</v>
      </c>
      <c r="F115" s="123">
        <v>0</v>
      </c>
      <c r="G115" s="123">
        <v>0</v>
      </c>
      <c r="H115" s="123">
        <v>0</v>
      </c>
      <c r="I115" s="124">
        <v>0</v>
      </c>
    </row>
    <row r="116" spans="2:9" outlineLevel="3" x14ac:dyDescent="0.25">
      <c r="B116" s="44" t="s">
        <v>53</v>
      </c>
      <c r="C116" s="45">
        <v>113</v>
      </c>
      <c r="D116" s="46" t="s">
        <v>140</v>
      </c>
      <c r="E116" s="122">
        <v>0</v>
      </c>
      <c r="F116" s="123">
        <v>0</v>
      </c>
      <c r="G116" s="123">
        <v>0</v>
      </c>
      <c r="H116" s="123">
        <v>0</v>
      </c>
      <c r="I116" s="124">
        <v>0</v>
      </c>
    </row>
    <row r="117" spans="2:9" outlineLevel="3" x14ac:dyDescent="0.25">
      <c r="B117" s="44" t="s">
        <v>55</v>
      </c>
      <c r="C117" s="45">
        <v>114</v>
      </c>
      <c r="D117" s="46" t="s">
        <v>137</v>
      </c>
      <c r="E117" s="122">
        <v>20008</v>
      </c>
      <c r="F117" s="123">
        <v>4801</v>
      </c>
      <c r="G117" s="123">
        <v>7412</v>
      </c>
      <c r="H117" s="123">
        <v>21470</v>
      </c>
      <c r="I117" s="124">
        <v>21557</v>
      </c>
    </row>
    <row r="118" spans="2:9" outlineLevel="3" x14ac:dyDescent="0.25">
      <c r="B118" s="44" t="s">
        <v>57</v>
      </c>
      <c r="C118" s="45">
        <v>115</v>
      </c>
      <c r="D118" s="46" t="s">
        <v>142</v>
      </c>
      <c r="E118" s="122">
        <v>0</v>
      </c>
      <c r="F118" s="123">
        <v>0</v>
      </c>
      <c r="G118" s="123">
        <v>0</v>
      </c>
      <c r="H118" s="123">
        <v>0</v>
      </c>
      <c r="I118" s="124">
        <v>0</v>
      </c>
    </row>
    <row r="119" spans="2:9" outlineLevel="3" x14ac:dyDescent="0.25">
      <c r="B119" s="44" t="s">
        <v>59</v>
      </c>
      <c r="C119" s="45">
        <v>116</v>
      </c>
      <c r="D119" s="46" t="s">
        <v>138</v>
      </c>
      <c r="E119" s="122">
        <v>0</v>
      </c>
      <c r="F119" s="123">
        <v>0</v>
      </c>
      <c r="G119" s="123">
        <v>0</v>
      </c>
      <c r="H119" s="123">
        <v>0</v>
      </c>
      <c r="I119" s="124">
        <v>0</v>
      </c>
    </row>
    <row r="120" spans="2:9" outlineLevel="3" x14ac:dyDescent="0.25">
      <c r="B120" s="44" t="s">
        <v>311</v>
      </c>
      <c r="C120" s="45">
        <v>117</v>
      </c>
      <c r="D120" s="46" t="s">
        <v>139</v>
      </c>
      <c r="E120" s="122">
        <v>0</v>
      </c>
      <c r="F120" s="123">
        <v>0</v>
      </c>
      <c r="G120" s="123">
        <v>0</v>
      </c>
      <c r="H120" s="123">
        <v>0</v>
      </c>
      <c r="I120" s="124">
        <v>0</v>
      </c>
    </row>
    <row r="121" spans="2:9" outlineLevel="3" x14ac:dyDescent="0.25">
      <c r="B121" s="44" t="s">
        <v>312</v>
      </c>
      <c r="C121" s="45">
        <v>118</v>
      </c>
      <c r="D121" s="46" t="s">
        <v>145</v>
      </c>
      <c r="E121" s="122">
        <v>0</v>
      </c>
      <c r="F121" s="123">
        <v>0</v>
      </c>
      <c r="G121" s="123">
        <v>0</v>
      </c>
      <c r="H121" s="123">
        <v>0</v>
      </c>
      <c r="I121" s="124">
        <v>0</v>
      </c>
    </row>
    <row r="122" spans="2:9" outlineLevel="3" x14ac:dyDescent="0.25">
      <c r="B122" s="44" t="s">
        <v>313</v>
      </c>
      <c r="C122" s="45">
        <v>119</v>
      </c>
      <c r="D122" s="46" t="s">
        <v>317</v>
      </c>
      <c r="E122" s="122">
        <f>SUM(E123:E125)</f>
        <v>0</v>
      </c>
      <c r="F122" s="123">
        <f t="shared" ref="F122:I122" si="30">SUM(F123:F125)</f>
        <v>0</v>
      </c>
      <c r="G122" s="123">
        <f t="shared" si="30"/>
        <v>0</v>
      </c>
      <c r="H122" s="123">
        <f t="shared" si="30"/>
        <v>0</v>
      </c>
      <c r="I122" s="124">
        <f t="shared" si="30"/>
        <v>0</v>
      </c>
    </row>
    <row r="123" spans="2:9" outlineLevel="3" x14ac:dyDescent="0.25">
      <c r="B123" s="86" t="s">
        <v>314</v>
      </c>
      <c r="C123" s="87">
        <v>120</v>
      </c>
      <c r="D123" s="83" t="s">
        <v>318</v>
      </c>
      <c r="E123" s="134">
        <v>0</v>
      </c>
      <c r="F123" s="135">
        <v>0</v>
      </c>
      <c r="G123" s="135">
        <v>0</v>
      </c>
      <c r="H123" s="135">
        <v>0</v>
      </c>
      <c r="I123" s="136">
        <v>0</v>
      </c>
    </row>
    <row r="124" spans="2:9" outlineLevel="3" x14ac:dyDescent="0.25">
      <c r="B124" s="86" t="s">
        <v>315</v>
      </c>
      <c r="C124" s="87">
        <v>121</v>
      </c>
      <c r="D124" s="83" t="s">
        <v>143</v>
      </c>
      <c r="E124" s="134">
        <v>0</v>
      </c>
      <c r="F124" s="135">
        <v>0</v>
      </c>
      <c r="G124" s="135">
        <v>0</v>
      </c>
      <c r="H124" s="135">
        <v>0</v>
      </c>
      <c r="I124" s="136">
        <v>0</v>
      </c>
    </row>
    <row r="125" spans="2:9" ht="15.75" outlineLevel="3" thickBot="1" x14ac:dyDescent="0.3">
      <c r="B125" s="44" t="s">
        <v>316</v>
      </c>
      <c r="C125" s="45">
        <v>122</v>
      </c>
      <c r="D125" s="83" t="s">
        <v>144</v>
      </c>
      <c r="E125" s="122">
        <v>0</v>
      </c>
      <c r="F125" s="123">
        <v>0</v>
      </c>
      <c r="G125" s="123">
        <v>0</v>
      </c>
      <c r="H125" s="123">
        <v>0</v>
      </c>
      <c r="I125" s="124">
        <v>0</v>
      </c>
    </row>
    <row r="126" spans="2:9" ht="16.5" outlineLevel="2" thickTop="1" thickBot="1" x14ac:dyDescent="0.3">
      <c r="B126" s="125" t="s">
        <v>61</v>
      </c>
      <c r="C126" s="126">
        <v>123</v>
      </c>
      <c r="D126" s="12" t="s">
        <v>146</v>
      </c>
      <c r="E126" s="125">
        <f>SUM(E127,E130:E136)</f>
        <v>2776312</v>
      </c>
      <c r="F126" s="127">
        <f t="shared" ref="F126:I126" si="31">SUM(F127,F130:F136)</f>
        <v>2139963</v>
      </c>
      <c r="G126" s="127">
        <f t="shared" si="31"/>
        <v>1633821</v>
      </c>
      <c r="H126" s="127">
        <f t="shared" si="31"/>
        <v>1394683</v>
      </c>
      <c r="I126" s="126">
        <f t="shared" si="31"/>
        <v>1394544</v>
      </c>
    </row>
    <row r="127" spans="2:9" ht="15.75" outlineLevel="3" thickTop="1" x14ac:dyDescent="0.25">
      <c r="B127" s="44" t="s">
        <v>63</v>
      </c>
      <c r="C127" s="45">
        <v>124</v>
      </c>
      <c r="D127" s="46" t="s">
        <v>141</v>
      </c>
      <c r="E127" s="122">
        <f>SUM(E128:E129)</f>
        <v>0</v>
      </c>
      <c r="F127" s="123">
        <f t="shared" ref="F127:I127" si="32">SUM(F128:F129)</f>
        <v>0</v>
      </c>
      <c r="G127" s="123">
        <f t="shared" si="32"/>
        <v>0</v>
      </c>
      <c r="H127" s="123">
        <f t="shared" si="32"/>
        <v>0</v>
      </c>
      <c r="I127" s="124">
        <f t="shared" si="32"/>
        <v>0</v>
      </c>
    </row>
    <row r="128" spans="2:9" outlineLevel="3" x14ac:dyDescent="0.25">
      <c r="B128" s="86" t="s">
        <v>269</v>
      </c>
      <c r="C128" s="87">
        <v>125</v>
      </c>
      <c r="D128" s="83" t="s">
        <v>308</v>
      </c>
      <c r="E128" s="122">
        <v>0</v>
      </c>
      <c r="F128" s="123">
        <v>0</v>
      </c>
      <c r="G128" s="123">
        <v>0</v>
      </c>
      <c r="H128" s="123">
        <v>0</v>
      </c>
      <c r="I128" s="124">
        <v>0</v>
      </c>
    </row>
    <row r="129" spans="2:9" outlineLevel="3" x14ac:dyDescent="0.25">
      <c r="B129" s="86" t="s">
        <v>270</v>
      </c>
      <c r="C129" s="87">
        <v>126</v>
      </c>
      <c r="D129" s="83" t="s">
        <v>309</v>
      </c>
      <c r="E129" s="122">
        <v>0</v>
      </c>
      <c r="F129" s="123">
        <v>0</v>
      </c>
      <c r="G129" s="123">
        <v>0</v>
      </c>
      <c r="H129" s="123">
        <v>0</v>
      </c>
      <c r="I129" s="124">
        <v>0</v>
      </c>
    </row>
    <row r="130" spans="2:9" outlineLevel="3" x14ac:dyDescent="0.25">
      <c r="B130" s="44" t="s">
        <v>65</v>
      </c>
      <c r="C130" s="45">
        <v>127</v>
      </c>
      <c r="D130" s="46" t="s">
        <v>310</v>
      </c>
      <c r="E130" s="122">
        <v>1598526</v>
      </c>
      <c r="F130" s="123">
        <v>1104031</v>
      </c>
      <c r="G130" s="123">
        <v>824323</v>
      </c>
      <c r="H130" s="123">
        <v>672808</v>
      </c>
      <c r="I130" s="124">
        <v>701143</v>
      </c>
    </row>
    <row r="131" spans="2:9" outlineLevel="3" x14ac:dyDescent="0.25">
      <c r="B131" s="44" t="s">
        <v>67</v>
      </c>
      <c r="C131" s="45">
        <v>128</v>
      </c>
      <c r="D131" s="46" t="s">
        <v>150</v>
      </c>
      <c r="E131" s="122">
        <v>3464</v>
      </c>
      <c r="F131" s="123">
        <v>8565</v>
      </c>
      <c r="G131" s="123">
        <v>33273</v>
      </c>
      <c r="H131" s="123">
        <v>29985</v>
      </c>
      <c r="I131" s="124">
        <v>29133</v>
      </c>
    </row>
    <row r="132" spans="2:9" outlineLevel="3" x14ac:dyDescent="0.25">
      <c r="B132" s="44" t="s">
        <v>69</v>
      </c>
      <c r="C132" s="45">
        <v>129</v>
      </c>
      <c r="D132" s="46" t="s">
        <v>137</v>
      </c>
      <c r="E132" s="122">
        <v>901252</v>
      </c>
      <c r="F132" s="123">
        <v>731037</v>
      </c>
      <c r="G132" s="123">
        <v>582004</v>
      </c>
      <c r="H132" s="123">
        <v>403722</v>
      </c>
      <c r="I132" s="124">
        <v>458202</v>
      </c>
    </row>
    <row r="133" spans="2:9" outlineLevel="3" x14ac:dyDescent="0.25">
      <c r="B133" s="44" t="s">
        <v>70</v>
      </c>
      <c r="C133" s="45">
        <v>130</v>
      </c>
      <c r="D133" s="46" t="s">
        <v>319</v>
      </c>
      <c r="E133" s="122">
        <v>0</v>
      </c>
      <c r="F133" s="123">
        <v>0</v>
      </c>
      <c r="G133" s="123">
        <v>0</v>
      </c>
      <c r="H133" s="123">
        <v>0</v>
      </c>
      <c r="I133" s="124">
        <v>0</v>
      </c>
    </row>
    <row r="134" spans="2:9" outlineLevel="3" x14ac:dyDescent="0.25">
      <c r="B134" s="44" t="s">
        <v>72</v>
      </c>
      <c r="C134" s="45">
        <v>131</v>
      </c>
      <c r="D134" s="46" t="s">
        <v>138</v>
      </c>
      <c r="E134" s="122">
        <v>0</v>
      </c>
      <c r="F134" s="123">
        <v>0</v>
      </c>
      <c r="G134" s="123">
        <v>0</v>
      </c>
      <c r="H134" s="123">
        <v>0</v>
      </c>
      <c r="I134" s="124">
        <v>0</v>
      </c>
    </row>
    <row r="135" spans="2:9" outlineLevel="3" x14ac:dyDescent="0.25">
      <c r="B135" s="44" t="s">
        <v>74</v>
      </c>
      <c r="C135" s="45">
        <v>132</v>
      </c>
      <c r="D135" s="46" t="s">
        <v>139</v>
      </c>
      <c r="E135" s="122">
        <v>0</v>
      </c>
      <c r="F135" s="123">
        <v>0</v>
      </c>
      <c r="G135" s="123">
        <v>0</v>
      </c>
      <c r="H135" s="123">
        <v>0</v>
      </c>
      <c r="I135" s="124">
        <v>0</v>
      </c>
    </row>
    <row r="136" spans="2:9" outlineLevel="3" x14ac:dyDescent="0.25">
      <c r="B136" s="44" t="s">
        <v>76</v>
      </c>
      <c r="C136" s="45">
        <v>133</v>
      </c>
      <c r="D136" s="46" t="s">
        <v>320</v>
      </c>
      <c r="E136" s="122">
        <f>SUM(E137:E143)</f>
        <v>273070</v>
      </c>
      <c r="F136" s="123">
        <f t="shared" ref="F136:I136" si="33">SUM(F137:F143)</f>
        <v>296330</v>
      </c>
      <c r="G136" s="123">
        <f t="shared" si="33"/>
        <v>194221</v>
      </c>
      <c r="H136" s="123">
        <f t="shared" si="33"/>
        <v>288168</v>
      </c>
      <c r="I136" s="124">
        <f t="shared" si="33"/>
        <v>206066</v>
      </c>
    </row>
    <row r="137" spans="2:9" outlineLevel="3" x14ac:dyDescent="0.25">
      <c r="B137" s="86" t="s">
        <v>321</v>
      </c>
      <c r="C137" s="87">
        <v>134</v>
      </c>
      <c r="D137" s="83" t="s">
        <v>318</v>
      </c>
      <c r="E137" s="134">
        <v>20</v>
      </c>
      <c r="F137" s="135">
        <v>20</v>
      </c>
      <c r="G137" s="135">
        <v>20</v>
      </c>
      <c r="H137" s="135">
        <v>52020</v>
      </c>
      <c r="I137" s="136">
        <v>20</v>
      </c>
    </row>
    <row r="138" spans="2:9" outlineLevel="3" x14ac:dyDescent="0.25">
      <c r="B138" s="86" t="s">
        <v>322</v>
      </c>
      <c r="C138" s="87">
        <v>135</v>
      </c>
      <c r="D138" s="83" t="s">
        <v>152</v>
      </c>
      <c r="E138" s="122">
        <v>0</v>
      </c>
      <c r="F138" s="123">
        <v>0</v>
      </c>
      <c r="G138" s="123">
        <v>0</v>
      </c>
      <c r="H138" s="123">
        <v>0</v>
      </c>
      <c r="I138" s="124">
        <v>0</v>
      </c>
    </row>
    <row r="139" spans="2:9" outlineLevel="3" x14ac:dyDescent="0.25">
      <c r="B139" s="86" t="s">
        <v>323</v>
      </c>
      <c r="C139" s="87">
        <v>136</v>
      </c>
      <c r="D139" s="83" t="s">
        <v>147</v>
      </c>
      <c r="E139" s="134">
        <v>158201</v>
      </c>
      <c r="F139" s="135">
        <v>173366</v>
      </c>
      <c r="G139" s="135">
        <v>118992</v>
      </c>
      <c r="H139" s="135">
        <v>61397</v>
      </c>
      <c r="I139" s="136">
        <v>75259</v>
      </c>
    </row>
    <row r="140" spans="2:9" ht="25.5" outlineLevel="3" x14ac:dyDescent="0.25">
      <c r="B140" s="86" t="s">
        <v>324</v>
      </c>
      <c r="C140" s="87">
        <v>137</v>
      </c>
      <c r="D140" s="83" t="s">
        <v>148</v>
      </c>
      <c r="E140" s="134">
        <v>39763</v>
      </c>
      <c r="F140" s="135">
        <v>41011</v>
      </c>
      <c r="G140" s="135">
        <v>22170</v>
      </c>
      <c r="H140" s="135">
        <v>37389</v>
      </c>
      <c r="I140" s="136">
        <v>75259</v>
      </c>
    </row>
    <row r="141" spans="2:9" outlineLevel="3" x14ac:dyDescent="0.25">
      <c r="B141" s="86" t="s">
        <v>325</v>
      </c>
      <c r="C141" s="87">
        <v>138</v>
      </c>
      <c r="D141" s="83" t="s">
        <v>149</v>
      </c>
      <c r="E141" s="134">
        <v>43513</v>
      </c>
      <c r="F141" s="135">
        <v>33530</v>
      </c>
      <c r="G141" s="135">
        <v>21257</v>
      </c>
      <c r="H141" s="135">
        <v>30106</v>
      </c>
      <c r="I141" s="136">
        <v>30015</v>
      </c>
    </row>
    <row r="142" spans="2:9" outlineLevel="3" x14ac:dyDescent="0.25">
      <c r="B142" s="86" t="s">
        <v>326</v>
      </c>
      <c r="C142" s="87">
        <v>139</v>
      </c>
      <c r="D142" s="83" t="s">
        <v>151</v>
      </c>
      <c r="E142" s="134">
        <v>28263</v>
      </c>
      <c r="F142" s="135">
        <v>46403</v>
      </c>
      <c r="G142" s="135">
        <v>30157</v>
      </c>
      <c r="H142" s="135">
        <v>107249</v>
      </c>
      <c r="I142" s="136">
        <v>25506</v>
      </c>
    </row>
    <row r="143" spans="2:9" ht="15.75" outlineLevel="3" thickBot="1" x14ac:dyDescent="0.3">
      <c r="B143" s="86" t="s">
        <v>327</v>
      </c>
      <c r="C143" s="87">
        <v>140</v>
      </c>
      <c r="D143" s="83" t="s">
        <v>144</v>
      </c>
      <c r="E143" s="134">
        <v>3310</v>
      </c>
      <c r="F143" s="135">
        <v>2000</v>
      </c>
      <c r="G143" s="135">
        <v>1625</v>
      </c>
      <c r="H143" s="135">
        <v>7</v>
      </c>
      <c r="I143" s="136">
        <v>7</v>
      </c>
    </row>
    <row r="144" spans="2:9" ht="15.75" outlineLevel="1" thickBot="1" x14ac:dyDescent="0.3">
      <c r="B144" s="139" t="s">
        <v>89</v>
      </c>
      <c r="C144" s="140">
        <v>141</v>
      </c>
      <c r="D144" s="42" t="s">
        <v>90</v>
      </c>
      <c r="E144" s="139">
        <f>SUM(E145:E146)</f>
        <v>58002</v>
      </c>
      <c r="F144" s="141">
        <f t="shared" ref="F144:I144" si="34">SUM(F145:F146)</f>
        <v>45172</v>
      </c>
      <c r="G144" s="141">
        <f t="shared" si="34"/>
        <v>57400</v>
      </c>
      <c r="H144" s="141">
        <f t="shared" si="34"/>
        <v>8941</v>
      </c>
      <c r="I144" s="140">
        <f t="shared" si="34"/>
        <v>923</v>
      </c>
    </row>
    <row r="145" spans="2:9" outlineLevel="2" x14ac:dyDescent="0.25">
      <c r="B145" s="44" t="s">
        <v>91</v>
      </c>
      <c r="C145" s="45">
        <v>142</v>
      </c>
      <c r="D145" s="46" t="s">
        <v>153</v>
      </c>
      <c r="E145" s="122">
        <v>33560</v>
      </c>
      <c r="F145" s="123">
        <v>27914</v>
      </c>
      <c r="G145" s="123">
        <v>21020</v>
      </c>
      <c r="H145" s="123">
        <v>250</v>
      </c>
      <c r="I145" s="124">
        <v>481</v>
      </c>
    </row>
    <row r="146" spans="2:9" ht="15.75" outlineLevel="2" thickBot="1" x14ac:dyDescent="0.3">
      <c r="B146" s="51" t="s">
        <v>93</v>
      </c>
      <c r="C146" s="52">
        <v>143</v>
      </c>
      <c r="D146" s="53" t="s">
        <v>154</v>
      </c>
      <c r="E146" s="147">
        <v>24442</v>
      </c>
      <c r="F146" s="148">
        <v>17258</v>
      </c>
      <c r="G146" s="148">
        <v>36380</v>
      </c>
      <c r="H146" s="148">
        <v>8691</v>
      </c>
      <c r="I146" s="149">
        <v>442</v>
      </c>
    </row>
    <row r="148" spans="2:9" x14ac:dyDescent="0.25">
      <c r="E148" s="242"/>
      <c r="F148" s="242"/>
      <c r="G148" s="242"/>
      <c r="H148" s="242"/>
      <c r="I148" s="242"/>
    </row>
    <row r="150" spans="2:9" x14ac:dyDescent="0.25">
      <c r="E150" s="242"/>
      <c r="F150" s="242"/>
      <c r="G150" s="242"/>
      <c r="H150" s="242"/>
      <c r="I150" s="242"/>
    </row>
  </sheetData>
  <mergeCells count="1">
    <mergeCell ref="B1:I1"/>
  </mergeCells>
  <conditionalFormatting sqref="E4:I22">
    <cfRule type="cellIs" dxfId="0" priority="1" operator="lessThan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I59"/>
  <sheetViews>
    <sheetView showGridLines="0" zoomScale="115" zoomScaleNormal="115" workbookViewId="0">
      <pane ySplit="3" topLeftCell="A4" activePane="bottomLeft" state="frozenSplit"/>
      <selection pane="bottomLeft" activeCell="E11" sqref="E11"/>
    </sheetView>
  </sheetViews>
  <sheetFormatPr defaultColWidth="9.140625" defaultRowHeight="15" outlineLevelRow="2" x14ac:dyDescent="0.25"/>
  <cols>
    <col min="1" max="1" width="3.5703125" style="82" customWidth="1"/>
    <col min="2" max="2" width="7.42578125" style="54" customWidth="1"/>
    <col min="3" max="3" width="7.42578125" style="55" customWidth="1"/>
    <col min="4" max="4" width="40.5703125" style="56" customWidth="1"/>
    <col min="5" max="9" width="15.42578125" style="57" bestFit="1" customWidth="1"/>
    <col min="10" max="16384" width="9.140625" style="38"/>
  </cols>
  <sheetData>
    <row r="1" spans="1:9" ht="15.75" thickBot="1" x14ac:dyDescent="0.3">
      <c r="A1" s="81"/>
      <c r="B1" s="303" t="s">
        <v>201</v>
      </c>
      <c r="C1" s="304"/>
      <c r="D1" s="304"/>
      <c r="E1" s="304"/>
      <c r="F1" s="304"/>
      <c r="G1" s="304"/>
      <c r="H1" s="304"/>
      <c r="I1" s="304"/>
    </row>
    <row r="2" spans="1:9" ht="5.0999999999999996" customHeight="1" thickBot="1" x14ac:dyDescent="0.3">
      <c r="A2" s="81"/>
      <c r="B2" s="59"/>
      <c r="C2" s="109"/>
      <c r="D2" s="58"/>
      <c r="E2" s="58"/>
      <c r="F2" s="58"/>
      <c r="G2" s="58"/>
      <c r="H2" s="58"/>
      <c r="I2" s="58"/>
    </row>
    <row r="3" spans="1:9" ht="15.75" thickBot="1" x14ac:dyDescent="0.3">
      <c r="A3" s="81"/>
      <c r="B3" s="1"/>
      <c r="C3" s="110"/>
      <c r="D3" s="3"/>
      <c r="E3" s="4">
        <v>2015</v>
      </c>
      <c r="F3" s="4">
        <v>2016</v>
      </c>
      <c r="G3" s="4">
        <v>2017</v>
      </c>
      <c r="H3" s="4">
        <v>2018</v>
      </c>
      <c r="I3" s="2">
        <v>2019</v>
      </c>
    </row>
    <row r="4" spans="1:9" ht="16.5" outlineLevel="1" thickTop="1" thickBot="1" x14ac:dyDescent="0.3">
      <c r="A4" s="60" t="s">
        <v>224</v>
      </c>
      <c r="B4" s="150" t="s">
        <v>155</v>
      </c>
      <c r="C4" s="111">
        <v>1</v>
      </c>
      <c r="D4" s="151" t="s">
        <v>159</v>
      </c>
      <c r="E4" s="152">
        <v>4248782</v>
      </c>
      <c r="F4" s="153">
        <v>4393682</v>
      </c>
      <c r="G4" s="153">
        <v>3545630</v>
      </c>
      <c r="H4" s="153">
        <v>3133475</v>
      </c>
      <c r="I4" s="154">
        <v>3235033</v>
      </c>
    </row>
    <row r="5" spans="1:9" ht="16.5" outlineLevel="1" thickTop="1" thickBot="1" x14ac:dyDescent="0.3">
      <c r="A5" s="60" t="s">
        <v>224</v>
      </c>
      <c r="B5" s="150" t="s">
        <v>158</v>
      </c>
      <c r="C5" s="111">
        <v>2</v>
      </c>
      <c r="D5" s="151" t="s">
        <v>156</v>
      </c>
      <c r="E5" s="152">
        <v>770665</v>
      </c>
      <c r="F5" s="153">
        <v>513658</v>
      </c>
      <c r="G5" s="153">
        <v>430740</v>
      </c>
      <c r="H5" s="153">
        <v>371504</v>
      </c>
      <c r="I5" s="154">
        <v>387448</v>
      </c>
    </row>
    <row r="6" spans="1:9" ht="16.5" outlineLevel="1" thickTop="1" thickBot="1" x14ac:dyDescent="0.3">
      <c r="A6" s="60" t="s">
        <v>225</v>
      </c>
      <c r="B6" s="150" t="s">
        <v>2</v>
      </c>
      <c r="C6" s="111">
        <v>3</v>
      </c>
      <c r="D6" s="151" t="s">
        <v>162</v>
      </c>
      <c r="E6" s="152">
        <f>SUM(E7:E9)</f>
        <v>4861445</v>
      </c>
      <c r="F6" s="153">
        <f t="shared" ref="F6:I6" si="0">SUM(F7:F9)</f>
        <v>4426654</v>
      </c>
      <c r="G6" s="153">
        <f t="shared" si="0"/>
        <v>3533162</v>
      </c>
      <c r="H6" s="153">
        <f t="shared" si="0"/>
        <v>2919048</v>
      </c>
      <c r="I6" s="154">
        <f t="shared" si="0"/>
        <v>3206214</v>
      </c>
    </row>
    <row r="7" spans="1:9" ht="15.75" outlineLevel="2" thickTop="1" x14ac:dyDescent="0.25">
      <c r="A7" s="60" t="s">
        <v>225</v>
      </c>
      <c r="B7" s="61" t="s">
        <v>328</v>
      </c>
      <c r="C7" s="62">
        <v>4</v>
      </c>
      <c r="D7" s="46" t="s">
        <v>157</v>
      </c>
      <c r="E7" s="155">
        <v>682513</v>
      </c>
      <c r="F7" s="156">
        <v>466255</v>
      </c>
      <c r="G7" s="156">
        <v>375174</v>
      </c>
      <c r="H7" s="156">
        <v>327118</v>
      </c>
      <c r="I7" s="157">
        <v>340242</v>
      </c>
    </row>
    <row r="8" spans="1:9" outlineLevel="2" x14ac:dyDescent="0.25">
      <c r="A8" s="60" t="s">
        <v>225</v>
      </c>
      <c r="B8" s="61" t="s">
        <v>329</v>
      </c>
      <c r="C8" s="62">
        <v>5</v>
      </c>
      <c r="D8" s="46" t="s">
        <v>163</v>
      </c>
      <c r="E8" s="155">
        <v>3762650</v>
      </c>
      <c r="F8" s="156">
        <v>3577827</v>
      </c>
      <c r="G8" s="156">
        <v>2831200</v>
      </c>
      <c r="H8" s="156">
        <v>2244464</v>
      </c>
      <c r="I8" s="157">
        <v>2561873</v>
      </c>
    </row>
    <row r="9" spans="1:9" ht="15.75" outlineLevel="2" thickBot="1" x14ac:dyDescent="0.3">
      <c r="A9" s="60" t="s">
        <v>225</v>
      </c>
      <c r="B9" s="61" t="s">
        <v>330</v>
      </c>
      <c r="C9" s="62">
        <v>6</v>
      </c>
      <c r="D9" s="46" t="s">
        <v>164</v>
      </c>
      <c r="E9" s="155">
        <v>416282</v>
      </c>
      <c r="F9" s="156">
        <v>382572</v>
      </c>
      <c r="G9" s="156">
        <v>326788</v>
      </c>
      <c r="H9" s="156">
        <v>347466</v>
      </c>
      <c r="I9" s="157">
        <v>304099</v>
      </c>
    </row>
    <row r="10" spans="1:9" ht="16.5" outlineLevel="1" thickTop="1" thickBot="1" x14ac:dyDescent="0.3">
      <c r="A10" s="60" t="s">
        <v>225</v>
      </c>
      <c r="B10" s="150" t="s">
        <v>4</v>
      </c>
      <c r="C10" s="111">
        <v>7</v>
      </c>
      <c r="D10" s="151" t="s">
        <v>160</v>
      </c>
      <c r="E10" s="152">
        <v>-138226</v>
      </c>
      <c r="F10" s="153">
        <v>58658</v>
      </c>
      <c r="G10" s="153">
        <v>6075</v>
      </c>
      <c r="H10" s="153">
        <v>106207</v>
      </c>
      <c r="I10" s="154">
        <v>-102643</v>
      </c>
    </row>
    <row r="11" spans="1:9" ht="16.5" outlineLevel="1" thickTop="1" thickBot="1" x14ac:dyDescent="0.3">
      <c r="A11" s="60" t="s">
        <v>225</v>
      </c>
      <c r="B11" s="150" t="s">
        <v>45</v>
      </c>
      <c r="C11" s="111">
        <v>8</v>
      </c>
      <c r="D11" s="151" t="s">
        <v>161</v>
      </c>
      <c r="E11" s="152">
        <v>-1000168</v>
      </c>
      <c r="F11" s="153">
        <v>-956253</v>
      </c>
      <c r="G11" s="153">
        <v>-750440</v>
      </c>
      <c r="H11" s="153">
        <v>-512855</v>
      </c>
      <c r="I11" s="154">
        <v>-524172</v>
      </c>
    </row>
    <row r="12" spans="1:9" ht="16.5" outlineLevel="1" thickTop="1" thickBot="1" x14ac:dyDescent="0.3">
      <c r="A12" s="60" t="s">
        <v>225</v>
      </c>
      <c r="B12" s="150" t="s">
        <v>168</v>
      </c>
      <c r="C12" s="111">
        <v>9</v>
      </c>
      <c r="D12" s="151" t="s">
        <v>165</v>
      </c>
      <c r="E12" s="152">
        <f>SUM(E13,E14)</f>
        <v>900461</v>
      </c>
      <c r="F12" s="153">
        <f t="shared" ref="F12:I12" si="1">SUM(F13,F14)</f>
        <v>945163</v>
      </c>
      <c r="G12" s="153">
        <f t="shared" si="1"/>
        <v>845805</v>
      </c>
      <c r="H12" s="153">
        <f t="shared" si="1"/>
        <v>812058</v>
      </c>
      <c r="I12" s="154">
        <f t="shared" si="1"/>
        <v>870715</v>
      </c>
    </row>
    <row r="13" spans="1:9" ht="15.75" outlineLevel="2" thickTop="1" x14ac:dyDescent="0.25">
      <c r="A13" s="60" t="s">
        <v>225</v>
      </c>
      <c r="B13" s="61" t="s">
        <v>331</v>
      </c>
      <c r="C13" s="62">
        <v>10</v>
      </c>
      <c r="D13" s="46" t="s">
        <v>166</v>
      </c>
      <c r="E13" s="158">
        <v>667085</v>
      </c>
      <c r="F13" s="159">
        <v>707814</v>
      </c>
      <c r="G13" s="159">
        <v>631202</v>
      </c>
      <c r="H13" s="159">
        <v>601420</v>
      </c>
      <c r="I13" s="160">
        <v>644405</v>
      </c>
    </row>
    <row r="14" spans="1:9" ht="25.5" outlineLevel="2" x14ac:dyDescent="0.25">
      <c r="A14" s="60" t="s">
        <v>225</v>
      </c>
      <c r="B14" s="61" t="s">
        <v>332</v>
      </c>
      <c r="C14" s="62">
        <v>11</v>
      </c>
      <c r="D14" s="46" t="s">
        <v>335</v>
      </c>
      <c r="E14" s="158">
        <f>SUM(E15:E16)</f>
        <v>233376</v>
      </c>
      <c r="F14" s="159">
        <f t="shared" ref="F14:I14" si="2">SUM(F15:F16)</f>
        <v>237349</v>
      </c>
      <c r="G14" s="159">
        <f t="shared" si="2"/>
        <v>214603</v>
      </c>
      <c r="H14" s="159">
        <f t="shared" si="2"/>
        <v>210638</v>
      </c>
      <c r="I14" s="160">
        <f t="shared" si="2"/>
        <v>226310</v>
      </c>
    </row>
    <row r="15" spans="1:9" ht="25.5" outlineLevel="2" x14ac:dyDescent="0.25">
      <c r="A15" s="60" t="s">
        <v>225</v>
      </c>
      <c r="B15" s="107" t="s">
        <v>333</v>
      </c>
      <c r="C15" s="108">
        <v>12</v>
      </c>
      <c r="D15" s="83" t="s">
        <v>167</v>
      </c>
      <c r="E15" s="161">
        <v>230318</v>
      </c>
      <c r="F15" s="162">
        <v>234106</v>
      </c>
      <c r="G15" s="162">
        <v>211610</v>
      </c>
      <c r="H15" s="162">
        <v>207986</v>
      </c>
      <c r="I15" s="163">
        <v>215151</v>
      </c>
    </row>
    <row r="16" spans="1:9" ht="15.75" outlineLevel="2" thickBot="1" x14ac:dyDescent="0.3">
      <c r="A16" s="60" t="s">
        <v>225</v>
      </c>
      <c r="B16" s="107" t="s">
        <v>334</v>
      </c>
      <c r="C16" s="108">
        <v>13</v>
      </c>
      <c r="D16" s="83" t="s">
        <v>336</v>
      </c>
      <c r="E16" s="161">
        <v>3058</v>
      </c>
      <c r="F16" s="162">
        <v>3243</v>
      </c>
      <c r="G16" s="162">
        <v>2993</v>
      </c>
      <c r="H16" s="162">
        <v>2652</v>
      </c>
      <c r="I16" s="163">
        <v>11159</v>
      </c>
    </row>
    <row r="17" spans="1:9" ht="16.5" outlineLevel="1" thickTop="1" thickBot="1" x14ac:dyDescent="0.3">
      <c r="A17" s="60" t="s">
        <v>225</v>
      </c>
      <c r="B17" s="150" t="s">
        <v>170</v>
      </c>
      <c r="C17" s="111">
        <v>14</v>
      </c>
      <c r="D17" s="151" t="s">
        <v>337</v>
      </c>
      <c r="E17" s="164">
        <f>SUM(E18,E21,E22)</f>
        <v>100545</v>
      </c>
      <c r="F17" s="165">
        <f t="shared" ref="F17:I17" si="3">SUM(F18,F21,F22)</f>
        <v>100636</v>
      </c>
      <c r="G17" s="165">
        <f t="shared" si="3"/>
        <v>89941</v>
      </c>
      <c r="H17" s="165">
        <f t="shared" si="3"/>
        <v>76819</v>
      </c>
      <c r="I17" s="166">
        <f t="shared" si="3"/>
        <v>63150</v>
      </c>
    </row>
    <row r="18" spans="1:9" ht="26.25" outlineLevel="2" thickTop="1" x14ac:dyDescent="0.25">
      <c r="A18" s="60" t="s">
        <v>225</v>
      </c>
      <c r="B18" s="61" t="s">
        <v>338</v>
      </c>
      <c r="C18" s="62">
        <v>15</v>
      </c>
      <c r="D18" s="46" t="s">
        <v>343</v>
      </c>
      <c r="E18" s="158">
        <f>SUM(E19:E20)</f>
        <v>100545</v>
      </c>
      <c r="F18" s="159">
        <f t="shared" ref="F18:I18" si="4">SUM(F19:F20)</f>
        <v>100636</v>
      </c>
      <c r="G18" s="159">
        <f t="shared" si="4"/>
        <v>89941</v>
      </c>
      <c r="H18" s="159">
        <f t="shared" si="4"/>
        <v>76819</v>
      </c>
      <c r="I18" s="160">
        <f t="shared" si="4"/>
        <v>63150</v>
      </c>
    </row>
    <row r="19" spans="1:9" ht="25.5" outlineLevel="2" x14ac:dyDescent="0.25">
      <c r="A19" s="60" t="s">
        <v>225</v>
      </c>
      <c r="B19" s="107" t="s">
        <v>339</v>
      </c>
      <c r="C19" s="108">
        <v>16</v>
      </c>
      <c r="D19" s="83" t="s">
        <v>344</v>
      </c>
      <c r="E19" s="161">
        <v>100545</v>
      </c>
      <c r="F19" s="162">
        <v>100636</v>
      </c>
      <c r="G19" s="162">
        <v>89941</v>
      </c>
      <c r="H19" s="162">
        <v>76819</v>
      </c>
      <c r="I19" s="163">
        <v>63150</v>
      </c>
    </row>
    <row r="20" spans="1:9" ht="25.5" outlineLevel="2" x14ac:dyDescent="0.25">
      <c r="A20" s="60" t="s">
        <v>225</v>
      </c>
      <c r="B20" s="107" t="s">
        <v>340</v>
      </c>
      <c r="C20" s="108">
        <v>17</v>
      </c>
      <c r="D20" s="83" t="s">
        <v>345</v>
      </c>
      <c r="E20" s="161">
        <v>0</v>
      </c>
      <c r="F20" s="162">
        <v>0</v>
      </c>
      <c r="G20" s="162">
        <v>0</v>
      </c>
      <c r="H20" s="162">
        <v>0</v>
      </c>
      <c r="I20" s="163">
        <v>0</v>
      </c>
    </row>
    <row r="21" spans="1:9" outlineLevel="2" x14ac:dyDescent="0.25">
      <c r="A21" s="60" t="s">
        <v>225</v>
      </c>
      <c r="B21" s="61" t="s">
        <v>341</v>
      </c>
      <c r="C21" s="62">
        <v>18</v>
      </c>
      <c r="D21" s="46" t="s">
        <v>346</v>
      </c>
      <c r="E21" s="158">
        <v>0</v>
      </c>
      <c r="F21" s="159">
        <v>0</v>
      </c>
      <c r="G21" s="159">
        <v>0</v>
      </c>
      <c r="H21" s="159">
        <v>0</v>
      </c>
      <c r="I21" s="160">
        <v>0</v>
      </c>
    </row>
    <row r="22" spans="1:9" ht="15.75" outlineLevel="2" thickBot="1" x14ac:dyDescent="0.3">
      <c r="A22" s="60" t="s">
        <v>225</v>
      </c>
      <c r="B22" s="61" t="s">
        <v>342</v>
      </c>
      <c r="C22" s="62">
        <v>19</v>
      </c>
      <c r="D22" s="46" t="s">
        <v>347</v>
      </c>
      <c r="E22" s="158">
        <v>0</v>
      </c>
      <c r="F22" s="159">
        <v>0</v>
      </c>
      <c r="G22" s="159">
        <v>0</v>
      </c>
      <c r="H22" s="159">
        <v>0</v>
      </c>
      <c r="I22" s="160">
        <v>0</v>
      </c>
    </row>
    <row r="23" spans="1:9" ht="16.5" outlineLevel="1" thickTop="1" thickBot="1" x14ac:dyDescent="0.3">
      <c r="A23" s="60" t="s">
        <v>224</v>
      </c>
      <c r="B23" s="150" t="s">
        <v>171</v>
      </c>
      <c r="C23" s="111">
        <v>20</v>
      </c>
      <c r="D23" s="151" t="s">
        <v>182</v>
      </c>
      <c r="E23" s="164">
        <f>SUM(E24:E26)</f>
        <v>391397</v>
      </c>
      <c r="F23" s="165">
        <f t="shared" ref="F23:I23" si="5">SUM(F24:F26)</f>
        <v>352830</v>
      </c>
      <c r="G23" s="165">
        <f t="shared" si="5"/>
        <v>318584</v>
      </c>
      <c r="H23" s="165">
        <f t="shared" si="5"/>
        <v>240447</v>
      </c>
      <c r="I23" s="166">
        <f t="shared" si="5"/>
        <v>304778</v>
      </c>
    </row>
    <row r="24" spans="1:9" ht="15.75" outlineLevel="2" thickTop="1" x14ac:dyDescent="0.25">
      <c r="A24" s="60" t="s">
        <v>224</v>
      </c>
      <c r="B24" s="61" t="s">
        <v>172</v>
      </c>
      <c r="C24" s="62">
        <v>21</v>
      </c>
      <c r="D24" s="46" t="s">
        <v>173</v>
      </c>
      <c r="E24" s="158">
        <v>4486</v>
      </c>
      <c r="F24" s="159">
        <v>5898</v>
      </c>
      <c r="G24" s="159">
        <v>6614</v>
      </c>
      <c r="H24" s="159">
        <v>10623</v>
      </c>
      <c r="I24" s="160">
        <v>641</v>
      </c>
    </row>
    <row r="25" spans="1:9" outlineLevel="2" x14ac:dyDescent="0.25">
      <c r="A25" s="60" t="s">
        <v>224</v>
      </c>
      <c r="B25" s="61" t="s">
        <v>174</v>
      </c>
      <c r="C25" s="62">
        <v>22</v>
      </c>
      <c r="D25" s="46" t="s">
        <v>175</v>
      </c>
      <c r="E25" s="158">
        <v>337922</v>
      </c>
      <c r="F25" s="159">
        <v>303835</v>
      </c>
      <c r="G25" s="159">
        <v>254384</v>
      </c>
      <c r="H25" s="159">
        <v>199300</v>
      </c>
      <c r="I25" s="160">
        <v>276051</v>
      </c>
    </row>
    <row r="26" spans="1:9" ht="15.75" outlineLevel="2" thickBot="1" x14ac:dyDescent="0.3">
      <c r="A26" s="60" t="s">
        <v>224</v>
      </c>
      <c r="B26" s="61" t="s">
        <v>348</v>
      </c>
      <c r="C26" s="62">
        <v>23</v>
      </c>
      <c r="D26" s="46" t="s">
        <v>349</v>
      </c>
      <c r="E26" s="158">
        <v>48989</v>
      </c>
      <c r="F26" s="159">
        <v>43097</v>
      </c>
      <c r="G26" s="159">
        <v>57586</v>
      </c>
      <c r="H26" s="159">
        <v>30524</v>
      </c>
      <c r="I26" s="160">
        <v>28086</v>
      </c>
    </row>
    <row r="27" spans="1:9" ht="16.5" outlineLevel="1" thickTop="1" thickBot="1" x14ac:dyDescent="0.3">
      <c r="A27" s="60" t="s">
        <v>225</v>
      </c>
      <c r="B27" s="150" t="s">
        <v>176</v>
      </c>
      <c r="C27" s="111">
        <v>24</v>
      </c>
      <c r="D27" s="151" t="s">
        <v>183</v>
      </c>
      <c r="E27" s="164">
        <f>SUM(E28:E32)</f>
        <v>264411</v>
      </c>
      <c r="F27" s="165">
        <f t="shared" ref="F27:I27" si="6">SUM(F28:F32)</f>
        <v>306519</v>
      </c>
      <c r="G27" s="165">
        <f t="shared" si="6"/>
        <v>255685</v>
      </c>
      <c r="H27" s="165">
        <f t="shared" si="6"/>
        <v>126441</v>
      </c>
      <c r="I27" s="166">
        <f t="shared" si="6"/>
        <v>212717</v>
      </c>
    </row>
    <row r="28" spans="1:9" ht="26.25" outlineLevel="2" thickTop="1" x14ac:dyDescent="0.25">
      <c r="A28" s="60" t="s">
        <v>225</v>
      </c>
      <c r="B28" s="61" t="s">
        <v>177</v>
      </c>
      <c r="C28" s="62">
        <v>25</v>
      </c>
      <c r="D28" s="46" t="s">
        <v>178</v>
      </c>
      <c r="E28" s="158">
        <v>1069</v>
      </c>
      <c r="F28" s="159">
        <v>3406</v>
      </c>
      <c r="G28" s="159">
        <v>3452</v>
      </c>
      <c r="H28" s="159">
        <v>9525</v>
      </c>
      <c r="I28" s="160">
        <v>63</v>
      </c>
    </row>
    <row r="29" spans="1:9" outlineLevel="2" x14ac:dyDescent="0.25">
      <c r="A29" s="60" t="s">
        <v>225</v>
      </c>
      <c r="B29" s="61" t="s">
        <v>179</v>
      </c>
      <c r="C29" s="62">
        <v>26</v>
      </c>
      <c r="D29" s="46" t="s">
        <v>353</v>
      </c>
      <c r="E29" s="158">
        <v>225242</v>
      </c>
      <c r="F29" s="159">
        <v>190185</v>
      </c>
      <c r="G29" s="159">
        <v>159344</v>
      </c>
      <c r="H29" s="159">
        <v>132040</v>
      </c>
      <c r="I29" s="160">
        <v>180514</v>
      </c>
    </row>
    <row r="30" spans="1:9" outlineLevel="2" x14ac:dyDescent="0.25">
      <c r="A30" s="60" t="s">
        <v>225</v>
      </c>
      <c r="B30" s="61" t="s">
        <v>350</v>
      </c>
      <c r="C30" s="62">
        <v>27</v>
      </c>
      <c r="D30" s="46" t="s">
        <v>169</v>
      </c>
      <c r="E30" s="158">
        <v>3182</v>
      </c>
      <c r="F30" s="159">
        <v>3508</v>
      </c>
      <c r="G30" s="159">
        <v>4508</v>
      </c>
      <c r="H30" s="159">
        <v>4273</v>
      </c>
      <c r="I30" s="160">
        <v>4278</v>
      </c>
    </row>
    <row r="31" spans="1:9" ht="25.5" outlineLevel="2" x14ac:dyDescent="0.25">
      <c r="A31" s="60" t="s">
        <v>225</v>
      </c>
      <c r="B31" s="61" t="s">
        <v>351</v>
      </c>
      <c r="C31" s="62">
        <v>28</v>
      </c>
      <c r="D31" s="46" t="s">
        <v>354</v>
      </c>
      <c r="E31" s="158">
        <v>-5775</v>
      </c>
      <c r="F31" s="159">
        <v>18942</v>
      </c>
      <c r="G31" s="159">
        <v>-22172</v>
      </c>
      <c r="H31" s="159">
        <v>-56029</v>
      </c>
      <c r="I31" s="160">
        <v>-9323</v>
      </c>
    </row>
    <row r="32" spans="1:9" ht="15.75" outlineLevel="2" thickBot="1" x14ac:dyDescent="0.3">
      <c r="A32" s="60" t="s">
        <v>225</v>
      </c>
      <c r="B32" s="61" t="s">
        <v>352</v>
      </c>
      <c r="C32" s="62">
        <v>29</v>
      </c>
      <c r="D32" s="46" t="s">
        <v>355</v>
      </c>
      <c r="E32" s="158">
        <v>40693</v>
      </c>
      <c r="F32" s="159">
        <v>90478</v>
      </c>
      <c r="G32" s="159">
        <v>110553</v>
      </c>
      <c r="H32" s="159">
        <v>36632</v>
      </c>
      <c r="I32" s="160">
        <v>37185</v>
      </c>
    </row>
    <row r="33" spans="1:9" ht="15.75" thickBot="1" x14ac:dyDescent="0.3">
      <c r="A33" s="60"/>
      <c r="B33" s="167" t="s">
        <v>185</v>
      </c>
      <c r="C33" s="112">
        <v>30</v>
      </c>
      <c r="D33" s="168" t="s">
        <v>186</v>
      </c>
      <c r="E33" s="169">
        <f>E4+E5-E6-E10-E11-E12-E17+E23-E27</f>
        <v>422376</v>
      </c>
      <c r="F33" s="170">
        <f t="shared" ref="F33:I33" si="7">F4+F5-F6-F10-F11-F12-F17+F23-F27</f>
        <v>378793</v>
      </c>
      <c r="G33" s="170">
        <f t="shared" si="7"/>
        <v>314726</v>
      </c>
      <c r="H33" s="170">
        <f t="shared" si="7"/>
        <v>217708</v>
      </c>
      <c r="I33" s="171">
        <f t="shared" si="7"/>
        <v>201278</v>
      </c>
    </row>
    <row r="34" spans="1:9" ht="16.5" outlineLevel="1" thickTop="1" thickBot="1" x14ac:dyDescent="0.3">
      <c r="A34" s="60" t="s">
        <v>224</v>
      </c>
      <c r="B34" s="150" t="s">
        <v>181</v>
      </c>
      <c r="C34" s="111">
        <v>31</v>
      </c>
      <c r="D34" s="151" t="s">
        <v>190</v>
      </c>
      <c r="E34" s="164">
        <f>SUM(E35:E36)</f>
        <v>39918</v>
      </c>
      <c r="F34" s="165">
        <f t="shared" ref="F34:I34" si="8">SUM(F35:F36)</f>
        <v>30996</v>
      </c>
      <c r="G34" s="165">
        <f t="shared" si="8"/>
        <v>25697</v>
      </c>
      <c r="H34" s="165">
        <f t="shared" si="8"/>
        <v>28794</v>
      </c>
      <c r="I34" s="166">
        <f t="shared" si="8"/>
        <v>45559</v>
      </c>
    </row>
    <row r="35" spans="1:9" ht="26.25" outlineLevel="2" thickTop="1" x14ac:dyDescent="0.25">
      <c r="A35" s="60" t="s">
        <v>224</v>
      </c>
      <c r="B35" s="61" t="s">
        <v>358</v>
      </c>
      <c r="C35" s="64">
        <v>32</v>
      </c>
      <c r="D35" s="46" t="s">
        <v>356</v>
      </c>
      <c r="E35" s="158">
        <v>39918</v>
      </c>
      <c r="F35" s="159">
        <v>30996</v>
      </c>
      <c r="G35" s="159">
        <v>25697</v>
      </c>
      <c r="H35" s="159">
        <v>27774</v>
      </c>
      <c r="I35" s="160">
        <v>44090</v>
      </c>
    </row>
    <row r="36" spans="1:9" ht="15.75" outlineLevel="2" thickBot="1" x14ac:dyDescent="0.3">
      <c r="A36" s="60" t="s">
        <v>224</v>
      </c>
      <c r="B36" s="61" t="s">
        <v>359</v>
      </c>
      <c r="C36" s="64">
        <v>33</v>
      </c>
      <c r="D36" s="46" t="s">
        <v>357</v>
      </c>
      <c r="E36" s="158">
        <v>0</v>
      </c>
      <c r="F36" s="159">
        <v>0</v>
      </c>
      <c r="G36" s="159">
        <v>0</v>
      </c>
      <c r="H36" s="159">
        <v>1020</v>
      </c>
      <c r="I36" s="160">
        <v>1469</v>
      </c>
    </row>
    <row r="37" spans="1:9" ht="16.5" outlineLevel="1" thickTop="1" thickBot="1" x14ac:dyDescent="0.3">
      <c r="A37" s="60" t="s">
        <v>225</v>
      </c>
      <c r="B37" s="150" t="s">
        <v>180</v>
      </c>
      <c r="C37" s="111">
        <v>34</v>
      </c>
      <c r="D37" s="151" t="s">
        <v>360</v>
      </c>
      <c r="E37" s="164">
        <v>300</v>
      </c>
      <c r="F37" s="165">
        <v>0</v>
      </c>
      <c r="G37" s="165">
        <v>0</v>
      </c>
      <c r="H37" s="165">
        <v>0</v>
      </c>
      <c r="I37" s="166">
        <v>0</v>
      </c>
    </row>
    <row r="38" spans="1:9" ht="16.5" outlineLevel="1" thickTop="1" thickBot="1" x14ac:dyDescent="0.3">
      <c r="A38" s="60" t="s">
        <v>224</v>
      </c>
      <c r="B38" s="150" t="s">
        <v>184</v>
      </c>
      <c r="C38" s="111">
        <v>35</v>
      </c>
      <c r="D38" s="151" t="s">
        <v>191</v>
      </c>
      <c r="E38" s="164">
        <f>SUM(E39:E40)</f>
        <v>300</v>
      </c>
      <c r="F38" s="165">
        <f t="shared" ref="F38:I38" si="9">SUM(F39:F40)</f>
        <v>0</v>
      </c>
      <c r="G38" s="165">
        <f t="shared" si="9"/>
        <v>0</v>
      </c>
      <c r="H38" s="165">
        <f t="shared" si="9"/>
        <v>0</v>
      </c>
      <c r="I38" s="166">
        <f t="shared" si="9"/>
        <v>0</v>
      </c>
    </row>
    <row r="39" spans="1:9" ht="26.25" outlineLevel="2" thickTop="1" x14ac:dyDescent="0.25">
      <c r="A39" s="60" t="s">
        <v>224</v>
      </c>
      <c r="B39" s="61" t="s">
        <v>361</v>
      </c>
      <c r="C39" s="64">
        <v>36</v>
      </c>
      <c r="D39" s="46" t="s">
        <v>191</v>
      </c>
      <c r="E39" s="158">
        <v>300</v>
      </c>
      <c r="F39" s="159">
        <v>0</v>
      </c>
      <c r="G39" s="159">
        <v>0</v>
      </c>
      <c r="H39" s="159">
        <v>0</v>
      </c>
      <c r="I39" s="160">
        <v>0</v>
      </c>
    </row>
    <row r="40" spans="1:9" ht="26.25" outlineLevel="2" thickBot="1" x14ac:dyDescent="0.3">
      <c r="A40" s="60" t="s">
        <v>224</v>
      </c>
      <c r="B40" s="61" t="s">
        <v>362</v>
      </c>
      <c r="C40" s="64">
        <v>37</v>
      </c>
      <c r="D40" s="46" t="s">
        <v>363</v>
      </c>
      <c r="E40" s="158">
        <v>0</v>
      </c>
      <c r="F40" s="159">
        <v>0</v>
      </c>
      <c r="G40" s="159">
        <v>0</v>
      </c>
      <c r="H40" s="159">
        <v>0</v>
      </c>
      <c r="I40" s="160">
        <v>0</v>
      </c>
    </row>
    <row r="41" spans="1:9" ht="27" outlineLevel="1" thickTop="1" thickBot="1" x14ac:dyDescent="0.3">
      <c r="A41" s="60" t="s">
        <v>225</v>
      </c>
      <c r="B41" s="150" t="s">
        <v>364</v>
      </c>
      <c r="C41" s="111">
        <v>38</v>
      </c>
      <c r="D41" s="172" t="s">
        <v>365</v>
      </c>
      <c r="E41" s="164"/>
      <c r="F41" s="165"/>
      <c r="G41" s="165"/>
      <c r="H41" s="165"/>
      <c r="I41" s="166"/>
    </row>
    <row r="42" spans="1:9" ht="16.5" outlineLevel="1" thickTop="1" thickBot="1" x14ac:dyDescent="0.3">
      <c r="A42" s="60" t="s">
        <v>224</v>
      </c>
      <c r="B42" s="150" t="s">
        <v>187</v>
      </c>
      <c r="C42" s="111">
        <v>39</v>
      </c>
      <c r="D42" s="151" t="s">
        <v>368</v>
      </c>
      <c r="E42" s="164">
        <f>SUM(E43:E44)</f>
        <v>16483</v>
      </c>
      <c r="F42" s="165">
        <f t="shared" ref="F42:I42" si="10">SUM(F43:F44)</f>
        <v>17063</v>
      </c>
      <c r="G42" s="165">
        <f t="shared" si="10"/>
        <v>8143</v>
      </c>
      <c r="H42" s="165">
        <f t="shared" si="10"/>
        <v>8266</v>
      </c>
      <c r="I42" s="166">
        <f t="shared" si="10"/>
        <v>44389</v>
      </c>
    </row>
    <row r="43" spans="1:9" ht="26.25" outlineLevel="2" thickTop="1" x14ac:dyDescent="0.25">
      <c r="A43" s="60" t="s">
        <v>224</v>
      </c>
      <c r="B43" s="61" t="s">
        <v>366</v>
      </c>
      <c r="C43" s="64">
        <v>40</v>
      </c>
      <c r="D43" s="46" t="s">
        <v>369</v>
      </c>
      <c r="E43" s="158">
        <v>16483</v>
      </c>
      <c r="F43" s="159">
        <v>17063</v>
      </c>
      <c r="G43" s="159">
        <v>8143</v>
      </c>
      <c r="H43" s="159">
        <v>7246</v>
      </c>
      <c r="I43" s="160">
        <v>42920</v>
      </c>
    </row>
    <row r="44" spans="1:9" ht="15.75" outlineLevel="2" thickBot="1" x14ac:dyDescent="0.3">
      <c r="A44" s="60" t="s">
        <v>224</v>
      </c>
      <c r="B44" s="61" t="s">
        <v>367</v>
      </c>
      <c r="C44" s="64">
        <v>41</v>
      </c>
      <c r="D44" s="46" t="s">
        <v>370</v>
      </c>
      <c r="E44" s="158">
        <v>0</v>
      </c>
      <c r="F44" s="159">
        <v>0</v>
      </c>
      <c r="G44" s="159">
        <v>0</v>
      </c>
      <c r="H44" s="159">
        <v>1020</v>
      </c>
      <c r="I44" s="160">
        <v>1469</v>
      </c>
    </row>
    <row r="45" spans="1:9" ht="16.5" outlineLevel="1" thickTop="1" thickBot="1" x14ac:dyDescent="0.3">
      <c r="A45" s="60" t="s">
        <v>225</v>
      </c>
      <c r="B45" s="150" t="s">
        <v>155</v>
      </c>
      <c r="C45" s="111">
        <v>42</v>
      </c>
      <c r="D45" s="151" t="s">
        <v>371</v>
      </c>
      <c r="E45" s="152">
        <v>-10721</v>
      </c>
      <c r="F45" s="153">
        <v>2861</v>
      </c>
      <c r="G45" s="153">
        <v>14367</v>
      </c>
      <c r="H45" s="153">
        <v>1879</v>
      </c>
      <c r="I45" s="154">
        <v>-800</v>
      </c>
    </row>
    <row r="46" spans="1:9" ht="16.5" outlineLevel="1" thickTop="1" thickBot="1" x14ac:dyDescent="0.3">
      <c r="A46" s="60" t="s">
        <v>225</v>
      </c>
      <c r="B46" s="150" t="s">
        <v>188</v>
      </c>
      <c r="C46" s="111">
        <v>43</v>
      </c>
      <c r="D46" s="151" t="s">
        <v>374</v>
      </c>
      <c r="E46" s="164">
        <f>SUM(E47:E48)</f>
        <v>60920</v>
      </c>
      <c r="F46" s="165">
        <f t="shared" ref="F46:I46" si="11">SUM(F47:F48)</f>
        <v>59952</v>
      </c>
      <c r="G46" s="165">
        <f t="shared" si="11"/>
        <v>22426</v>
      </c>
      <c r="H46" s="165">
        <f t="shared" si="11"/>
        <v>13625</v>
      </c>
      <c r="I46" s="166">
        <f t="shared" si="11"/>
        <v>15434</v>
      </c>
    </row>
    <row r="47" spans="1:9" ht="26.25" outlineLevel="2" thickTop="1" x14ac:dyDescent="0.25">
      <c r="A47" s="60" t="s">
        <v>225</v>
      </c>
      <c r="B47" s="61" t="s">
        <v>372</v>
      </c>
      <c r="C47" s="64">
        <v>44</v>
      </c>
      <c r="D47" s="46" t="s">
        <v>375</v>
      </c>
      <c r="E47" s="158">
        <v>60920</v>
      </c>
      <c r="F47" s="159">
        <v>59952</v>
      </c>
      <c r="G47" s="159">
        <v>22426</v>
      </c>
      <c r="H47" s="159">
        <v>13625</v>
      </c>
      <c r="I47" s="160">
        <v>15434</v>
      </c>
    </row>
    <row r="48" spans="1:9" ht="15.75" outlineLevel="2" thickBot="1" x14ac:dyDescent="0.3">
      <c r="A48" s="60" t="s">
        <v>225</v>
      </c>
      <c r="B48" s="61" t="s">
        <v>373</v>
      </c>
      <c r="C48" s="64">
        <v>45</v>
      </c>
      <c r="D48" s="46" t="s">
        <v>376</v>
      </c>
      <c r="E48" s="158"/>
      <c r="F48" s="159"/>
      <c r="G48" s="159"/>
      <c r="H48" s="159"/>
      <c r="I48" s="160"/>
    </row>
    <row r="49" spans="1:9" ht="16.5" outlineLevel="1" thickTop="1" thickBot="1" x14ac:dyDescent="0.3">
      <c r="A49" s="60" t="s">
        <v>224</v>
      </c>
      <c r="B49" s="150" t="s">
        <v>189</v>
      </c>
      <c r="C49" s="111">
        <v>46</v>
      </c>
      <c r="D49" s="151" t="s">
        <v>195</v>
      </c>
      <c r="E49" s="164">
        <v>16357</v>
      </c>
      <c r="F49" s="165">
        <v>31296</v>
      </c>
      <c r="G49" s="165">
        <v>17042</v>
      </c>
      <c r="H49" s="165">
        <v>20049</v>
      </c>
      <c r="I49" s="166">
        <v>22042</v>
      </c>
    </row>
    <row r="50" spans="1:9" ht="16.5" outlineLevel="1" thickTop="1" thickBot="1" x14ac:dyDescent="0.3">
      <c r="A50" s="60" t="s">
        <v>225</v>
      </c>
      <c r="B50" s="150" t="s">
        <v>192</v>
      </c>
      <c r="C50" s="111">
        <v>47</v>
      </c>
      <c r="D50" s="151" t="s">
        <v>196</v>
      </c>
      <c r="E50" s="164">
        <v>84824</v>
      </c>
      <c r="F50" s="165">
        <v>53767</v>
      </c>
      <c r="G50" s="165">
        <v>60917</v>
      </c>
      <c r="H50" s="165">
        <v>53918</v>
      </c>
      <c r="I50" s="166">
        <v>62329</v>
      </c>
    </row>
    <row r="51" spans="1:9" ht="16.5" thickTop="1" thickBot="1" x14ac:dyDescent="0.3">
      <c r="A51" s="60"/>
      <c r="B51" s="167" t="s">
        <v>185</v>
      </c>
      <c r="C51" s="112">
        <v>48</v>
      </c>
      <c r="D51" s="168" t="s">
        <v>197</v>
      </c>
      <c r="E51" s="169">
        <f>E34-E37+E38-E41+E42-E45-E46+E49-E50</f>
        <v>-62265</v>
      </c>
      <c r="F51" s="170">
        <f t="shared" ref="F51:I51" si="12">F34-F37+F38-F41+F42-F45-F46+F49-F50</f>
        <v>-37225</v>
      </c>
      <c r="G51" s="170">
        <f t="shared" si="12"/>
        <v>-46828</v>
      </c>
      <c r="H51" s="170">
        <f t="shared" si="12"/>
        <v>-12313</v>
      </c>
      <c r="I51" s="171">
        <f t="shared" si="12"/>
        <v>35027</v>
      </c>
    </row>
    <row r="52" spans="1:9" ht="15.75" thickBot="1" x14ac:dyDescent="0.3">
      <c r="A52" s="60"/>
      <c r="B52" s="167" t="s">
        <v>199</v>
      </c>
      <c r="C52" s="112">
        <v>49</v>
      </c>
      <c r="D52" s="168" t="s">
        <v>377</v>
      </c>
      <c r="E52" s="169">
        <f>E33+E51</f>
        <v>360111</v>
      </c>
      <c r="F52" s="170">
        <f t="shared" ref="F52:I52" si="13">F33+F51</f>
        <v>341568</v>
      </c>
      <c r="G52" s="170">
        <f t="shared" si="13"/>
        <v>267898</v>
      </c>
      <c r="H52" s="170">
        <f t="shared" si="13"/>
        <v>205395</v>
      </c>
      <c r="I52" s="171">
        <f t="shared" si="13"/>
        <v>236305</v>
      </c>
    </row>
    <row r="53" spans="1:9" ht="16.5" outlineLevel="1" thickTop="1" thickBot="1" x14ac:dyDescent="0.3">
      <c r="A53" s="60" t="s">
        <v>225</v>
      </c>
      <c r="B53" s="150" t="s">
        <v>193</v>
      </c>
      <c r="C53" s="111">
        <v>50</v>
      </c>
      <c r="D53" s="151" t="s">
        <v>198</v>
      </c>
      <c r="E53" s="164">
        <f>SUM(E54:E55)</f>
        <v>55455</v>
      </c>
      <c r="F53" s="165">
        <f t="shared" ref="F53:I53" si="14">SUM(F54:F55)</f>
        <v>66420</v>
      </c>
      <c r="G53" s="165">
        <f t="shared" si="14"/>
        <v>51108</v>
      </c>
      <c r="H53" s="165">
        <f t="shared" si="14"/>
        <v>19967</v>
      </c>
      <c r="I53" s="166">
        <f t="shared" si="14"/>
        <v>28506</v>
      </c>
    </row>
    <row r="54" spans="1:9" ht="15.75" outlineLevel="2" thickTop="1" x14ac:dyDescent="0.25">
      <c r="A54" s="60" t="s">
        <v>225</v>
      </c>
      <c r="B54" s="61" t="s">
        <v>378</v>
      </c>
      <c r="C54" s="64">
        <v>51</v>
      </c>
      <c r="D54" s="46" t="s">
        <v>380</v>
      </c>
      <c r="E54" s="158">
        <v>53159</v>
      </c>
      <c r="F54" s="159">
        <v>65995</v>
      </c>
      <c r="G54" s="159">
        <v>39308</v>
      </c>
      <c r="H54" s="159">
        <v>17690</v>
      </c>
      <c r="I54" s="160">
        <v>25404</v>
      </c>
    </row>
    <row r="55" spans="1:9" ht="15.75" outlineLevel="2" thickBot="1" x14ac:dyDescent="0.3">
      <c r="A55" s="60" t="s">
        <v>225</v>
      </c>
      <c r="B55" s="61" t="s">
        <v>379</v>
      </c>
      <c r="C55" s="64">
        <v>52</v>
      </c>
      <c r="D55" s="46" t="s">
        <v>381</v>
      </c>
      <c r="E55" s="158">
        <v>2296</v>
      </c>
      <c r="F55" s="159">
        <v>425</v>
      </c>
      <c r="G55" s="159">
        <v>11800</v>
      </c>
      <c r="H55" s="159">
        <v>2277</v>
      </c>
      <c r="I55" s="160">
        <v>3102</v>
      </c>
    </row>
    <row r="56" spans="1:9" ht="15.75" thickBot="1" x14ac:dyDescent="0.3">
      <c r="A56" s="60"/>
      <c r="B56" s="167" t="s">
        <v>199</v>
      </c>
      <c r="C56" s="112">
        <v>53</v>
      </c>
      <c r="D56" s="168" t="s">
        <v>382</v>
      </c>
      <c r="E56" s="169">
        <f>E52-E53</f>
        <v>304656</v>
      </c>
      <c r="F56" s="170">
        <f t="shared" ref="F56:I56" si="15">F52-F53</f>
        <v>275148</v>
      </c>
      <c r="G56" s="170">
        <f t="shared" si="15"/>
        <v>216790</v>
      </c>
      <c r="H56" s="170">
        <f t="shared" si="15"/>
        <v>185428</v>
      </c>
      <c r="I56" s="171">
        <f t="shared" si="15"/>
        <v>207799</v>
      </c>
    </row>
    <row r="57" spans="1:9" ht="26.25" outlineLevel="1" thickBot="1" x14ac:dyDescent="0.3">
      <c r="A57" s="60" t="s">
        <v>225</v>
      </c>
      <c r="B57" s="61" t="s">
        <v>194</v>
      </c>
      <c r="C57" s="64">
        <v>54</v>
      </c>
      <c r="D57" s="46" t="s">
        <v>383</v>
      </c>
      <c r="E57" s="158">
        <v>0</v>
      </c>
      <c r="F57" s="159">
        <v>0</v>
      </c>
      <c r="G57" s="159">
        <v>0</v>
      </c>
      <c r="H57" s="159">
        <v>0</v>
      </c>
      <c r="I57" s="160">
        <v>0</v>
      </c>
    </row>
    <row r="58" spans="1:9" ht="15.75" thickBot="1" x14ac:dyDescent="0.3">
      <c r="A58" s="60"/>
      <c r="B58" s="167" t="s">
        <v>200</v>
      </c>
      <c r="C58" s="112">
        <v>55</v>
      </c>
      <c r="D58" s="168" t="s">
        <v>384</v>
      </c>
      <c r="E58" s="169">
        <f>E56-E57</f>
        <v>304656</v>
      </c>
      <c r="F58" s="170">
        <f t="shared" ref="F58:I58" si="16">F56-F57</f>
        <v>275148</v>
      </c>
      <c r="G58" s="170">
        <f t="shared" si="16"/>
        <v>216790</v>
      </c>
      <c r="H58" s="170">
        <f t="shared" si="16"/>
        <v>185428</v>
      </c>
      <c r="I58" s="171">
        <f t="shared" si="16"/>
        <v>207799</v>
      </c>
    </row>
    <row r="59" spans="1:9" ht="15.75" thickBot="1" x14ac:dyDescent="0.3">
      <c r="A59" s="60"/>
      <c r="B59" s="167" t="s">
        <v>185</v>
      </c>
      <c r="C59" s="112">
        <v>56</v>
      </c>
      <c r="D59" s="168" t="s">
        <v>385</v>
      </c>
      <c r="E59" s="169">
        <f>SUM(E4,E5,E23,E34,E38,E42,E49)</f>
        <v>5483902</v>
      </c>
      <c r="F59" s="170">
        <f t="shared" ref="F59:I59" si="17">SUM(F4,F5,F23,F34,F38,F42,F49)</f>
        <v>5339525</v>
      </c>
      <c r="G59" s="170">
        <f t="shared" si="17"/>
        <v>4345836</v>
      </c>
      <c r="H59" s="170">
        <f t="shared" si="17"/>
        <v>3802535</v>
      </c>
      <c r="I59" s="171">
        <f t="shared" si="17"/>
        <v>4039249</v>
      </c>
    </row>
  </sheetData>
  <autoFilter ref="A3:I3" xr:uid="{00000000-0009-0000-0000-000001000000}"/>
  <mergeCells count="1">
    <mergeCell ref="B1:I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23"/>
  <sheetViews>
    <sheetView showGridLines="0" zoomScale="149" workbookViewId="0">
      <pane ySplit="2" topLeftCell="A3" activePane="bottomLeft" state="frozenSplit"/>
      <selection pane="bottomLeft" activeCell="C5" sqref="C5"/>
    </sheetView>
  </sheetViews>
  <sheetFormatPr defaultColWidth="9.140625" defaultRowHeight="15" x14ac:dyDescent="0.25"/>
  <cols>
    <col min="1" max="1" width="3.5703125" style="65" customWidth="1"/>
    <col min="2" max="2" width="28.5703125" style="65" customWidth="1"/>
    <col min="3" max="3" width="14.85546875" style="65" bestFit="1" customWidth="1"/>
    <col min="4" max="7" width="13.42578125" style="65" bestFit="1" customWidth="1"/>
    <col min="8" max="16384" width="9.140625" style="65"/>
  </cols>
  <sheetData>
    <row r="1" spans="2:8" ht="15.75" thickBot="1" x14ac:dyDescent="0.3"/>
    <row r="2" spans="2:8" ht="16.5" thickBot="1" x14ac:dyDescent="0.3">
      <c r="B2" s="305" t="s">
        <v>215</v>
      </c>
      <c r="C2" s="306"/>
      <c r="D2" s="306"/>
      <c r="E2" s="306"/>
      <c r="F2" s="306"/>
      <c r="G2" s="307"/>
    </row>
    <row r="3" spans="2:8" ht="5.0999999999999996" customHeight="1" thickBot="1" x14ac:dyDescent="0.3"/>
    <row r="4" spans="2:8" x14ac:dyDescent="0.25">
      <c r="B4" s="66"/>
      <c r="C4" s="30">
        <v>2015</v>
      </c>
      <c r="D4" s="30">
        <v>2016</v>
      </c>
      <c r="E4" s="30">
        <v>2017</v>
      </c>
      <c r="F4" s="30">
        <v>2018</v>
      </c>
      <c r="G4" s="31">
        <v>2019</v>
      </c>
    </row>
    <row r="5" spans="2:8" x14ac:dyDescent="0.25">
      <c r="B5" s="67" t="s">
        <v>216</v>
      </c>
      <c r="C5" s="68">
        <f>'Výkazy ZZ'!E52+'Výkazy ZZ'!E46</f>
        <v>421031</v>
      </c>
      <c r="D5" s="68">
        <f>'Výkazy ZZ'!F52+'Výkazy ZZ'!F46</f>
        <v>401520</v>
      </c>
      <c r="E5" s="68">
        <f>'Výkazy ZZ'!G52+'Výkazy ZZ'!G46</f>
        <v>290324</v>
      </c>
      <c r="F5" s="68">
        <f>'Výkazy ZZ'!H52+'Výkazy ZZ'!H46</f>
        <v>219020</v>
      </c>
      <c r="G5" s="69">
        <f>'Výkazy ZZ'!I52+'Výkazy ZZ'!I46</f>
        <v>251739</v>
      </c>
    </row>
    <row r="6" spans="2:8" x14ac:dyDescent="0.25">
      <c r="B6" s="70" t="s">
        <v>228</v>
      </c>
      <c r="C6" s="68">
        <f>SUM('Výkazy ZZ'!E4,'Výkazy ZZ'!E5)</f>
        <v>5019447</v>
      </c>
      <c r="D6" s="68">
        <f>SUM('Výkazy ZZ'!F4,'Výkazy ZZ'!F5)</f>
        <v>4907340</v>
      </c>
      <c r="E6" s="68">
        <f>SUM('Výkazy ZZ'!G4,'Výkazy ZZ'!G5)</f>
        <v>3976370</v>
      </c>
      <c r="F6" s="68">
        <f>SUM('Výkazy ZZ'!H4,'Výkazy ZZ'!H5)</f>
        <v>3504979</v>
      </c>
      <c r="G6" s="69">
        <f>SUM('Výkazy ZZ'!I4,'Výkazy ZZ'!I5)</f>
        <v>3622481</v>
      </c>
    </row>
    <row r="7" spans="2:8" x14ac:dyDescent="0.25">
      <c r="B7" s="70" t="s">
        <v>226</v>
      </c>
      <c r="C7" s="68">
        <f>'Výkazy ZZ'!E59</f>
        <v>5483902</v>
      </c>
      <c r="D7" s="68">
        <f>'Výkazy ZZ'!F59</f>
        <v>5339525</v>
      </c>
      <c r="E7" s="68">
        <f>'Výkazy ZZ'!G59</f>
        <v>4345836</v>
      </c>
      <c r="F7" s="68">
        <f>'Výkazy ZZ'!H59</f>
        <v>3802535</v>
      </c>
      <c r="G7" s="69">
        <f>'Výkazy ZZ'!I59</f>
        <v>4039249</v>
      </c>
    </row>
    <row r="8" spans="2:8" ht="15.75" thickBot="1" x14ac:dyDescent="0.3">
      <c r="B8" s="71" t="s">
        <v>227</v>
      </c>
      <c r="C8" s="72">
        <f>'Výkazy ZZ'!E59-'Výkazy ZZ'!E58</f>
        <v>5179246</v>
      </c>
      <c r="D8" s="72">
        <f>'Výkazy ZZ'!F59-'Výkazy ZZ'!F58</f>
        <v>5064377</v>
      </c>
      <c r="E8" s="72">
        <f>'Výkazy ZZ'!G59-'Výkazy ZZ'!G58</f>
        <v>4129046</v>
      </c>
      <c r="F8" s="72">
        <f>'Výkazy ZZ'!H59-'Výkazy ZZ'!H58</f>
        <v>3617107</v>
      </c>
      <c r="G8" s="73">
        <f>'Výkazy ZZ'!I59-'Výkazy ZZ'!I58</f>
        <v>3831450</v>
      </c>
    </row>
    <row r="9" spans="2:8" ht="15.75" thickBot="1" x14ac:dyDescent="0.3">
      <c r="C9" s="74"/>
      <c r="D9" s="74"/>
      <c r="E9" s="74"/>
      <c r="F9" s="74"/>
      <c r="G9" s="74"/>
    </row>
    <row r="10" spans="2:8" x14ac:dyDescent="0.25">
      <c r="B10" s="66"/>
      <c r="C10" s="30">
        <v>2015</v>
      </c>
      <c r="D10" s="30">
        <v>2016</v>
      </c>
      <c r="E10" s="30">
        <v>2017</v>
      </c>
      <c r="F10" s="30">
        <v>2018</v>
      </c>
      <c r="G10" s="31">
        <v>2019</v>
      </c>
    </row>
    <row r="11" spans="2:8" ht="15.75" thickBot="1" x14ac:dyDescent="0.3">
      <c r="B11" s="71" t="s">
        <v>217</v>
      </c>
      <c r="C11" s="113">
        <v>1835</v>
      </c>
      <c r="D11" s="113">
        <v>1867</v>
      </c>
      <c r="E11" s="113">
        <v>1754</v>
      </c>
      <c r="F11" s="113">
        <v>1557</v>
      </c>
      <c r="G11" s="114">
        <v>1380</v>
      </c>
    </row>
    <row r="12" spans="2:8" ht="15.75" thickBot="1" x14ac:dyDescent="0.3">
      <c r="B12" s="75"/>
      <c r="C12" s="76"/>
      <c r="D12" s="76"/>
      <c r="E12" s="76"/>
      <c r="F12" s="76"/>
      <c r="G12" s="76"/>
      <c r="H12" s="75"/>
    </row>
    <row r="13" spans="2:8" x14ac:dyDescent="0.25">
      <c r="B13" s="66"/>
      <c r="C13" s="30">
        <v>2015</v>
      </c>
      <c r="D13" s="30">
        <v>2016</v>
      </c>
      <c r="E13" s="30">
        <v>2017</v>
      </c>
      <c r="F13" s="30">
        <v>2018</v>
      </c>
      <c r="G13" s="31">
        <v>2019</v>
      </c>
    </row>
    <row r="14" spans="2:8" x14ac:dyDescent="0.25">
      <c r="B14" s="67" t="s">
        <v>218</v>
      </c>
      <c r="C14" s="115">
        <f>C5*1.8</f>
        <v>757855.8</v>
      </c>
      <c r="D14" s="115">
        <f>D5*1.8</f>
        <v>722736</v>
      </c>
      <c r="E14" s="115">
        <v>535695</v>
      </c>
      <c r="F14" s="115">
        <v>393504</v>
      </c>
      <c r="G14" s="116">
        <f>G5*1.8</f>
        <v>453130.2</v>
      </c>
    </row>
    <row r="15" spans="2:8" x14ac:dyDescent="0.25">
      <c r="B15" s="70" t="s">
        <v>219</v>
      </c>
      <c r="C15" s="115">
        <f>C14/-15</f>
        <v>-50523.72</v>
      </c>
      <c r="D15" s="115">
        <f>D14/-15</f>
        <v>-48182.400000000001</v>
      </c>
      <c r="E15" s="115">
        <v>-52265</v>
      </c>
      <c r="F15" s="115">
        <v>-18270</v>
      </c>
      <c r="G15" s="116">
        <f>G14/-15</f>
        <v>-30208.68</v>
      </c>
    </row>
    <row r="16" spans="2:8" x14ac:dyDescent="0.25">
      <c r="B16" s="70" t="s">
        <v>220</v>
      </c>
      <c r="C16" s="115">
        <f>C15*12</f>
        <v>-606284.64</v>
      </c>
      <c r="D16" s="115">
        <f>D15*12</f>
        <v>-578188.80000000005</v>
      </c>
      <c r="E16" s="115">
        <v>-453281</v>
      </c>
      <c r="F16" s="115">
        <v>-265825</v>
      </c>
      <c r="G16" s="116">
        <f>G15*12</f>
        <v>-362504.16000000003</v>
      </c>
    </row>
    <row r="17" spans="2:7" ht="15.75" thickBot="1" x14ac:dyDescent="0.3">
      <c r="B17" s="71" t="s">
        <v>221</v>
      </c>
      <c r="C17" s="117">
        <f>SUM(C14:C16)</f>
        <v>101047.44000000006</v>
      </c>
      <c r="D17" s="117">
        <f>SUM(D14:D16)</f>
        <v>96364.79999999993</v>
      </c>
      <c r="E17" s="117">
        <f>SUM(E14:E16)</f>
        <v>30149</v>
      </c>
      <c r="F17" s="117">
        <f>SUM(F14:F16)</f>
        <v>109409</v>
      </c>
      <c r="G17" s="118">
        <f>SUM(G14:G16)</f>
        <v>60417.359999999986</v>
      </c>
    </row>
    <row r="18" spans="2:7" ht="15.75" hidden="1" thickBot="1" x14ac:dyDescent="0.3">
      <c r="B18" s="71" t="s">
        <v>222</v>
      </c>
      <c r="C18" s="72">
        <v>36090</v>
      </c>
      <c r="D18" s="72">
        <v>44459</v>
      </c>
      <c r="E18" s="72">
        <v>35071</v>
      </c>
      <c r="F18" s="72">
        <v>54311</v>
      </c>
      <c r="G18" s="73">
        <v>85537</v>
      </c>
    </row>
    <row r="19" spans="2:7" ht="15.75" thickBot="1" x14ac:dyDescent="0.3">
      <c r="C19" s="74"/>
      <c r="D19" s="74"/>
      <c r="E19" s="74"/>
      <c r="F19" s="74"/>
      <c r="G19" s="74"/>
    </row>
    <row r="20" spans="2:7" x14ac:dyDescent="0.25">
      <c r="B20" s="66"/>
      <c r="C20" s="30">
        <v>2015</v>
      </c>
      <c r="D20" s="30">
        <v>2016</v>
      </c>
      <c r="E20" s="30">
        <v>2017</v>
      </c>
      <c r="F20" s="30">
        <v>2018</v>
      </c>
      <c r="G20" s="31">
        <v>2019</v>
      </c>
    </row>
    <row r="21" spans="2:7" ht="15.75" thickBot="1" x14ac:dyDescent="0.3">
      <c r="B21" s="77" t="s">
        <v>223</v>
      </c>
      <c r="C21" s="78">
        <f>SUM(Rozvahy!E42,Rozvahy!E60,Rozvahy!E74,Rozvahy!E71)-Rozvahy!E126</f>
        <v>350652</v>
      </c>
      <c r="D21" s="78">
        <f>SUM(Rozvahy!F42,Rozvahy!F60,Rozvahy!F74,Rozvahy!F71)-Rozvahy!F126</f>
        <v>596366</v>
      </c>
      <c r="E21" s="78">
        <f>SUM(Rozvahy!G42,Rozvahy!G60,Rozvahy!G74,Rozvahy!G71)-Rozvahy!G126</f>
        <v>451063</v>
      </c>
      <c r="F21" s="78">
        <f>SUM(Rozvahy!H42,Rozvahy!H60,Rozvahy!H74,Rozvahy!H71)-Rozvahy!H126</f>
        <v>767810</v>
      </c>
      <c r="G21" s="79">
        <f>SUM(Rozvahy!I42,Rozvahy!I60,Rozvahy!I74,Rozvahy!I71)-Rozvahy!I126</f>
        <v>654467</v>
      </c>
    </row>
    <row r="23" spans="2:7" x14ac:dyDescent="0.25">
      <c r="B23" s="80" t="s">
        <v>386</v>
      </c>
    </row>
  </sheetData>
  <mergeCells count="1">
    <mergeCell ref="B2:G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B1:T148"/>
  <sheetViews>
    <sheetView showGridLines="0" zoomScale="115" zoomScaleNormal="115" workbookViewId="0">
      <pane xSplit="4" ySplit="3" topLeftCell="K4" activePane="bottomRight" state="frozen"/>
      <selection pane="topRight" activeCell="E1" sqref="E1"/>
      <selection pane="bottomLeft" activeCell="A4" sqref="A4"/>
      <selection pane="bottomRight" activeCell="M9" sqref="M9"/>
    </sheetView>
  </sheetViews>
  <sheetFormatPr defaultColWidth="9.140625" defaultRowHeight="15" outlineLevelRow="3" x14ac:dyDescent="0.25"/>
  <cols>
    <col min="1" max="1" width="3.5703125" style="38" customWidth="1"/>
    <col min="2" max="2" width="8.5703125" style="39" hidden="1" customWidth="1"/>
    <col min="3" max="3" width="7.85546875" style="39" hidden="1" customWidth="1"/>
    <col min="4" max="4" width="40.5703125" style="38" customWidth="1"/>
    <col min="5" max="6" width="12.5703125" style="38" bestFit="1" customWidth="1"/>
    <col min="7" max="9" width="12.85546875" style="38" bestFit="1" customWidth="1"/>
    <col min="10" max="10" width="2.5703125" style="38" customWidth="1"/>
    <col min="11" max="15" width="9.140625" style="38" bestFit="1" customWidth="1"/>
    <col min="16" max="16" width="2.5703125" style="38" customWidth="1"/>
    <col min="17" max="20" width="9.140625" style="38" bestFit="1" customWidth="1"/>
    <col min="21" max="16384" width="9.140625" style="38"/>
  </cols>
  <sheetData>
    <row r="1" spans="2:20" ht="15.75" thickBot="1" x14ac:dyDescent="0.3">
      <c r="B1" s="301" t="s">
        <v>0</v>
      </c>
      <c r="C1" s="302"/>
      <c r="D1" s="302"/>
      <c r="E1" s="302"/>
      <c r="F1" s="302"/>
      <c r="G1" s="302"/>
      <c r="H1" s="302"/>
      <c r="I1" s="302"/>
      <c r="K1" s="303" t="s">
        <v>387</v>
      </c>
      <c r="L1" s="304"/>
      <c r="M1" s="304"/>
      <c r="N1" s="304"/>
      <c r="O1" s="308"/>
      <c r="Q1" s="303" t="s">
        <v>388</v>
      </c>
      <c r="R1" s="304"/>
      <c r="S1" s="304"/>
      <c r="T1" s="308"/>
    </row>
    <row r="2" spans="2:20" ht="5.0999999999999996" customHeight="1" thickBot="1" x14ac:dyDescent="0.3"/>
    <row r="3" spans="2:20" ht="15.75" thickBot="1" x14ac:dyDescent="0.3">
      <c r="B3" s="1"/>
      <c r="C3" s="2"/>
      <c r="D3" s="3"/>
      <c r="E3" s="105">
        <v>2015</v>
      </c>
      <c r="F3" s="105">
        <v>2016</v>
      </c>
      <c r="G3" s="105">
        <v>2017</v>
      </c>
      <c r="H3" s="105">
        <v>2018</v>
      </c>
      <c r="I3" s="105">
        <v>2019</v>
      </c>
      <c r="K3" s="104">
        <v>2015</v>
      </c>
      <c r="L3" s="105">
        <v>2016</v>
      </c>
      <c r="M3" s="105">
        <v>2017</v>
      </c>
      <c r="N3" s="105">
        <v>2018</v>
      </c>
      <c r="O3" s="193">
        <v>2019</v>
      </c>
      <c r="Q3" s="104">
        <v>2016</v>
      </c>
      <c r="R3" s="105">
        <v>2017</v>
      </c>
      <c r="S3" s="105">
        <v>2018</v>
      </c>
      <c r="T3" s="193">
        <v>2019</v>
      </c>
    </row>
    <row r="4" spans="2:20" ht="15.75" collapsed="1" thickBot="1" x14ac:dyDescent="0.3">
      <c r="B4" s="1"/>
      <c r="C4" s="2">
        <v>1</v>
      </c>
      <c r="D4" s="5" t="s">
        <v>1</v>
      </c>
      <c r="E4" s="1">
        <f>SUM(E5,E6,E40,E77)</f>
        <v>5069059</v>
      </c>
      <c r="F4" s="4">
        <f>SUM(F5,F6,F40,F77)</f>
        <v>4477350</v>
      </c>
      <c r="G4" s="4">
        <f>SUM(G5,G6,G40,G77)</f>
        <v>4006941</v>
      </c>
      <c r="H4" s="4">
        <f>SUM(H5,H6,H40,H77)</f>
        <v>3711542</v>
      </c>
      <c r="I4" s="2">
        <f>SUM(I5,I6,I40,I77)</f>
        <v>3703392</v>
      </c>
      <c r="K4" s="189">
        <f>1</f>
        <v>1</v>
      </c>
      <c r="L4" s="189">
        <f>1</f>
        <v>1</v>
      </c>
      <c r="M4" s="189">
        <f>1</f>
        <v>1</v>
      </c>
      <c r="N4" s="189">
        <f>1</f>
        <v>1</v>
      </c>
      <c r="O4" s="189">
        <f>1</f>
        <v>1</v>
      </c>
      <c r="Q4" s="189">
        <f>IFERROR((F4/E4)-1,"-")</f>
        <v>-0.11672955473589874</v>
      </c>
      <c r="R4" s="189">
        <f t="shared" ref="R4:R67" si="0">IFERROR((G4/F4)-1,"-")</f>
        <v>-0.10506415625314081</v>
      </c>
      <c r="S4" s="189">
        <f t="shared" ref="S4:S67" si="1">IFERROR((H4/G4)-1,"-")</f>
        <v>-7.3721824204549091E-2</v>
      </c>
      <c r="T4" s="189">
        <f t="shared" ref="T4:T67" si="2">IFERROR((I4/H4)-1,"-")</f>
        <v>-2.1958528288242851E-3</v>
      </c>
    </row>
    <row r="5" spans="2:20" ht="15.75" hidden="1" outlineLevel="1" thickBot="1" x14ac:dyDescent="0.3">
      <c r="B5" s="40" t="s">
        <v>2</v>
      </c>
      <c r="C5" s="41">
        <v>2</v>
      </c>
      <c r="D5" s="42" t="s">
        <v>3</v>
      </c>
      <c r="E5" s="40">
        <v>0</v>
      </c>
      <c r="F5" s="43">
        <v>0</v>
      </c>
      <c r="G5" s="43">
        <v>0</v>
      </c>
      <c r="H5" s="43">
        <v>0</v>
      </c>
      <c r="I5" s="41">
        <v>0</v>
      </c>
      <c r="K5" s="182">
        <f>E5/E$4</f>
        <v>0</v>
      </c>
      <c r="L5" s="182">
        <f t="shared" ref="L5:O5" si="3">F5/F$4</f>
        <v>0</v>
      </c>
      <c r="M5" s="182">
        <f t="shared" si="3"/>
        <v>0</v>
      </c>
      <c r="N5" s="182">
        <f t="shared" si="3"/>
        <v>0</v>
      </c>
      <c r="O5" s="182">
        <f t="shared" si="3"/>
        <v>0</v>
      </c>
      <c r="Q5" s="182" t="str">
        <f t="shared" ref="Q5:Q68" si="4">IFERROR((F5/E5)-1,"-")</f>
        <v>-</v>
      </c>
      <c r="R5" s="182" t="str">
        <f t="shared" si="0"/>
        <v>-</v>
      </c>
      <c r="S5" s="182" t="str">
        <f t="shared" si="1"/>
        <v>-</v>
      </c>
      <c r="T5" s="182" t="str">
        <f t="shared" si="2"/>
        <v>-</v>
      </c>
    </row>
    <row r="6" spans="2:20" ht="15.75" hidden="1" outlineLevel="1" thickBot="1" x14ac:dyDescent="0.3">
      <c r="B6" s="40" t="s">
        <v>4</v>
      </c>
      <c r="C6" s="41">
        <v>3</v>
      </c>
      <c r="D6" s="42" t="s">
        <v>5</v>
      </c>
      <c r="E6" s="40">
        <f>SUM(E7,E17,E30)</f>
        <v>996515</v>
      </c>
      <c r="F6" s="43">
        <f t="shared" ref="F6:I6" si="5">SUM(F7,F17,F30)</f>
        <v>899325</v>
      </c>
      <c r="G6" s="43">
        <f t="shared" si="5"/>
        <v>977237</v>
      </c>
      <c r="H6" s="43">
        <f t="shared" si="5"/>
        <v>750217</v>
      </c>
      <c r="I6" s="41">
        <f t="shared" si="5"/>
        <v>771390</v>
      </c>
      <c r="K6" s="182">
        <f t="shared" ref="K6:K69" si="6">E6/E$4</f>
        <v>0.19658776905141565</v>
      </c>
      <c r="L6" s="182">
        <f t="shared" ref="L6:L69" si="7">F6/F$4</f>
        <v>0.20086100036852156</v>
      </c>
      <c r="M6" s="182">
        <f t="shared" ref="M6:M69" si="8">G6/G$4</f>
        <v>0.24388604673739891</v>
      </c>
      <c r="N6" s="182">
        <f t="shared" ref="N6:N69" si="9">H6/H$4</f>
        <v>0.20213081247632386</v>
      </c>
      <c r="O6" s="182">
        <f t="shared" ref="O6:O69" si="10">I6/I$4</f>
        <v>0.20829282992456646</v>
      </c>
      <c r="Q6" s="182">
        <f t="shared" si="4"/>
        <v>-9.7529891672478608E-2</v>
      </c>
      <c r="R6" s="182">
        <f t="shared" si="0"/>
        <v>8.663386428710429E-2</v>
      </c>
      <c r="S6" s="182">
        <f t="shared" si="1"/>
        <v>-0.23230802763301017</v>
      </c>
      <c r="T6" s="182">
        <f t="shared" si="2"/>
        <v>2.8222500956389895E-2</v>
      </c>
    </row>
    <row r="7" spans="2:20" ht="15.75" hidden="1" outlineLevel="2" thickBot="1" x14ac:dyDescent="0.3">
      <c r="B7" s="6" t="s">
        <v>6</v>
      </c>
      <c r="C7" s="7">
        <v>4</v>
      </c>
      <c r="D7" s="8" t="s">
        <v>7</v>
      </c>
      <c r="E7" s="6">
        <f>SUM(E8:E16)</f>
        <v>46013</v>
      </c>
      <c r="F7" s="9">
        <f t="shared" ref="F7:I7" si="11">SUM(F8:F16)</f>
        <v>21236</v>
      </c>
      <c r="G7" s="9">
        <f t="shared" si="11"/>
        <v>8938</v>
      </c>
      <c r="H7" s="9">
        <f t="shared" si="11"/>
        <v>18431</v>
      </c>
      <c r="I7" s="7">
        <f t="shared" si="11"/>
        <v>14434</v>
      </c>
      <c r="K7" s="183">
        <f t="shared" si="6"/>
        <v>9.0772271539944598E-3</v>
      </c>
      <c r="L7" s="183">
        <f t="shared" si="7"/>
        <v>4.7429841312383444E-3</v>
      </c>
      <c r="M7" s="183">
        <f t="shared" si="8"/>
        <v>2.2306293005062965E-3</v>
      </c>
      <c r="N7" s="183">
        <f t="shared" si="9"/>
        <v>4.965860550682169E-3</v>
      </c>
      <c r="O7" s="183">
        <f t="shared" si="10"/>
        <v>3.8975080142744814E-3</v>
      </c>
      <c r="Q7" s="183">
        <f t="shared" si="4"/>
        <v>-0.53847825614500255</v>
      </c>
      <c r="R7" s="183">
        <f t="shared" si="0"/>
        <v>-0.5791109436805425</v>
      </c>
      <c r="S7" s="183">
        <f t="shared" si="1"/>
        <v>1.0620944282837326</v>
      </c>
      <c r="T7" s="183">
        <f t="shared" si="2"/>
        <v>-0.21686289403721992</v>
      </c>
    </row>
    <row r="8" spans="2:20" ht="15.75" hidden="1" outlineLevel="3" thickTop="1" x14ac:dyDescent="0.25">
      <c r="B8" s="44" t="s">
        <v>8</v>
      </c>
      <c r="C8" s="45">
        <v>5</v>
      </c>
      <c r="D8" s="46" t="s">
        <v>10</v>
      </c>
      <c r="E8" s="47">
        <v>0</v>
      </c>
      <c r="F8" s="48">
        <v>0</v>
      </c>
      <c r="G8" s="48">
        <v>0</v>
      </c>
      <c r="H8" s="48">
        <v>0</v>
      </c>
      <c r="I8" s="63">
        <v>0</v>
      </c>
      <c r="K8" s="184">
        <f t="shared" si="6"/>
        <v>0</v>
      </c>
      <c r="L8" s="184">
        <f t="shared" si="7"/>
        <v>0</v>
      </c>
      <c r="M8" s="184">
        <f t="shared" si="8"/>
        <v>0</v>
      </c>
      <c r="N8" s="184">
        <f t="shared" si="9"/>
        <v>0</v>
      </c>
      <c r="O8" s="184">
        <f t="shared" si="10"/>
        <v>0</v>
      </c>
      <c r="Q8" s="184" t="str">
        <f t="shared" si="4"/>
        <v>-</v>
      </c>
      <c r="R8" s="184" t="str">
        <f t="shared" si="0"/>
        <v>-</v>
      </c>
      <c r="S8" s="184" t="str">
        <f t="shared" si="1"/>
        <v>-</v>
      </c>
      <c r="T8" s="184" t="str">
        <f t="shared" si="2"/>
        <v>-</v>
      </c>
    </row>
    <row r="9" spans="2:20" hidden="1" outlineLevel="3" x14ac:dyDescent="0.25">
      <c r="B9" s="44" t="s">
        <v>9</v>
      </c>
      <c r="C9" s="45">
        <v>6</v>
      </c>
      <c r="D9" s="46" t="s">
        <v>14</v>
      </c>
      <c r="E9" s="47">
        <f>SUM(E10:E11)</f>
        <v>20876</v>
      </c>
      <c r="F9" s="48">
        <f t="shared" ref="F9:I9" si="12">SUM(F10:F11)</f>
        <v>10510</v>
      </c>
      <c r="G9" s="48">
        <f t="shared" si="12"/>
        <v>4393</v>
      </c>
      <c r="H9" s="48">
        <f t="shared" si="12"/>
        <v>9172</v>
      </c>
      <c r="I9" s="63">
        <f t="shared" si="12"/>
        <v>7106</v>
      </c>
      <c r="K9" s="184">
        <f t="shared" si="6"/>
        <v>4.1183186070629678E-3</v>
      </c>
      <c r="L9" s="184">
        <f t="shared" si="7"/>
        <v>2.3473706545166224E-3</v>
      </c>
      <c r="M9" s="184">
        <f t="shared" si="8"/>
        <v>1.0963475628914924E-3</v>
      </c>
      <c r="N9" s="184">
        <f t="shared" si="9"/>
        <v>2.4712100792608572E-3</v>
      </c>
      <c r="O9" s="184">
        <f t="shared" si="10"/>
        <v>1.9187814846497481E-3</v>
      </c>
      <c r="Q9" s="184">
        <f t="shared" si="4"/>
        <v>-0.49655106342211153</v>
      </c>
      <c r="R9" s="184">
        <f t="shared" si="0"/>
        <v>-0.58201712654614646</v>
      </c>
      <c r="S9" s="184">
        <f t="shared" si="1"/>
        <v>1.0878670612337809</v>
      </c>
      <c r="T9" s="184">
        <f t="shared" si="2"/>
        <v>-0.22525076319232451</v>
      </c>
    </row>
    <row r="10" spans="2:20" hidden="1" outlineLevel="3" x14ac:dyDescent="0.25">
      <c r="B10" s="86" t="s">
        <v>240</v>
      </c>
      <c r="C10" s="45">
        <v>7</v>
      </c>
      <c r="D10" s="83" t="s">
        <v>12</v>
      </c>
      <c r="E10" s="84">
        <v>20876</v>
      </c>
      <c r="F10" s="85">
        <v>10510</v>
      </c>
      <c r="G10" s="85">
        <v>4393</v>
      </c>
      <c r="H10" s="85">
        <v>9172</v>
      </c>
      <c r="I10" s="100">
        <v>7106</v>
      </c>
      <c r="K10" s="185">
        <f t="shared" si="6"/>
        <v>4.1183186070629678E-3</v>
      </c>
      <c r="L10" s="185">
        <f t="shared" si="7"/>
        <v>2.3473706545166224E-3</v>
      </c>
      <c r="M10" s="185">
        <f t="shared" si="8"/>
        <v>1.0963475628914924E-3</v>
      </c>
      <c r="N10" s="185">
        <f t="shared" si="9"/>
        <v>2.4712100792608572E-3</v>
      </c>
      <c r="O10" s="185">
        <f t="shared" si="10"/>
        <v>1.9187814846497481E-3</v>
      </c>
      <c r="Q10" s="185">
        <f t="shared" si="4"/>
        <v>-0.49655106342211153</v>
      </c>
      <c r="R10" s="185">
        <f t="shared" si="0"/>
        <v>-0.58201712654614646</v>
      </c>
      <c r="S10" s="185">
        <f t="shared" si="1"/>
        <v>1.0878670612337809</v>
      </c>
      <c r="T10" s="185">
        <f t="shared" si="2"/>
        <v>-0.22525076319232451</v>
      </c>
    </row>
    <row r="11" spans="2:20" hidden="1" outlineLevel="3" x14ac:dyDescent="0.25">
      <c r="B11" s="86" t="s">
        <v>242</v>
      </c>
      <c r="C11" s="45">
        <v>8</v>
      </c>
      <c r="D11" s="83" t="s">
        <v>241</v>
      </c>
      <c r="E11" s="84">
        <v>0</v>
      </c>
      <c r="F11" s="85">
        <v>0</v>
      </c>
      <c r="G11" s="85">
        <v>0</v>
      </c>
      <c r="H11" s="85">
        <v>0</v>
      </c>
      <c r="I11" s="100">
        <v>0</v>
      </c>
      <c r="K11" s="185">
        <f t="shared" si="6"/>
        <v>0</v>
      </c>
      <c r="L11" s="185">
        <f t="shared" si="7"/>
        <v>0</v>
      </c>
      <c r="M11" s="185">
        <f t="shared" si="8"/>
        <v>0</v>
      </c>
      <c r="N11" s="185">
        <f t="shared" si="9"/>
        <v>0</v>
      </c>
      <c r="O11" s="185">
        <f t="shared" si="10"/>
        <v>0</v>
      </c>
      <c r="Q11" s="185" t="str">
        <f t="shared" si="4"/>
        <v>-</v>
      </c>
      <c r="R11" s="185" t="str">
        <f t="shared" si="0"/>
        <v>-</v>
      </c>
      <c r="S11" s="185" t="str">
        <f t="shared" si="1"/>
        <v>-</v>
      </c>
      <c r="T11" s="185" t="str">
        <f t="shared" si="2"/>
        <v>-</v>
      </c>
    </row>
    <row r="12" spans="2:20" hidden="1" outlineLevel="3" x14ac:dyDescent="0.25">
      <c r="B12" s="44" t="s">
        <v>11</v>
      </c>
      <c r="C12" s="45">
        <v>9</v>
      </c>
      <c r="D12" s="46" t="s">
        <v>16</v>
      </c>
      <c r="E12" s="47">
        <v>0</v>
      </c>
      <c r="F12" s="48">
        <v>0</v>
      </c>
      <c r="G12" s="48">
        <v>0</v>
      </c>
      <c r="H12" s="48">
        <v>0</v>
      </c>
      <c r="I12" s="63">
        <v>0</v>
      </c>
      <c r="K12" s="184">
        <f t="shared" si="6"/>
        <v>0</v>
      </c>
      <c r="L12" s="184">
        <f t="shared" si="7"/>
        <v>0</v>
      </c>
      <c r="M12" s="184">
        <f t="shared" si="8"/>
        <v>0</v>
      </c>
      <c r="N12" s="184">
        <f t="shared" si="9"/>
        <v>0</v>
      </c>
      <c r="O12" s="184">
        <f t="shared" si="10"/>
        <v>0</v>
      </c>
      <c r="Q12" s="184" t="str">
        <f t="shared" si="4"/>
        <v>-</v>
      </c>
      <c r="R12" s="184" t="str">
        <f t="shared" si="0"/>
        <v>-</v>
      </c>
      <c r="S12" s="184" t="str">
        <f t="shared" si="1"/>
        <v>-</v>
      </c>
      <c r="T12" s="184" t="str">
        <f t="shared" si="2"/>
        <v>-</v>
      </c>
    </row>
    <row r="13" spans="2:20" hidden="1" outlineLevel="3" x14ac:dyDescent="0.25">
      <c r="B13" s="44" t="s">
        <v>13</v>
      </c>
      <c r="C13" s="45">
        <v>10</v>
      </c>
      <c r="D13" s="46" t="s">
        <v>243</v>
      </c>
      <c r="E13" s="47">
        <v>281</v>
      </c>
      <c r="F13" s="48">
        <v>216</v>
      </c>
      <c r="G13" s="48">
        <v>152</v>
      </c>
      <c r="H13" s="48">
        <v>87</v>
      </c>
      <c r="I13" s="63">
        <v>22</v>
      </c>
      <c r="K13" s="184">
        <f t="shared" si="6"/>
        <v>5.5434351819538893E-5</v>
      </c>
      <c r="L13" s="184">
        <f t="shared" si="7"/>
        <v>4.8242822205098998E-5</v>
      </c>
      <c r="M13" s="184">
        <f t="shared" si="8"/>
        <v>3.7934174723311374E-5</v>
      </c>
      <c r="N13" s="184">
        <f t="shared" si="9"/>
        <v>2.3440392160455143E-5</v>
      </c>
      <c r="O13" s="184">
        <f t="shared" si="10"/>
        <v>5.9404999524760003E-6</v>
      </c>
      <c r="Q13" s="184">
        <f t="shared" si="4"/>
        <v>-0.23131672597864772</v>
      </c>
      <c r="R13" s="184">
        <f t="shared" si="0"/>
        <v>-0.29629629629629628</v>
      </c>
      <c r="S13" s="184">
        <f t="shared" si="1"/>
        <v>-0.42763157894736847</v>
      </c>
      <c r="T13" s="184">
        <f t="shared" si="2"/>
        <v>-0.74712643678160917</v>
      </c>
    </row>
    <row r="14" spans="2:20" ht="38.25" hidden="1" outlineLevel="3" x14ac:dyDescent="0.25">
      <c r="B14" s="44" t="s">
        <v>15</v>
      </c>
      <c r="C14" s="45">
        <v>11</v>
      </c>
      <c r="D14" s="46" t="s">
        <v>246</v>
      </c>
      <c r="E14" s="47">
        <f>SUM(E15:E16)</f>
        <v>1990</v>
      </c>
      <c r="F14" s="48">
        <f t="shared" ref="F14:I14" si="13">SUM(F15:F16)</f>
        <v>0</v>
      </c>
      <c r="G14" s="48">
        <f t="shared" si="13"/>
        <v>0</v>
      </c>
      <c r="H14" s="48">
        <f t="shared" si="13"/>
        <v>0</v>
      </c>
      <c r="I14" s="63">
        <f t="shared" si="13"/>
        <v>100</v>
      </c>
      <c r="K14" s="184">
        <f t="shared" si="6"/>
        <v>3.925777940244925E-4</v>
      </c>
      <c r="L14" s="184">
        <f t="shared" si="7"/>
        <v>0</v>
      </c>
      <c r="M14" s="184">
        <f t="shared" si="8"/>
        <v>0</v>
      </c>
      <c r="N14" s="184">
        <f t="shared" si="9"/>
        <v>0</v>
      </c>
      <c r="O14" s="184">
        <f t="shared" si="10"/>
        <v>2.7002272511254546E-5</v>
      </c>
      <c r="Q14" s="184">
        <f t="shared" si="4"/>
        <v>-1</v>
      </c>
      <c r="R14" s="184" t="str">
        <f t="shared" si="0"/>
        <v>-</v>
      </c>
      <c r="S14" s="184" t="str">
        <f t="shared" si="1"/>
        <v>-</v>
      </c>
      <c r="T14" s="184" t="str">
        <f t="shared" si="2"/>
        <v>-</v>
      </c>
    </row>
    <row r="15" spans="2:20" ht="25.5" hidden="1" outlineLevel="3" x14ac:dyDescent="0.25">
      <c r="B15" s="86" t="s">
        <v>244</v>
      </c>
      <c r="C15" s="45">
        <v>12</v>
      </c>
      <c r="D15" s="83" t="s">
        <v>18</v>
      </c>
      <c r="E15" s="84">
        <v>0</v>
      </c>
      <c r="F15" s="85">
        <v>0</v>
      </c>
      <c r="G15" s="85">
        <v>0</v>
      </c>
      <c r="H15" s="85">
        <v>0</v>
      </c>
      <c r="I15" s="100">
        <v>0</v>
      </c>
      <c r="K15" s="185">
        <f t="shared" si="6"/>
        <v>0</v>
      </c>
      <c r="L15" s="185">
        <f t="shared" si="7"/>
        <v>0</v>
      </c>
      <c r="M15" s="185">
        <f t="shared" si="8"/>
        <v>0</v>
      </c>
      <c r="N15" s="185">
        <f t="shared" si="9"/>
        <v>0</v>
      </c>
      <c r="O15" s="185">
        <f t="shared" si="10"/>
        <v>0</v>
      </c>
      <c r="Q15" s="185" t="str">
        <f t="shared" si="4"/>
        <v>-</v>
      </c>
      <c r="R15" s="185" t="str">
        <f t="shared" si="0"/>
        <v>-</v>
      </c>
      <c r="S15" s="185" t="str">
        <f t="shared" si="1"/>
        <v>-</v>
      </c>
      <c r="T15" s="185" t="str">
        <f t="shared" si="2"/>
        <v>-</v>
      </c>
    </row>
    <row r="16" spans="2:20" ht="15.75" hidden="1" outlineLevel="3" thickBot="1" x14ac:dyDescent="0.3">
      <c r="B16" s="86" t="s">
        <v>245</v>
      </c>
      <c r="C16" s="45">
        <v>13</v>
      </c>
      <c r="D16" s="83" t="s">
        <v>17</v>
      </c>
      <c r="E16" s="84">
        <v>1990</v>
      </c>
      <c r="F16" s="85">
        <v>0</v>
      </c>
      <c r="G16" s="85">
        <v>0</v>
      </c>
      <c r="H16" s="85">
        <v>0</v>
      </c>
      <c r="I16" s="100">
        <v>100</v>
      </c>
      <c r="K16" s="185">
        <f t="shared" si="6"/>
        <v>3.925777940244925E-4</v>
      </c>
      <c r="L16" s="185">
        <f t="shared" si="7"/>
        <v>0</v>
      </c>
      <c r="M16" s="185">
        <f t="shared" si="8"/>
        <v>0</v>
      </c>
      <c r="N16" s="185">
        <f t="shared" si="9"/>
        <v>0</v>
      </c>
      <c r="O16" s="185">
        <f t="shared" si="10"/>
        <v>2.7002272511254546E-5</v>
      </c>
      <c r="Q16" s="185">
        <f t="shared" si="4"/>
        <v>-1</v>
      </c>
      <c r="R16" s="185" t="str">
        <f t="shared" si="0"/>
        <v>-</v>
      </c>
      <c r="S16" s="185" t="str">
        <f t="shared" si="1"/>
        <v>-</v>
      </c>
      <c r="T16" s="185" t="str">
        <f t="shared" si="2"/>
        <v>-</v>
      </c>
    </row>
    <row r="17" spans="2:20" ht="16.5" hidden="1" outlineLevel="2" thickTop="1" thickBot="1" x14ac:dyDescent="0.3">
      <c r="B17" s="10" t="s">
        <v>19</v>
      </c>
      <c r="C17" s="11">
        <v>14</v>
      </c>
      <c r="D17" s="12" t="s">
        <v>20</v>
      </c>
      <c r="E17" s="10">
        <f>SUM(E18,E21,E22,E23,E27)</f>
        <v>562387</v>
      </c>
      <c r="F17" s="13">
        <f t="shared" ref="F17:I17" si="14">SUM(F18,F21,F22,F23,F27)</f>
        <v>568191</v>
      </c>
      <c r="G17" s="13">
        <f t="shared" si="14"/>
        <v>514259</v>
      </c>
      <c r="H17" s="13">
        <f t="shared" si="14"/>
        <v>466469</v>
      </c>
      <c r="I17" s="11">
        <f t="shared" si="14"/>
        <v>496084</v>
      </c>
      <c r="K17" s="186">
        <f t="shared" si="6"/>
        <v>0.11094504916987551</v>
      </c>
      <c r="L17" s="186">
        <f t="shared" si="7"/>
        <v>0.12690341384971021</v>
      </c>
      <c r="M17" s="186">
        <f t="shared" si="8"/>
        <v>0.12834204446733805</v>
      </c>
      <c r="N17" s="186">
        <f t="shared" si="9"/>
        <v>0.12568064701948678</v>
      </c>
      <c r="O17" s="186">
        <f t="shared" si="10"/>
        <v>0.133953953564732</v>
      </c>
      <c r="Q17" s="186">
        <f t="shared" si="4"/>
        <v>1.032029545490909E-2</v>
      </c>
      <c r="R17" s="186">
        <f t="shared" si="0"/>
        <v>-9.4918786112416442E-2</v>
      </c>
      <c r="S17" s="186">
        <f t="shared" si="1"/>
        <v>-9.2929827188245606E-2</v>
      </c>
      <c r="T17" s="186">
        <f t="shared" si="2"/>
        <v>6.3487605821608728E-2</v>
      </c>
    </row>
    <row r="18" spans="2:20" ht="15.75" hidden="1" outlineLevel="3" thickTop="1" x14ac:dyDescent="0.25">
      <c r="B18" s="44" t="s">
        <v>21</v>
      </c>
      <c r="C18" s="45">
        <v>15</v>
      </c>
      <c r="D18" s="46" t="s">
        <v>247</v>
      </c>
      <c r="E18" s="47">
        <f>SUM(E19:E20)</f>
        <v>362306</v>
      </c>
      <c r="F18" s="48">
        <f t="shared" ref="F18:I18" si="15">SUM(F19:F20)</f>
        <v>393797</v>
      </c>
      <c r="G18" s="48">
        <f t="shared" si="15"/>
        <v>382676</v>
      </c>
      <c r="H18" s="48">
        <f t="shared" si="15"/>
        <v>369837</v>
      </c>
      <c r="I18" s="63">
        <f t="shared" si="15"/>
        <v>388657</v>
      </c>
      <c r="K18" s="184">
        <f t="shared" si="6"/>
        <v>7.1474015196903412E-2</v>
      </c>
      <c r="L18" s="184">
        <f t="shared" si="7"/>
        <v>8.7953141925469311E-2</v>
      </c>
      <c r="M18" s="184">
        <f t="shared" si="8"/>
        <v>9.5503277936959896E-2</v>
      </c>
      <c r="N18" s="184">
        <f t="shared" si="9"/>
        <v>9.964510707409481E-2</v>
      </c>
      <c r="O18" s="184">
        <f t="shared" si="10"/>
        <v>0.10494622227406658</v>
      </c>
      <c r="Q18" s="184">
        <f t="shared" si="4"/>
        <v>8.6918240382439116E-2</v>
      </c>
      <c r="R18" s="184">
        <f t="shared" si="0"/>
        <v>-2.8240438601614515E-2</v>
      </c>
      <c r="S18" s="184">
        <f t="shared" si="1"/>
        <v>-3.3550575421505413E-2</v>
      </c>
      <c r="T18" s="184">
        <f t="shared" si="2"/>
        <v>5.0887282775925691E-2</v>
      </c>
    </row>
    <row r="19" spans="2:20" hidden="1" outlineLevel="3" x14ac:dyDescent="0.25">
      <c r="B19" s="86" t="s">
        <v>248</v>
      </c>
      <c r="C19" s="45">
        <v>16</v>
      </c>
      <c r="D19" s="83" t="s">
        <v>22</v>
      </c>
      <c r="E19" s="84">
        <v>57788</v>
      </c>
      <c r="F19" s="85">
        <v>97820</v>
      </c>
      <c r="G19" s="85">
        <v>100979</v>
      </c>
      <c r="H19" s="85">
        <v>100979</v>
      </c>
      <c r="I19" s="100">
        <v>133266</v>
      </c>
      <c r="K19" s="185">
        <f t="shared" si="6"/>
        <v>1.1400143498033855E-2</v>
      </c>
      <c r="L19" s="185">
        <f t="shared" si="7"/>
        <v>2.184774475973511E-2</v>
      </c>
      <c r="M19" s="185">
        <f t="shared" si="8"/>
        <v>2.5201019930166178E-2</v>
      </c>
      <c r="N19" s="185">
        <f t="shared" si="9"/>
        <v>2.7206751264029883E-2</v>
      </c>
      <c r="O19" s="185">
        <f t="shared" si="10"/>
        <v>3.5984848484848488E-2</v>
      </c>
      <c r="Q19" s="185">
        <f t="shared" si="4"/>
        <v>0.6927389769502319</v>
      </c>
      <c r="R19" s="185">
        <f t="shared" si="0"/>
        <v>3.2294009405029689E-2</v>
      </c>
      <c r="S19" s="185">
        <f t="shared" si="1"/>
        <v>0</v>
      </c>
      <c r="T19" s="185">
        <f t="shared" si="2"/>
        <v>0.31973974786836856</v>
      </c>
    </row>
    <row r="20" spans="2:20" hidden="1" outlineLevel="3" x14ac:dyDescent="0.25">
      <c r="B20" s="86" t="s">
        <v>249</v>
      </c>
      <c r="C20" s="45">
        <v>17</v>
      </c>
      <c r="D20" s="83" t="s">
        <v>24</v>
      </c>
      <c r="E20" s="84">
        <v>304518</v>
      </c>
      <c r="F20" s="85">
        <v>295977</v>
      </c>
      <c r="G20" s="85">
        <v>281697</v>
      </c>
      <c r="H20" s="85">
        <v>268858</v>
      </c>
      <c r="I20" s="100">
        <v>255391</v>
      </c>
      <c r="K20" s="185">
        <f t="shared" si="6"/>
        <v>6.0073871698869553E-2</v>
      </c>
      <c r="L20" s="185">
        <f t="shared" si="7"/>
        <v>6.61053971657342E-2</v>
      </c>
      <c r="M20" s="185">
        <f t="shared" si="8"/>
        <v>7.0302258006793711E-2</v>
      </c>
      <c r="N20" s="185">
        <f t="shared" si="9"/>
        <v>7.2438355810064928E-2</v>
      </c>
      <c r="O20" s="185">
        <f t="shared" si="10"/>
        <v>6.89613737892181E-2</v>
      </c>
      <c r="Q20" s="185">
        <f t="shared" si="4"/>
        <v>-2.8047603097353879E-2</v>
      </c>
      <c r="R20" s="185">
        <f t="shared" si="0"/>
        <v>-4.8246992164931779E-2</v>
      </c>
      <c r="S20" s="185">
        <f t="shared" si="1"/>
        <v>-4.5577340191766291E-2</v>
      </c>
      <c r="T20" s="185">
        <f t="shared" si="2"/>
        <v>-5.0089638396476954E-2</v>
      </c>
    </row>
    <row r="21" spans="2:20" hidden="1" outlineLevel="3" x14ac:dyDescent="0.25">
      <c r="B21" s="44" t="s">
        <v>23</v>
      </c>
      <c r="C21" s="45">
        <v>18</v>
      </c>
      <c r="D21" s="46" t="s">
        <v>250</v>
      </c>
      <c r="E21" s="47">
        <v>189052</v>
      </c>
      <c r="F21" s="48">
        <v>166662</v>
      </c>
      <c r="G21" s="48">
        <v>128377</v>
      </c>
      <c r="H21" s="48">
        <v>95202</v>
      </c>
      <c r="I21" s="63">
        <v>98013</v>
      </c>
      <c r="K21" s="184">
        <f t="shared" si="6"/>
        <v>3.7295284982873544E-2</v>
      </c>
      <c r="L21" s="184">
        <f t="shared" si="7"/>
        <v>3.7223357566417634E-2</v>
      </c>
      <c r="M21" s="184">
        <f t="shared" si="8"/>
        <v>3.2038654924043057E-2</v>
      </c>
      <c r="N21" s="184">
        <f t="shared" si="9"/>
        <v>2.5650255338616673E-2</v>
      </c>
      <c r="O21" s="184">
        <f t="shared" si="10"/>
        <v>2.646573735645592E-2</v>
      </c>
      <c r="Q21" s="184">
        <f t="shared" si="4"/>
        <v>-0.11843302371834208</v>
      </c>
      <c r="R21" s="184">
        <f t="shared" si="0"/>
        <v>-0.22971643206009773</v>
      </c>
      <c r="S21" s="184">
        <f t="shared" si="1"/>
        <v>-0.25841856407300368</v>
      </c>
      <c r="T21" s="184">
        <f t="shared" si="2"/>
        <v>2.9526690615743423E-2</v>
      </c>
    </row>
    <row r="22" spans="2:20" hidden="1" outlineLevel="3" x14ac:dyDescent="0.25">
      <c r="B22" s="44" t="s">
        <v>25</v>
      </c>
      <c r="C22" s="45">
        <v>19</v>
      </c>
      <c r="D22" s="46" t="s">
        <v>32</v>
      </c>
      <c r="E22" s="47">
        <v>0</v>
      </c>
      <c r="F22" s="48">
        <v>0</v>
      </c>
      <c r="G22" s="48">
        <v>0</v>
      </c>
      <c r="H22" s="48">
        <v>0</v>
      </c>
      <c r="I22" s="63">
        <v>0</v>
      </c>
      <c r="K22" s="184">
        <f t="shared" si="6"/>
        <v>0</v>
      </c>
      <c r="L22" s="184">
        <f t="shared" si="7"/>
        <v>0</v>
      </c>
      <c r="M22" s="184">
        <f t="shared" si="8"/>
        <v>0</v>
      </c>
      <c r="N22" s="184">
        <f t="shared" si="9"/>
        <v>0</v>
      </c>
      <c r="O22" s="184">
        <f t="shared" si="10"/>
        <v>0</v>
      </c>
      <c r="Q22" s="184" t="str">
        <f t="shared" si="4"/>
        <v>-</v>
      </c>
      <c r="R22" s="184" t="str">
        <f t="shared" si="0"/>
        <v>-</v>
      </c>
      <c r="S22" s="184" t="str">
        <f t="shared" si="1"/>
        <v>-</v>
      </c>
      <c r="T22" s="184" t="str">
        <f t="shared" si="2"/>
        <v>-</v>
      </c>
    </row>
    <row r="23" spans="2:20" hidden="1" outlineLevel="3" x14ac:dyDescent="0.25">
      <c r="B23" s="44" t="s">
        <v>26</v>
      </c>
      <c r="C23" s="45">
        <v>20</v>
      </c>
      <c r="D23" s="46" t="s">
        <v>251</v>
      </c>
      <c r="E23" s="47"/>
      <c r="F23" s="48"/>
      <c r="G23" s="48"/>
      <c r="H23" s="48"/>
      <c r="I23" s="63"/>
      <c r="K23" s="184">
        <f t="shared" si="6"/>
        <v>0</v>
      </c>
      <c r="L23" s="184">
        <f t="shared" si="7"/>
        <v>0</v>
      </c>
      <c r="M23" s="184">
        <f t="shared" si="8"/>
        <v>0</v>
      </c>
      <c r="N23" s="184">
        <f t="shared" si="9"/>
        <v>0</v>
      </c>
      <c r="O23" s="184">
        <f t="shared" si="10"/>
        <v>0</v>
      </c>
      <c r="Q23" s="184" t="str">
        <f t="shared" si="4"/>
        <v>-</v>
      </c>
      <c r="R23" s="184" t="str">
        <f t="shared" si="0"/>
        <v>-</v>
      </c>
      <c r="S23" s="184" t="str">
        <f t="shared" si="1"/>
        <v>-</v>
      </c>
      <c r="T23" s="184" t="str">
        <f t="shared" si="2"/>
        <v>-</v>
      </c>
    </row>
    <row r="24" spans="2:20" hidden="1" outlineLevel="3" x14ac:dyDescent="0.25">
      <c r="B24" s="86" t="s">
        <v>252</v>
      </c>
      <c r="C24" s="45">
        <v>21</v>
      </c>
      <c r="D24" s="83" t="s">
        <v>27</v>
      </c>
      <c r="E24" s="84">
        <v>0</v>
      </c>
      <c r="F24" s="85">
        <v>0</v>
      </c>
      <c r="G24" s="85">
        <v>0</v>
      </c>
      <c r="H24" s="85">
        <v>0</v>
      </c>
      <c r="I24" s="100">
        <v>0</v>
      </c>
      <c r="K24" s="185">
        <f t="shared" si="6"/>
        <v>0</v>
      </c>
      <c r="L24" s="185">
        <f t="shared" si="7"/>
        <v>0</v>
      </c>
      <c r="M24" s="185">
        <f t="shared" si="8"/>
        <v>0</v>
      </c>
      <c r="N24" s="185">
        <f t="shared" si="9"/>
        <v>0</v>
      </c>
      <c r="O24" s="185">
        <f t="shared" si="10"/>
        <v>0</v>
      </c>
      <c r="Q24" s="185" t="str">
        <f t="shared" si="4"/>
        <v>-</v>
      </c>
      <c r="R24" s="185" t="str">
        <f t="shared" si="0"/>
        <v>-</v>
      </c>
      <c r="S24" s="185" t="str">
        <f t="shared" si="1"/>
        <v>-</v>
      </c>
      <c r="T24" s="185" t="str">
        <f t="shared" si="2"/>
        <v>-</v>
      </c>
    </row>
    <row r="25" spans="2:20" hidden="1" outlineLevel="3" x14ac:dyDescent="0.25">
      <c r="B25" s="86" t="s">
        <v>253</v>
      </c>
      <c r="C25" s="45">
        <v>22</v>
      </c>
      <c r="D25" s="83" t="s">
        <v>29</v>
      </c>
      <c r="E25" s="84">
        <v>0</v>
      </c>
      <c r="F25" s="85">
        <v>0</v>
      </c>
      <c r="G25" s="85">
        <v>0</v>
      </c>
      <c r="H25" s="85">
        <v>0</v>
      </c>
      <c r="I25" s="100">
        <v>0</v>
      </c>
      <c r="K25" s="185">
        <f t="shared" si="6"/>
        <v>0</v>
      </c>
      <c r="L25" s="185">
        <f t="shared" si="7"/>
        <v>0</v>
      </c>
      <c r="M25" s="185">
        <f t="shared" si="8"/>
        <v>0</v>
      </c>
      <c r="N25" s="185">
        <f t="shared" si="9"/>
        <v>0</v>
      </c>
      <c r="O25" s="185">
        <f t="shared" si="10"/>
        <v>0</v>
      </c>
      <c r="Q25" s="185" t="str">
        <f t="shared" si="4"/>
        <v>-</v>
      </c>
      <c r="R25" s="185" t="str">
        <f t="shared" si="0"/>
        <v>-</v>
      </c>
      <c r="S25" s="185" t="str">
        <f t="shared" si="1"/>
        <v>-</v>
      </c>
      <c r="T25" s="185" t="str">
        <f t="shared" si="2"/>
        <v>-</v>
      </c>
    </row>
    <row r="26" spans="2:20" hidden="1" outlineLevel="3" x14ac:dyDescent="0.25">
      <c r="B26" s="86" t="s">
        <v>254</v>
      </c>
      <c r="C26" s="45">
        <v>23</v>
      </c>
      <c r="D26" s="83" t="s">
        <v>251</v>
      </c>
      <c r="E26" s="84">
        <v>0</v>
      </c>
      <c r="F26" s="85">
        <v>0</v>
      </c>
      <c r="G26" s="85">
        <v>0</v>
      </c>
      <c r="H26" s="85">
        <v>0</v>
      </c>
      <c r="I26" s="100">
        <v>0</v>
      </c>
      <c r="K26" s="185">
        <f t="shared" si="6"/>
        <v>0</v>
      </c>
      <c r="L26" s="185">
        <f t="shared" si="7"/>
        <v>0</v>
      </c>
      <c r="M26" s="185">
        <f t="shared" si="8"/>
        <v>0</v>
      </c>
      <c r="N26" s="185">
        <f t="shared" si="9"/>
        <v>0</v>
      </c>
      <c r="O26" s="185">
        <f t="shared" si="10"/>
        <v>0</v>
      </c>
      <c r="Q26" s="185" t="str">
        <f t="shared" si="4"/>
        <v>-</v>
      </c>
      <c r="R26" s="185" t="str">
        <f t="shared" si="0"/>
        <v>-</v>
      </c>
      <c r="S26" s="185" t="str">
        <f t="shared" si="1"/>
        <v>-</v>
      </c>
      <c r="T26" s="185" t="str">
        <f t="shared" si="2"/>
        <v>-</v>
      </c>
    </row>
    <row r="27" spans="2:20" hidden="1" outlineLevel="3" x14ac:dyDescent="0.25">
      <c r="B27" s="44" t="s">
        <v>28</v>
      </c>
      <c r="C27" s="45">
        <v>24</v>
      </c>
      <c r="D27" s="46" t="s">
        <v>30</v>
      </c>
      <c r="E27" s="47">
        <f>SUM(E28:E29)</f>
        <v>11029</v>
      </c>
      <c r="F27" s="48">
        <f t="shared" ref="F27:I27" si="16">SUM(F28:F29)</f>
        <v>7732</v>
      </c>
      <c r="G27" s="48">
        <f t="shared" si="16"/>
        <v>3206</v>
      </c>
      <c r="H27" s="48">
        <f t="shared" si="16"/>
        <v>1430</v>
      </c>
      <c r="I27" s="63">
        <f t="shared" si="16"/>
        <v>9414</v>
      </c>
      <c r="K27" s="184">
        <f t="shared" si="6"/>
        <v>2.1757489900985569E-3</v>
      </c>
      <c r="L27" s="184">
        <f t="shared" si="7"/>
        <v>1.726914357823266E-3</v>
      </c>
      <c r="M27" s="184">
        <f t="shared" si="8"/>
        <v>8.0011160633510696E-4</v>
      </c>
      <c r="N27" s="184">
        <f t="shared" si="9"/>
        <v>3.8528460677529717E-4</v>
      </c>
      <c r="O27" s="184">
        <f t="shared" si="10"/>
        <v>2.5419939342095029E-3</v>
      </c>
      <c r="Q27" s="184">
        <f t="shared" si="4"/>
        <v>-0.29893916039532142</v>
      </c>
      <c r="R27" s="184">
        <f t="shared" si="0"/>
        <v>-0.58535954474909468</v>
      </c>
      <c r="S27" s="184">
        <f t="shared" si="1"/>
        <v>-0.55396132252027441</v>
      </c>
      <c r="T27" s="184">
        <f t="shared" si="2"/>
        <v>5.5832167832167832</v>
      </c>
    </row>
    <row r="28" spans="2:20" ht="25.5" hidden="1" outlineLevel="3" x14ac:dyDescent="0.25">
      <c r="B28" s="44" t="s">
        <v>255</v>
      </c>
      <c r="C28" s="87">
        <v>25</v>
      </c>
      <c r="D28" s="83" t="s">
        <v>31</v>
      </c>
      <c r="E28" s="84">
        <v>0</v>
      </c>
      <c r="F28" s="85">
        <v>430</v>
      </c>
      <c r="G28" s="85">
        <v>0</v>
      </c>
      <c r="H28" s="85">
        <v>0</v>
      </c>
      <c r="I28" s="100">
        <v>216</v>
      </c>
      <c r="K28" s="185">
        <f t="shared" si="6"/>
        <v>0</v>
      </c>
      <c r="L28" s="185">
        <f t="shared" si="7"/>
        <v>9.6038951612002635E-5</v>
      </c>
      <c r="M28" s="185">
        <f t="shared" si="8"/>
        <v>0</v>
      </c>
      <c r="N28" s="185">
        <f t="shared" si="9"/>
        <v>0</v>
      </c>
      <c r="O28" s="185">
        <f t="shared" si="10"/>
        <v>5.8324908624309825E-5</v>
      </c>
      <c r="Q28" s="185" t="str">
        <f t="shared" si="4"/>
        <v>-</v>
      </c>
      <c r="R28" s="185">
        <f t="shared" si="0"/>
        <v>-1</v>
      </c>
      <c r="S28" s="185" t="str">
        <f t="shared" si="1"/>
        <v>-</v>
      </c>
      <c r="T28" s="185" t="str">
        <f t="shared" si="2"/>
        <v>-</v>
      </c>
    </row>
    <row r="29" spans="2:20" ht="15.75" hidden="1" outlineLevel="3" thickBot="1" x14ac:dyDescent="0.3">
      <c r="B29" s="44" t="s">
        <v>256</v>
      </c>
      <c r="C29" s="87">
        <v>26</v>
      </c>
      <c r="D29" s="83" t="s">
        <v>30</v>
      </c>
      <c r="E29" s="84">
        <v>11029</v>
      </c>
      <c r="F29" s="85">
        <v>7302</v>
      </c>
      <c r="G29" s="85">
        <v>3206</v>
      </c>
      <c r="H29" s="85">
        <v>1430</v>
      </c>
      <c r="I29" s="100">
        <v>9198</v>
      </c>
      <c r="K29" s="185">
        <f t="shared" si="6"/>
        <v>2.1757489900985569E-3</v>
      </c>
      <c r="L29" s="185">
        <f t="shared" si="7"/>
        <v>1.6308754062112634E-3</v>
      </c>
      <c r="M29" s="185">
        <f t="shared" si="8"/>
        <v>8.0011160633510696E-4</v>
      </c>
      <c r="N29" s="185">
        <f t="shared" si="9"/>
        <v>3.8528460677529717E-4</v>
      </c>
      <c r="O29" s="185">
        <f t="shared" si="10"/>
        <v>2.4836690255851932E-3</v>
      </c>
      <c r="Q29" s="185">
        <f t="shared" si="4"/>
        <v>-0.33792728261855109</v>
      </c>
      <c r="R29" s="185">
        <f t="shared" si="0"/>
        <v>-0.56094220761435221</v>
      </c>
      <c r="S29" s="185">
        <f t="shared" si="1"/>
        <v>-0.55396132252027441</v>
      </c>
      <c r="T29" s="185">
        <f t="shared" si="2"/>
        <v>5.4321678321678322</v>
      </c>
    </row>
    <row r="30" spans="2:20" ht="16.5" hidden="1" outlineLevel="2" thickTop="1" thickBot="1" x14ac:dyDescent="0.3">
      <c r="B30" s="10" t="s">
        <v>33</v>
      </c>
      <c r="C30" s="11">
        <v>27</v>
      </c>
      <c r="D30" s="12" t="s">
        <v>34</v>
      </c>
      <c r="E30" s="10">
        <f>SUM(E31:E37)</f>
        <v>388115</v>
      </c>
      <c r="F30" s="13">
        <f t="shared" ref="F30:I30" si="17">SUM(F31:F37)</f>
        <v>309898</v>
      </c>
      <c r="G30" s="13">
        <f t="shared" si="17"/>
        <v>454040</v>
      </c>
      <c r="H30" s="13">
        <f t="shared" si="17"/>
        <v>265317</v>
      </c>
      <c r="I30" s="11">
        <f t="shared" si="17"/>
        <v>260872</v>
      </c>
      <c r="K30" s="186">
        <f t="shared" si="6"/>
        <v>7.6565492727545689E-2</v>
      </c>
      <c r="L30" s="186">
        <f t="shared" si="7"/>
        <v>6.9214602387573002E-2</v>
      </c>
      <c r="M30" s="186">
        <f t="shared" si="8"/>
        <v>0.11331337296955458</v>
      </c>
      <c r="N30" s="186">
        <f t="shared" si="9"/>
        <v>7.1484304906154914E-2</v>
      </c>
      <c r="O30" s="186">
        <f t="shared" si="10"/>
        <v>7.044136834555996E-2</v>
      </c>
      <c r="Q30" s="186">
        <f t="shared" si="4"/>
        <v>-0.20153047421511661</v>
      </c>
      <c r="R30" s="186">
        <f t="shared" si="0"/>
        <v>0.46512723541294232</v>
      </c>
      <c r="S30" s="186">
        <f t="shared" si="1"/>
        <v>-0.41565280592018328</v>
      </c>
      <c r="T30" s="186">
        <f t="shared" si="2"/>
        <v>-1.6753543873931909E-2</v>
      </c>
    </row>
    <row r="31" spans="2:20" ht="15.75" hidden="1" outlineLevel="3" thickTop="1" x14ac:dyDescent="0.25">
      <c r="B31" s="44" t="s">
        <v>35</v>
      </c>
      <c r="C31" s="45">
        <v>28</v>
      </c>
      <c r="D31" s="46" t="s">
        <v>257</v>
      </c>
      <c r="E31" s="47">
        <v>60852</v>
      </c>
      <c r="F31" s="48">
        <v>58876</v>
      </c>
      <c r="G31" s="48">
        <v>59373</v>
      </c>
      <c r="H31" s="48">
        <v>127192</v>
      </c>
      <c r="I31" s="63">
        <v>128545</v>
      </c>
      <c r="K31" s="184">
        <f t="shared" si="6"/>
        <v>1.2004594935667547E-2</v>
      </c>
      <c r="L31" s="184">
        <f t="shared" si="7"/>
        <v>1.3149742593275039E-2</v>
      </c>
      <c r="M31" s="184">
        <f t="shared" si="8"/>
        <v>1.4817537867415567E-2</v>
      </c>
      <c r="N31" s="184">
        <f t="shared" si="9"/>
        <v>3.4269314478995526E-2</v>
      </c>
      <c r="O31" s="184">
        <f t="shared" si="10"/>
        <v>3.4710071199592157E-2</v>
      </c>
      <c r="Q31" s="184">
        <f t="shared" si="4"/>
        <v>-3.2472227699993472E-2</v>
      </c>
      <c r="R31" s="184">
        <f t="shared" si="0"/>
        <v>8.4414702085739979E-3</v>
      </c>
      <c r="S31" s="184">
        <f t="shared" si="1"/>
        <v>1.1422532127397975</v>
      </c>
      <c r="T31" s="184">
        <f t="shared" si="2"/>
        <v>1.0637461475564436E-2</v>
      </c>
    </row>
    <row r="32" spans="2:20" ht="25.5" hidden="1" outlineLevel="3" x14ac:dyDescent="0.25">
      <c r="B32" s="44" t="s">
        <v>36</v>
      </c>
      <c r="C32" s="45">
        <v>29</v>
      </c>
      <c r="D32" s="46" t="s">
        <v>264</v>
      </c>
      <c r="E32" s="48">
        <v>0</v>
      </c>
      <c r="F32" s="48">
        <v>0</v>
      </c>
      <c r="G32" s="48">
        <v>0</v>
      </c>
      <c r="H32" s="48">
        <v>0</v>
      </c>
      <c r="I32" s="63">
        <v>0</v>
      </c>
      <c r="K32" s="184">
        <f t="shared" si="6"/>
        <v>0</v>
      </c>
      <c r="L32" s="184">
        <f t="shared" si="7"/>
        <v>0</v>
      </c>
      <c r="M32" s="184">
        <f t="shared" si="8"/>
        <v>0</v>
      </c>
      <c r="N32" s="184">
        <f t="shared" si="9"/>
        <v>0</v>
      </c>
      <c r="O32" s="184">
        <f t="shared" si="10"/>
        <v>0</v>
      </c>
      <c r="Q32" s="184" t="str">
        <f t="shared" si="4"/>
        <v>-</v>
      </c>
      <c r="R32" s="184" t="str">
        <f t="shared" si="0"/>
        <v>-</v>
      </c>
      <c r="S32" s="184" t="str">
        <f t="shared" si="1"/>
        <v>-</v>
      </c>
      <c r="T32" s="184" t="str">
        <f t="shared" si="2"/>
        <v>-</v>
      </c>
    </row>
    <row r="33" spans="2:20" hidden="1" outlineLevel="3" x14ac:dyDescent="0.25">
      <c r="B33" s="44" t="s">
        <v>37</v>
      </c>
      <c r="C33" s="45">
        <v>30</v>
      </c>
      <c r="D33" s="46" t="s">
        <v>263</v>
      </c>
      <c r="E33" s="47">
        <v>699</v>
      </c>
      <c r="F33" s="48">
        <v>300</v>
      </c>
      <c r="G33" s="48">
        <v>22427</v>
      </c>
      <c r="H33" s="48">
        <v>29800</v>
      </c>
      <c r="I33" s="63">
        <v>29807</v>
      </c>
      <c r="K33" s="184">
        <f t="shared" si="6"/>
        <v>1.3789541609202023E-4</v>
      </c>
      <c r="L33" s="184">
        <f t="shared" si="7"/>
        <v>6.7003919729304159E-5</v>
      </c>
      <c r="M33" s="184">
        <f t="shared" si="8"/>
        <v>5.5970377402612117E-3</v>
      </c>
      <c r="N33" s="184">
        <f t="shared" si="9"/>
        <v>8.0290078894432564E-3</v>
      </c>
      <c r="O33" s="184">
        <f t="shared" si="10"/>
        <v>8.0485673674296435E-3</v>
      </c>
      <c r="Q33" s="184">
        <f t="shared" si="4"/>
        <v>-0.57081545064377681</v>
      </c>
      <c r="R33" s="184">
        <f t="shared" si="0"/>
        <v>73.756666666666661</v>
      </c>
      <c r="S33" s="184">
        <f t="shared" si="1"/>
        <v>0.3287555179025281</v>
      </c>
      <c r="T33" s="184">
        <f t="shared" si="2"/>
        <v>2.3489932885900622E-4</v>
      </c>
    </row>
    <row r="34" spans="2:20" hidden="1" outlineLevel="3" x14ac:dyDescent="0.25">
      <c r="B34" s="44" t="s">
        <v>39</v>
      </c>
      <c r="C34" s="45">
        <v>31</v>
      </c>
      <c r="D34" s="46" t="s">
        <v>262</v>
      </c>
      <c r="E34" s="47">
        <v>216309</v>
      </c>
      <c r="F34" s="48">
        <v>140467</v>
      </c>
      <c r="G34" s="48">
        <v>271985</v>
      </c>
      <c r="H34" s="48">
        <v>8070</v>
      </c>
      <c r="I34" s="63">
        <v>2265</v>
      </c>
      <c r="K34" s="184">
        <f t="shared" si="6"/>
        <v>4.2672417109368817E-2</v>
      </c>
      <c r="L34" s="184">
        <f t="shared" si="7"/>
        <v>3.1372798642053897E-2</v>
      </c>
      <c r="M34" s="184">
        <f t="shared" si="8"/>
        <v>6.7878463895525293E-2</v>
      </c>
      <c r="N34" s="184">
        <f t="shared" si="9"/>
        <v>2.1742984452284252E-3</v>
      </c>
      <c r="O34" s="184">
        <f t="shared" si="10"/>
        <v>6.1160147237991549E-4</v>
      </c>
      <c r="Q34" s="184">
        <f t="shared" si="4"/>
        <v>-0.35061879071143598</v>
      </c>
      <c r="R34" s="184">
        <f t="shared" si="0"/>
        <v>0.93629108616258616</v>
      </c>
      <c r="S34" s="184">
        <f t="shared" si="1"/>
        <v>-0.97032924609813043</v>
      </c>
      <c r="T34" s="184">
        <f t="shared" si="2"/>
        <v>-0.71933085501858729</v>
      </c>
    </row>
    <row r="35" spans="2:20" hidden="1" outlineLevel="3" x14ac:dyDescent="0.25">
      <c r="B35" s="44" t="s">
        <v>40</v>
      </c>
      <c r="C35" s="45">
        <v>32</v>
      </c>
      <c r="D35" s="46" t="s">
        <v>38</v>
      </c>
      <c r="E35" s="47">
        <v>110255</v>
      </c>
      <c r="F35" s="48">
        <v>110255</v>
      </c>
      <c r="G35" s="48">
        <v>100255</v>
      </c>
      <c r="H35" s="48">
        <v>100255</v>
      </c>
      <c r="I35" s="63">
        <v>100255</v>
      </c>
      <c r="K35" s="184">
        <f t="shared" si="6"/>
        <v>2.1750585266417297E-2</v>
      </c>
      <c r="L35" s="184">
        <f t="shared" si="7"/>
        <v>2.462505723251477E-2</v>
      </c>
      <c r="M35" s="184">
        <f t="shared" si="8"/>
        <v>2.5020333466352511E-2</v>
      </c>
      <c r="N35" s="184">
        <f t="shared" si="9"/>
        <v>2.7011684092487706E-2</v>
      </c>
      <c r="O35" s="184">
        <f t="shared" si="10"/>
        <v>2.7071128306158248E-2</v>
      </c>
      <c r="Q35" s="184">
        <f t="shared" si="4"/>
        <v>0</v>
      </c>
      <c r="R35" s="184">
        <f t="shared" si="0"/>
        <v>-9.0698834519976401E-2</v>
      </c>
      <c r="S35" s="184">
        <f t="shared" si="1"/>
        <v>0</v>
      </c>
      <c r="T35" s="184">
        <f t="shared" si="2"/>
        <v>0</v>
      </c>
    </row>
    <row r="36" spans="2:20" hidden="1" outlineLevel="3" x14ac:dyDescent="0.25">
      <c r="B36" s="44" t="s">
        <v>42</v>
      </c>
      <c r="C36" s="45">
        <v>33</v>
      </c>
      <c r="D36" s="46" t="s">
        <v>261</v>
      </c>
      <c r="E36" s="48">
        <v>0</v>
      </c>
      <c r="F36" s="48">
        <v>0</v>
      </c>
      <c r="G36" s="48">
        <v>0</v>
      </c>
      <c r="H36" s="48">
        <v>0</v>
      </c>
      <c r="I36" s="63">
        <v>0</v>
      </c>
      <c r="K36" s="184">
        <f t="shared" si="6"/>
        <v>0</v>
      </c>
      <c r="L36" s="184">
        <f t="shared" si="7"/>
        <v>0</v>
      </c>
      <c r="M36" s="184">
        <f t="shared" si="8"/>
        <v>0</v>
      </c>
      <c r="N36" s="184">
        <f t="shared" si="9"/>
        <v>0</v>
      </c>
      <c r="O36" s="184">
        <f t="shared" si="10"/>
        <v>0</v>
      </c>
      <c r="Q36" s="184" t="str">
        <f t="shared" si="4"/>
        <v>-</v>
      </c>
      <c r="R36" s="184" t="str">
        <f t="shared" si="0"/>
        <v>-</v>
      </c>
      <c r="S36" s="184" t="str">
        <f t="shared" si="1"/>
        <v>-</v>
      </c>
      <c r="T36" s="184" t="str">
        <f t="shared" si="2"/>
        <v>-</v>
      </c>
    </row>
    <row r="37" spans="2:20" hidden="1" outlineLevel="3" x14ac:dyDescent="0.25">
      <c r="B37" s="44" t="s">
        <v>43</v>
      </c>
      <c r="C37" s="45">
        <v>34</v>
      </c>
      <c r="D37" s="46" t="s">
        <v>260</v>
      </c>
      <c r="E37" s="47">
        <f>SUM(E38:E39)</f>
        <v>0</v>
      </c>
      <c r="F37" s="48">
        <f t="shared" ref="F37:I37" si="18">SUM(F38:F39)</f>
        <v>0</v>
      </c>
      <c r="G37" s="48">
        <f t="shared" si="18"/>
        <v>0</v>
      </c>
      <c r="H37" s="48">
        <f t="shared" si="18"/>
        <v>0</v>
      </c>
      <c r="I37" s="63">
        <f t="shared" si="18"/>
        <v>0</v>
      </c>
      <c r="K37" s="184">
        <f t="shared" si="6"/>
        <v>0</v>
      </c>
      <c r="L37" s="184">
        <f t="shared" si="7"/>
        <v>0</v>
      </c>
      <c r="M37" s="184">
        <f t="shared" si="8"/>
        <v>0</v>
      </c>
      <c r="N37" s="184">
        <f t="shared" si="9"/>
        <v>0</v>
      </c>
      <c r="O37" s="184">
        <f t="shared" si="10"/>
        <v>0</v>
      </c>
      <c r="Q37" s="184" t="str">
        <f t="shared" si="4"/>
        <v>-</v>
      </c>
      <c r="R37" s="184" t="str">
        <f t="shared" si="0"/>
        <v>-</v>
      </c>
      <c r="S37" s="184" t="str">
        <f t="shared" si="1"/>
        <v>-</v>
      </c>
      <c r="T37" s="184" t="str">
        <f t="shared" si="2"/>
        <v>-</v>
      </c>
    </row>
    <row r="38" spans="2:20" hidden="1" outlineLevel="3" x14ac:dyDescent="0.25">
      <c r="B38" s="86" t="s">
        <v>258</v>
      </c>
      <c r="C38" s="87">
        <v>35</v>
      </c>
      <c r="D38" s="83" t="s">
        <v>41</v>
      </c>
      <c r="E38" s="84">
        <v>0</v>
      </c>
      <c r="F38" s="85">
        <v>0</v>
      </c>
      <c r="G38" s="85">
        <v>0</v>
      </c>
      <c r="H38" s="85">
        <v>0</v>
      </c>
      <c r="I38" s="100">
        <v>0</v>
      </c>
      <c r="K38" s="185">
        <f t="shared" si="6"/>
        <v>0</v>
      </c>
      <c r="L38" s="185">
        <f t="shared" si="7"/>
        <v>0</v>
      </c>
      <c r="M38" s="185">
        <f t="shared" si="8"/>
        <v>0</v>
      </c>
      <c r="N38" s="185">
        <f t="shared" si="9"/>
        <v>0</v>
      </c>
      <c r="O38" s="185">
        <f t="shared" si="10"/>
        <v>0</v>
      </c>
      <c r="Q38" s="185" t="str">
        <f t="shared" si="4"/>
        <v>-</v>
      </c>
      <c r="R38" s="185" t="str">
        <f t="shared" si="0"/>
        <v>-</v>
      </c>
      <c r="S38" s="185" t="str">
        <f t="shared" si="1"/>
        <v>-</v>
      </c>
      <c r="T38" s="185" t="str">
        <f t="shared" si="2"/>
        <v>-</v>
      </c>
    </row>
    <row r="39" spans="2:20" ht="26.25" hidden="1" outlineLevel="3" thickBot="1" x14ac:dyDescent="0.3">
      <c r="B39" s="86" t="s">
        <v>259</v>
      </c>
      <c r="C39" s="87">
        <v>36</v>
      </c>
      <c r="D39" s="83" t="s">
        <v>44</v>
      </c>
      <c r="E39" s="84">
        <v>0</v>
      </c>
      <c r="F39" s="85">
        <v>0</v>
      </c>
      <c r="G39" s="85">
        <v>0</v>
      </c>
      <c r="H39" s="85">
        <v>0</v>
      </c>
      <c r="I39" s="100">
        <v>0</v>
      </c>
      <c r="K39" s="185">
        <f t="shared" si="6"/>
        <v>0</v>
      </c>
      <c r="L39" s="185">
        <f t="shared" si="7"/>
        <v>0</v>
      </c>
      <c r="M39" s="185">
        <f t="shared" si="8"/>
        <v>0</v>
      </c>
      <c r="N39" s="185">
        <f t="shared" si="9"/>
        <v>0</v>
      </c>
      <c r="O39" s="185">
        <f t="shared" si="10"/>
        <v>0</v>
      </c>
      <c r="Q39" s="185" t="str">
        <f t="shared" si="4"/>
        <v>-</v>
      </c>
      <c r="R39" s="185" t="str">
        <f t="shared" si="0"/>
        <v>-</v>
      </c>
      <c r="S39" s="185" t="str">
        <f t="shared" si="1"/>
        <v>-</v>
      </c>
      <c r="T39" s="185" t="str">
        <f t="shared" si="2"/>
        <v>-</v>
      </c>
    </row>
    <row r="40" spans="2:20" ht="15.75" hidden="1" outlineLevel="1" thickBot="1" x14ac:dyDescent="0.3">
      <c r="B40" s="40" t="s">
        <v>45</v>
      </c>
      <c r="C40" s="41">
        <v>37</v>
      </c>
      <c r="D40" s="42" t="s">
        <v>46</v>
      </c>
      <c r="E40" s="40">
        <f>SUM(E41,E49,E71,E74)</f>
        <v>4060936</v>
      </c>
      <c r="F40" s="43">
        <f t="shared" ref="F40:I40" si="19">SUM(F41,F49,F71,F74)</f>
        <v>3554701</v>
      </c>
      <c r="G40" s="43">
        <f t="shared" si="19"/>
        <v>3010406</v>
      </c>
      <c r="H40" s="43">
        <f t="shared" si="19"/>
        <v>2951296</v>
      </c>
      <c r="I40" s="41">
        <f t="shared" si="19"/>
        <v>2917283</v>
      </c>
      <c r="K40" s="182">
        <f t="shared" si="6"/>
        <v>0.80112225957519922</v>
      </c>
      <c r="L40" s="182">
        <f t="shared" si="7"/>
        <v>0.79392966821892419</v>
      </c>
      <c r="M40" s="182">
        <f t="shared" si="8"/>
        <v>0.75129781047437438</v>
      </c>
      <c r="N40" s="182">
        <f t="shared" si="9"/>
        <v>0.79516707611014503</v>
      </c>
      <c r="O40" s="182">
        <f t="shared" si="10"/>
        <v>0.78773270558450204</v>
      </c>
      <c r="Q40" s="182">
        <f t="shared" si="4"/>
        <v>-0.12465968436833286</v>
      </c>
      <c r="R40" s="182">
        <f t="shared" si="0"/>
        <v>-0.15311977012975209</v>
      </c>
      <c r="S40" s="182">
        <f t="shared" si="1"/>
        <v>-1.9635225281905533E-2</v>
      </c>
      <c r="T40" s="182">
        <f t="shared" si="2"/>
        <v>-1.1524767424209603E-2</v>
      </c>
    </row>
    <row r="41" spans="2:20" ht="15.75" hidden="1" outlineLevel="2" thickBot="1" x14ac:dyDescent="0.3">
      <c r="B41" s="6" t="s">
        <v>47</v>
      </c>
      <c r="C41" s="7">
        <v>38</v>
      </c>
      <c r="D41" s="8" t="s">
        <v>48</v>
      </c>
      <c r="E41" s="6">
        <f>SUM(E42,E43,E44,E47,E48)</f>
        <v>629030</v>
      </c>
      <c r="F41" s="9">
        <f t="shared" ref="F41:I41" si="20">SUM(F42,F43,F44,F47,F48)</f>
        <v>549705</v>
      </c>
      <c r="G41" s="9">
        <f t="shared" si="20"/>
        <v>587336</v>
      </c>
      <c r="H41" s="9">
        <f t="shared" si="20"/>
        <v>484514</v>
      </c>
      <c r="I41" s="7">
        <f t="shared" si="20"/>
        <v>597702</v>
      </c>
      <c r="K41" s="183">
        <f t="shared" si="6"/>
        <v>0.12409206521368167</v>
      </c>
      <c r="L41" s="183">
        <f t="shared" si="7"/>
        <v>0.12277463231599049</v>
      </c>
      <c r="M41" s="183">
        <f t="shared" si="8"/>
        <v>0.1465796476663869</v>
      </c>
      <c r="N41" s="183">
        <f t="shared" si="9"/>
        <v>0.1305425076693191</v>
      </c>
      <c r="O41" s="183">
        <f t="shared" si="10"/>
        <v>0.16139312284521865</v>
      </c>
      <c r="Q41" s="183">
        <f t="shared" si="4"/>
        <v>-0.12610686294771312</v>
      </c>
      <c r="R41" s="183">
        <f t="shared" si="0"/>
        <v>6.8456717694035829E-2</v>
      </c>
      <c r="S41" s="183">
        <f t="shared" si="1"/>
        <v>-0.17506503943228413</v>
      </c>
      <c r="T41" s="183">
        <f t="shared" si="2"/>
        <v>0.23361141267331798</v>
      </c>
    </row>
    <row r="42" spans="2:20" ht="15.75" hidden="1" outlineLevel="3" thickTop="1" x14ac:dyDescent="0.25">
      <c r="B42" s="44" t="s">
        <v>49</v>
      </c>
      <c r="C42" s="45">
        <v>39</v>
      </c>
      <c r="D42" s="46" t="s">
        <v>50</v>
      </c>
      <c r="E42" s="47">
        <v>282949</v>
      </c>
      <c r="F42" s="48">
        <v>263639</v>
      </c>
      <c r="G42" s="48">
        <v>315435</v>
      </c>
      <c r="H42" s="48">
        <v>315526</v>
      </c>
      <c r="I42" s="63">
        <v>330793</v>
      </c>
      <c r="K42" s="184">
        <f t="shared" si="6"/>
        <v>5.5818841327354839E-2</v>
      </c>
      <c r="L42" s="184">
        <f t="shared" si="7"/>
        <v>5.88828213117134E-2</v>
      </c>
      <c r="M42" s="184">
        <f t="shared" si="8"/>
        <v>7.8722147393735023E-2</v>
      </c>
      <c r="N42" s="184">
        <f t="shared" si="9"/>
        <v>8.5012105480687009E-2</v>
      </c>
      <c r="O42" s="184">
        <f t="shared" si="10"/>
        <v>8.9321627308154253E-2</v>
      </c>
      <c r="Q42" s="184">
        <f t="shared" si="4"/>
        <v>-6.8245514209274494E-2</v>
      </c>
      <c r="R42" s="184">
        <f t="shared" si="0"/>
        <v>0.19646562155068104</v>
      </c>
      <c r="S42" s="184">
        <f t="shared" si="1"/>
        <v>2.8849049724977149E-4</v>
      </c>
      <c r="T42" s="184">
        <f t="shared" si="2"/>
        <v>4.8385869944156834E-2</v>
      </c>
    </row>
    <row r="43" spans="2:20" hidden="1" outlineLevel="3" x14ac:dyDescent="0.25">
      <c r="B43" s="44" t="s">
        <v>51</v>
      </c>
      <c r="C43" s="45">
        <v>40</v>
      </c>
      <c r="D43" s="46" t="s">
        <v>52</v>
      </c>
      <c r="E43" s="47">
        <v>337501</v>
      </c>
      <c r="F43" s="48">
        <v>278859</v>
      </c>
      <c r="G43" s="48">
        <v>270426</v>
      </c>
      <c r="H43" s="48">
        <v>164247</v>
      </c>
      <c r="I43" s="63">
        <v>266403</v>
      </c>
      <c r="K43" s="184">
        <f t="shared" si="6"/>
        <v>6.6580602040733794E-2</v>
      </c>
      <c r="L43" s="184">
        <f t="shared" si="7"/>
        <v>6.2282153505980098E-2</v>
      </c>
      <c r="M43" s="184">
        <f t="shared" si="8"/>
        <v>6.7489389037672376E-2</v>
      </c>
      <c r="N43" s="184">
        <f t="shared" si="9"/>
        <v>4.425303553078478E-2</v>
      </c>
      <c r="O43" s="184">
        <f t="shared" si="10"/>
        <v>7.1934864038157451E-2</v>
      </c>
      <c r="Q43" s="184">
        <f t="shared" si="4"/>
        <v>-0.17375355924871339</v>
      </c>
      <c r="R43" s="184">
        <f t="shared" si="0"/>
        <v>-3.0241089582907499E-2</v>
      </c>
      <c r="S43" s="184">
        <f t="shared" si="1"/>
        <v>-0.39263606310044152</v>
      </c>
      <c r="T43" s="184">
        <f t="shared" si="2"/>
        <v>0.62196569800361656</v>
      </c>
    </row>
    <row r="44" spans="2:20" hidden="1" outlineLevel="3" x14ac:dyDescent="0.25">
      <c r="B44" s="44" t="s">
        <v>53</v>
      </c>
      <c r="C44" s="45">
        <v>41</v>
      </c>
      <c r="D44" s="46" t="s">
        <v>265</v>
      </c>
      <c r="E44" s="47">
        <f>SUM(E45:E46)</f>
        <v>0</v>
      </c>
      <c r="F44" s="48">
        <f t="shared" ref="F44:I44" si="21">SUM(F45:F46)</f>
        <v>0</v>
      </c>
      <c r="G44" s="48">
        <f t="shared" si="21"/>
        <v>0</v>
      </c>
      <c r="H44" s="48">
        <f t="shared" si="21"/>
        <v>0</v>
      </c>
      <c r="I44" s="63">
        <f t="shared" si="21"/>
        <v>0</v>
      </c>
      <c r="K44" s="184">
        <f t="shared" si="6"/>
        <v>0</v>
      </c>
      <c r="L44" s="184">
        <f t="shared" si="7"/>
        <v>0</v>
      </c>
      <c r="M44" s="184">
        <f t="shared" si="8"/>
        <v>0</v>
      </c>
      <c r="N44" s="184">
        <f t="shared" si="9"/>
        <v>0</v>
      </c>
      <c r="O44" s="184">
        <f t="shared" si="10"/>
        <v>0</v>
      </c>
      <c r="Q44" s="184" t="str">
        <f t="shared" si="4"/>
        <v>-</v>
      </c>
      <c r="R44" s="184" t="str">
        <f t="shared" si="0"/>
        <v>-</v>
      </c>
      <c r="S44" s="184" t="str">
        <f t="shared" si="1"/>
        <v>-</v>
      </c>
      <c r="T44" s="184" t="str">
        <f t="shared" si="2"/>
        <v>-</v>
      </c>
    </row>
    <row r="45" spans="2:20" hidden="1" outlineLevel="3" x14ac:dyDescent="0.25">
      <c r="B45" s="86" t="s">
        <v>266</v>
      </c>
      <c r="C45" s="87">
        <v>42</v>
      </c>
      <c r="D45" s="83" t="s">
        <v>54</v>
      </c>
      <c r="E45" s="84">
        <v>0</v>
      </c>
      <c r="F45" s="85">
        <v>0</v>
      </c>
      <c r="G45" s="85">
        <v>0</v>
      </c>
      <c r="H45" s="85">
        <v>0</v>
      </c>
      <c r="I45" s="100">
        <v>0</v>
      </c>
      <c r="K45" s="185">
        <f t="shared" si="6"/>
        <v>0</v>
      </c>
      <c r="L45" s="185">
        <f t="shared" si="7"/>
        <v>0</v>
      </c>
      <c r="M45" s="185">
        <f t="shared" si="8"/>
        <v>0</v>
      </c>
      <c r="N45" s="185">
        <f t="shared" si="9"/>
        <v>0</v>
      </c>
      <c r="O45" s="185">
        <f t="shared" si="10"/>
        <v>0</v>
      </c>
      <c r="Q45" s="185" t="str">
        <f t="shared" si="4"/>
        <v>-</v>
      </c>
      <c r="R45" s="185" t="str">
        <f t="shared" si="0"/>
        <v>-</v>
      </c>
      <c r="S45" s="185" t="str">
        <f t="shared" si="1"/>
        <v>-</v>
      </c>
      <c r="T45" s="185" t="str">
        <f t="shared" si="2"/>
        <v>-</v>
      </c>
    </row>
    <row r="46" spans="2:20" hidden="1" outlineLevel="3" x14ac:dyDescent="0.25">
      <c r="B46" s="86" t="s">
        <v>267</v>
      </c>
      <c r="C46" s="87">
        <v>43</v>
      </c>
      <c r="D46" s="83" t="s">
        <v>58</v>
      </c>
      <c r="E46" s="84">
        <v>0</v>
      </c>
      <c r="F46" s="85">
        <v>0</v>
      </c>
      <c r="G46" s="85">
        <v>0</v>
      </c>
      <c r="H46" s="85">
        <v>0</v>
      </c>
      <c r="I46" s="100">
        <v>0</v>
      </c>
      <c r="K46" s="185">
        <f t="shared" si="6"/>
        <v>0</v>
      </c>
      <c r="L46" s="185">
        <f t="shared" si="7"/>
        <v>0</v>
      </c>
      <c r="M46" s="185">
        <f t="shared" si="8"/>
        <v>0</v>
      </c>
      <c r="N46" s="185">
        <f t="shared" si="9"/>
        <v>0</v>
      </c>
      <c r="O46" s="185">
        <f t="shared" si="10"/>
        <v>0</v>
      </c>
      <c r="Q46" s="185" t="str">
        <f t="shared" si="4"/>
        <v>-</v>
      </c>
      <c r="R46" s="185" t="str">
        <f t="shared" si="0"/>
        <v>-</v>
      </c>
      <c r="S46" s="185" t="str">
        <f t="shared" si="1"/>
        <v>-</v>
      </c>
      <c r="T46" s="185" t="str">
        <f t="shared" si="2"/>
        <v>-</v>
      </c>
    </row>
    <row r="47" spans="2:20" hidden="1" outlineLevel="3" x14ac:dyDescent="0.25">
      <c r="B47" s="44" t="s">
        <v>55</v>
      </c>
      <c r="C47" s="45">
        <v>44</v>
      </c>
      <c r="D47" s="46" t="s">
        <v>56</v>
      </c>
      <c r="E47" s="47">
        <v>0</v>
      </c>
      <c r="F47" s="48">
        <v>0</v>
      </c>
      <c r="G47" s="48">
        <v>0</v>
      </c>
      <c r="H47" s="48">
        <v>0</v>
      </c>
      <c r="I47" s="63">
        <v>0</v>
      </c>
      <c r="K47" s="184">
        <f t="shared" si="6"/>
        <v>0</v>
      </c>
      <c r="L47" s="184">
        <f t="shared" si="7"/>
        <v>0</v>
      </c>
      <c r="M47" s="184">
        <f t="shared" si="8"/>
        <v>0</v>
      </c>
      <c r="N47" s="184">
        <f t="shared" si="9"/>
        <v>0</v>
      </c>
      <c r="O47" s="184">
        <f t="shared" si="10"/>
        <v>0</v>
      </c>
      <c r="Q47" s="184" t="str">
        <f t="shared" si="4"/>
        <v>-</v>
      </c>
      <c r="R47" s="184" t="str">
        <f t="shared" si="0"/>
        <v>-</v>
      </c>
      <c r="S47" s="184" t="str">
        <f t="shared" si="1"/>
        <v>-</v>
      </c>
      <c r="T47" s="184" t="str">
        <f t="shared" si="2"/>
        <v>-</v>
      </c>
    </row>
    <row r="48" spans="2:20" ht="15.75" hidden="1" outlineLevel="3" thickBot="1" x14ac:dyDescent="0.3">
      <c r="B48" s="44" t="s">
        <v>57</v>
      </c>
      <c r="C48" s="45">
        <v>45</v>
      </c>
      <c r="D48" s="46" t="s">
        <v>60</v>
      </c>
      <c r="E48" s="47">
        <v>8580</v>
      </c>
      <c r="F48" s="48">
        <v>7207</v>
      </c>
      <c r="G48" s="48">
        <v>1475</v>
      </c>
      <c r="H48" s="48">
        <v>4741</v>
      </c>
      <c r="I48" s="63">
        <v>506</v>
      </c>
      <c r="K48" s="184">
        <f t="shared" si="6"/>
        <v>1.6926218455930381E-3</v>
      </c>
      <c r="L48" s="184">
        <f t="shared" si="7"/>
        <v>1.6096574982969838E-3</v>
      </c>
      <c r="M48" s="184">
        <f t="shared" si="8"/>
        <v>3.681112349795018E-4</v>
      </c>
      <c r="N48" s="184">
        <f t="shared" si="9"/>
        <v>1.2773666578473313E-3</v>
      </c>
      <c r="O48" s="184">
        <f t="shared" si="10"/>
        <v>1.3663149890694802E-4</v>
      </c>
      <c r="Q48" s="184">
        <f t="shared" si="4"/>
        <v>-0.16002331002331005</v>
      </c>
      <c r="R48" s="184">
        <f t="shared" si="0"/>
        <v>-0.79533786596364642</v>
      </c>
      <c r="S48" s="184">
        <f t="shared" si="1"/>
        <v>2.2142372881355934</v>
      </c>
      <c r="T48" s="184">
        <f t="shared" si="2"/>
        <v>-0.89327146171693739</v>
      </c>
    </row>
    <row r="49" spans="2:20" ht="16.5" hidden="1" outlineLevel="2" thickTop="1" thickBot="1" x14ac:dyDescent="0.3">
      <c r="B49" s="10" t="s">
        <v>61</v>
      </c>
      <c r="C49" s="11">
        <v>46</v>
      </c>
      <c r="D49" s="12" t="s">
        <v>268</v>
      </c>
      <c r="E49" s="10">
        <f>SUM(E50,E60)</f>
        <v>3340500</v>
      </c>
      <c r="F49" s="13">
        <f t="shared" ref="F49:I49" si="22">SUM(F50,F60)</f>
        <v>2833009</v>
      </c>
      <c r="G49" s="13">
        <f t="shared" si="22"/>
        <v>2220934</v>
      </c>
      <c r="H49" s="13">
        <f t="shared" si="22"/>
        <v>2155237</v>
      </c>
      <c r="I49" s="11">
        <f t="shared" si="22"/>
        <v>2004190</v>
      </c>
      <c r="K49" s="186">
        <f t="shared" si="6"/>
        <v>0.65899805072302375</v>
      </c>
      <c r="L49" s="186">
        <f t="shared" si="7"/>
        <v>0.6327423587613209</v>
      </c>
      <c r="M49" s="186">
        <f t="shared" si="8"/>
        <v>0.55427170003251858</v>
      </c>
      <c r="N49" s="186">
        <f t="shared" si="9"/>
        <v>0.58068506297382594</v>
      </c>
      <c r="O49" s="186">
        <f t="shared" si="10"/>
        <v>0.54117684544331246</v>
      </c>
      <c r="Q49" s="186">
        <f t="shared" si="4"/>
        <v>-0.15192067055829961</v>
      </c>
      <c r="R49" s="186">
        <f t="shared" si="0"/>
        <v>-0.21605120209642825</v>
      </c>
      <c r="S49" s="186">
        <f t="shared" si="1"/>
        <v>-2.9580797988594032E-2</v>
      </c>
      <c r="T49" s="186">
        <f t="shared" si="2"/>
        <v>-7.0083707731446676E-2</v>
      </c>
    </row>
    <row r="50" spans="2:20" ht="15.75" hidden="1" outlineLevel="2" thickTop="1" x14ac:dyDescent="0.25">
      <c r="B50" s="44" t="s">
        <v>63</v>
      </c>
      <c r="C50" s="45">
        <v>47</v>
      </c>
      <c r="D50" s="46" t="s">
        <v>62</v>
      </c>
      <c r="E50" s="47">
        <f>SUM(E51:E55)</f>
        <v>587891</v>
      </c>
      <c r="F50" s="48">
        <f t="shared" ref="F50:I50" si="23">SUM(F51:F55)</f>
        <v>532306</v>
      </c>
      <c r="G50" s="48">
        <f t="shared" si="23"/>
        <v>653621</v>
      </c>
      <c r="H50" s="48">
        <f t="shared" si="23"/>
        <v>619815</v>
      </c>
      <c r="I50" s="63">
        <f t="shared" si="23"/>
        <v>601363</v>
      </c>
      <c r="K50" s="184">
        <f t="shared" si="6"/>
        <v>0.11597635774213715</v>
      </c>
      <c r="L50" s="184">
        <f t="shared" si="7"/>
        <v>0.11888862831808994</v>
      </c>
      <c r="M50" s="184">
        <f t="shared" si="8"/>
        <v>0.16312219221595725</v>
      </c>
      <c r="N50" s="184">
        <f t="shared" si="9"/>
        <v>0.16699662835554602</v>
      </c>
      <c r="O50" s="184">
        <f t="shared" si="10"/>
        <v>0.16238167604185569</v>
      </c>
      <c r="Q50" s="184">
        <f t="shared" si="4"/>
        <v>-9.4549840021364462E-2</v>
      </c>
      <c r="R50" s="184">
        <f t="shared" si="0"/>
        <v>0.22790462628638419</v>
      </c>
      <c r="S50" s="184">
        <f t="shared" si="1"/>
        <v>-5.1721104432079112E-2</v>
      </c>
      <c r="T50" s="184">
        <f t="shared" si="2"/>
        <v>-2.9770173358179441E-2</v>
      </c>
    </row>
    <row r="51" spans="2:20" hidden="1" outlineLevel="3" x14ac:dyDescent="0.25">
      <c r="B51" s="86" t="s">
        <v>269</v>
      </c>
      <c r="C51" s="87">
        <v>48</v>
      </c>
      <c r="D51" s="83" t="s">
        <v>64</v>
      </c>
      <c r="E51" s="84">
        <v>424371</v>
      </c>
      <c r="F51" s="85">
        <v>369014</v>
      </c>
      <c r="G51" s="85">
        <v>501102</v>
      </c>
      <c r="H51" s="85">
        <v>469654</v>
      </c>
      <c r="I51" s="100">
        <v>455461</v>
      </c>
      <c r="K51" s="185">
        <f t="shared" si="6"/>
        <v>8.3717905039179849E-2</v>
      </c>
      <c r="L51" s="185">
        <f t="shared" si="7"/>
        <v>8.2417948116631487E-2</v>
      </c>
      <c r="M51" s="185">
        <f t="shared" si="8"/>
        <v>0.1250584922513209</v>
      </c>
      <c r="N51" s="185">
        <f t="shared" si="9"/>
        <v>0.12653878091639539</v>
      </c>
      <c r="O51" s="185">
        <f t="shared" si="10"/>
        <v>0.12298482040248507</v>
      </c>
      <c r="Q51" s="185">
        <f t="shared" si="4"/>
        <v>-0.13044482304398741</v>
      </c>
      <c r="R51" s="185">
        <f t="shared" si="0"/>
        <v>0.35794847891949888</v>
      </c>
      <c r="S51" s="185">
        <f t="shared" si="1"/>
        <v>-6.2757682068720566E-2</v>
      </c>
      <c r="T51" s="185">
        <f t="shared" si="2"/>
        <v>-3.022011949222192E-2</v>
      </c>
    </row>
    <row r="52" spans="2:20" hidden="1" outlineLevel="3" x14ac:dyDescent="0.25">
      <c r="B52" s="86" t="s">
        <v>270</v>
      </c>
      <c r="C52" s="87">
        <v>49</v>
      </c>
      <c r="D52" s="83" t="s">
        <v>66</v>
      </c>
      <c r="E52" s="84">
        <v>0</v>
      </c>
      <c r="F52" s="85">
        <v>0</v>
      </c>
      <c r="G52" s="85">
        <v>0</v>
      </c>
      <c r="H52" s="85">
        <v>0</v>
      </c>
      <c r="I52" s="100">
        <v>0</v>
      </c>
      <c r="K52" s="185">
        <f t="shared" si="6"/>
        <v>0</v>
      </c>
      <c r="L52" s="185">
        <f t="shared" si="7"/>
        <v>0</v>
      </c>
      <c r="M52" s="185">
        <f t="shared" si="8"/>
        <v>0</v>
      </c>
      <c r="N52" s="185">
        <f t="shared" si="9"/>
        <v>0</v>
      </c>
      <c r="O52" s="185">
        <f t="shared" si="10"/>
        <v>0</v>
      </c>
      <c r="Q52" s="185" t="str">
        <f t="shared" si="4"/>
        <v>-</v>
      </c>
      <c r="R52" s="185" t="str">
        <f t="shared" si="0"/>
        <v>-</v>
      </c>
      <c r="S52" s="185" t="str">
        <f t="shared" si="1"/>
        <v>-</v>
      </c>
      <c r="T52" s="185" t="str">
        <f t="shared" si="2"/>
        <v>-</v>
      </c>
    </row>
    <row r="53" spans="2:20" hidden="1" outlineLevel="3" x14ac:dyDescent="0.25">
      <c r="B53" s="86" t="s">
        <v>271</v>
      </c>
      <c r="C53" s="87">
        <v>50</v>
      </c>
      <c r="D53" s="83" t="s">
        <v>68</v>
      </c>
      <c r="E53" s="84">
        <v>0</v>
      </c>
      <c r="F53" s="85">
        <v>0</v>
      </c>
      <c r="G53" s="85">
        <v>0</v>
      </c>
      <c r="H53" s="85">
        <v>0</v>
      </c>
      <c r="I53" s="100">
        <v>0</v>
      </c>
      <c r="K53" s="185">
        <f t="shared" si="6"/>
        <v>0</v>
      </c>
      <c r="L53" s="185">
        <f t="shared" si="7"/>
        <v>0</v>
      </c>
      <c r="M53" s="185">
        <f t="shared" si="8"/>
        <v>0</v>
      </c>
      <c r="N53" s="185">
        <f t="shared" si="9"/>
        <v>0</v>
      </c>
      <c r="O53" s="185">
        <f t="shared" si="10"/>
        <v>0</v>
      </c>
      <c r="Q53" s="185" t="str">
        <f t="shared" si="4"/>
        <v>-</v>
      </c>
      <c r="R53" s="185" t="str">
        <f t="shared" si="0"/>
        <v>-</v>
      </c>
      <c r="S53" s="185" t="str">
        <f t="shared" si="1"/>
        <v>-</v>
      </c>
      <c r="T53" s="185" t="str">
        <f t="shared" si="2"/>
        <v>-</v>
      </c>
    </row>
    <row r="54" spans="2:20" hidden="1" outlineLevel="3" x14ac:dyDescent="0.25">
      <c r="B54" s="86" t="s">
        <v>272</v>
      </c>
      <c r="C54" s="87">
        <v>51</v>
      </c>
      <c r="D54" s="83" t="s">
        <v>77</v>
      </c>
      <c r="E54" s="84">
        <v>163507</v>
      </c>
      <c r="F54" s="85">
        <v>163082</v>
      </c>
      <c r="G54" s="85">
        <v>151282</v>
      </c>
      <c r="H54" s="85">
        <v>149004</v>
      </c>
      <c r="I54" s="100">
        <v>145902</v>
      </c>
      <c r="K54" s="185">
        <f t="shared" si="6"/>
        <v>3.2255888124403366E-2</v>
      </c>
      <c r="L54" s="185">
        <f t="shared" si="7"/>
        <v>3.6423777457647938E-2</v>
      </c>
      <c r="M54" s="185">
        <f t="shared" si="8"/>
        <v>3.7754985661131522E-2</v>
      </c>
      <c r="N54" s="185">
        <f t="shared" si="9"/>
        <v>4.0146117166396073E-2</v>
      </c>
      <c r="O54" s="185">
        <f t="shared" si="10"/>
        <v>3.9396855639370607E-2</v>
      </c>
      <c r="Q54" s="185">
        <f t="shared" si="4"/>
        <v>-2.5992770951702715E-3</v>
      </c>
      <c r="R54" s="185">
        <f t="shared" si="0"/>
        <v>-7.2356237966176518E-2</v>
      </c>
      <c r="S54" s="185">
        <f t="shared" si="1"/>
        <v>-1.505797120609198E-2</v>
      </c>
      <c r="T54" s="185">
        <f t="shared" si="2"/>
        <v>-2.0818233067568692E-2</v>
      </c>
    </row>
    <row r="55" spans="2:20" hidden="1" outlineLevel="3" x14ac:dyDescent="0.25">
      <c r="B55" s="86" t="s">
        <v>273</v>
      </c>
      <c r="C55" s="87">
        <v>52</v>
      </c>
      <c r="D55" s="83" t="s">
        <v>278</v>
      </c>
      <c r="E55" s="89">
        <f>SUM(E56:E59)</f>
        <v>13</v>
      </c>
      <c r="F55" s="90">
        <f t="shared" ref="F55:I55" si="24">SUM(F56:F59)</f>
        <v>210</v>
      </c>
      <c r="G55" s="90">
        <f t="shared" si="24"/>
        <v>1237</v>
      </c>
      <c r="H55" s="90">
        <f t="shared" si="24"/>
        <v>1157</v>
      </c>
      <c r="I55" s="101">
        <f t="shared" si="24"/>
        <v>0</v>
      </c>
      <c r="K55" s="185">
        <f t="shared" si="6"/>
        <v>2.5645785539288457E-6</v>
      </c>
      <c r="L55" s="185">
        <f t="shared" si="7"/>
        <v>4.6902743810512917E-5</v>
      </c>
      <c r="M55" s="185">
        <f t="shared" si="8"/>
        <v>3.0871430350484325E-4</v>
      </c>
      <c r="N55" s="185">
        <f t="shared" si="9"/>
        <v>3.117302727545586E-4</v>
      </c>
      <c r="O55" s="185">
        <f t="shared" si="10"/>
        <v>0</v>
      </c>
      <c r="Q55" s="185">
        <f t="shared" si="4"/>
        <v>15.153846153846153</v>
      </c>
      <c r="R55" s="185">
        <f t="shared" si="0"/>
        <v>4.8904761904761909</v>
      </c>
      <c r="S55" s="185">
        <f t="shared" si="1"/>
        <v>-6.4672594987873921E-2</v>
      </c>
      <c r="T55" s="185">
        <f t="shared" si="2"/>
        <v>-1</v>
      </c>
    </row>
    <row r="56" spans="2:20" hidden="1" outlineLevel="3" x14ac:dyDescent="0.25">
      <c r="B56" s="94" t="s">
        <v>274</v>
      </c>
      <c r="C56" s="87">
        <v>53</v>
      </c>
      <c r="D56" s="91" t="s">
        <v>279</v>
      </c>
      <c r="E56" s="92">
        <v>0</v>
      </c>
      <c r="F56" s="93">
        <v>0</v>
      </c>
      <c r="G56" s="93">
        <v>0</v>
      </c>
      <c r="H56" s="93">
        <v>0</v>
      </c>
      <c r="I56" s="102">
        <v>0</v>
      </c>
      <c r="K56" s="187">
        <f t="shared" si="6"/>
        <v>0</v>
      </c>
      <c r="L56" s="187">
        <f t="shared" si="7"/>
        <v>0</v>
      </c>
      <c r="M56" s="187">
        <f t="shared" si="8"/>
        <v>0</v>
      </c>
      <c r="N56" s="187">
        <f t="shared" si="9"/>
        <v>0</v>
      </c>
      <c r="O56" s="187">
        <f t="shared" si="10"/>
        <v>0</v>
      </c>
      <c r="Q56" s="187" t="str">
        <f t="shared" si="4"/>
        <v>-</v>
      </c>
      <c r="R56" s="187" t="str">
        <f t="shared" si="0"/>
        <v>-</v>
      </c>
      <c r="S56" s="187" t="str">
        <f t="shared" si="1"/>
        <v>-</v>
      </c>
      <c r="T56" s="187" t="str">
        <f t="shared" si="2"/>
        <v>-</v>
      </c>
    </row>
    <row r="57" spans="2:20" hidden="1" outlineLevel="3" x14ac:dyDescent="0.25">
      <c r="B57" s="44" t="s">
        <v>275</v>
      </c>
      <c r="C57" s="45">
        <v>54</v>
      </c>
      <c r="D57" s="46" t="s">
        <v>71</v>
      </c>
      <c r="E57" s="84">
        <v>0</v>
      </c>
      <c r="F57" s="85">
        <v>0</v>
      </c>
      <c r="G57" s="85">
        <v>0</v>
      </c>
      <c r="H57" s="85">
        <v>0</v>
      </c>
      <c r="I57" s="100">
        <v>0</v>
      </c>
      <c r="K57" s="184">
        <f t="shared" si="6"/>
        <v>0</v>
      </c>
      <c r="L57" s="184">
        <f t="shared" si="7"/>
        <v>0</v>
      </c>
      <c r="M57" s="184">
        <f t="shared" si="8"/>
        <v>0</v>
      </c>
      <c r="N57" s="184">
        <f t="shared" si="9"/>
        <v>0</v>
      </c>
      <c r="O57" s="184">
        <f t="shared" si="10"/>
        <v>0</v>
      </c>
      <c r="Q57" s="184" t="str">
        <f t="shared" si="4"/>
        <v>-</v>
      </c>
      <c r="R57" s="184" t="str">
        <f t="shared" si="0"/>
        <v>-</v>
      </c>
      <c r="S57" s="184" t="str">
        <f t="shared" si="1"/>
        <v>-</v>
      </c>
      <c r="T57" s="184" t="str">
        <f t="shared" si="2"/>
        <v>-</v>
      </c>
    </row>
    <row r="58" spans="2:20" hidden="1" outlineLevel="3" x14ac:dyDescent="0.25">
      <c r="B58" s="44" t="s">
        <v>276</v>
      </c>
      <c r="C58" s="45">
        <v>55</v>
      </c>
      <c r="D58" s="46" t="s">
        <v>73</v>
      </c>
      <c r="E58" s="84">
        <v>0</v>
      </c>
      <c r="F58" s="85">
        <v>0</v>
      </c>
      <c r="G58" s="85">
        <v>0</v>
      </c>
      <c r="H58" s="85">
        <v>0</v>
      </c>
      <c r="I58" s="100">
        <v>0</v>
      </c>
      <c r="K58" s="184">
        <f t="shared" si="6"/>
        <v>0</v>
      </c>
      <c r="L58" s="184">
        <f t="shared" si="7"/>
        <v>0</v>
      </c>
      <c r="M58" s="184">
        <f t="shared" si="8"/>
        <v>0</v>
      </c>
      <c r="N58" s="184">
        <f t="shared" si="9"/>
        <v>0</v>
      </c>
      <c r="O58" s="184">
        <f t="shared" si="10"/>
        <v>0</v>
      </c>
      <c r="Q58" s="184" t="str">
        <f t="shared" si="4"/>
        <v>-</v>
      </c>
      <c r="R58" s="184" t="str">
        <f t="shared" si="0"/>
        <v>-</v>
      </c>
      <c r="S58" s="184" t="str">
        <f t="shared" si="1"/>
        <v>-</v>
      </c>
      <c r="T58" s="184" t="str">
        <f t="shared" si="2"/>
        <v>-</v>
      </c>
    </row>
    <row r="59" spans="2:20" hidden="1" outlineLevel="3" x14ac:dyDescent="0.25">
      <c r="B59" s="44" t="s">
        <v>277</v>
      </c>
      <c r="C59" s="45">
        <v>56</v>
      </c>
      <c r="D59" s="46" t="s">
        <v>75</v>
      </c>
      <c r="E59" s="47">
        <v>13</v>
      </c>
      <c r="F59" s="48">
        <v>210</v>
      </c>
      <c r="G59" s="48">
        <v>1237</v>
      </c>
      <c r="H59" s="48">
        <v>1157</v>
      </c>
      <c r="I59" s="63">
        <v>0</v>
      </c>
      <c r="K59" s="184">
        <f t="shared" si="6"/>
        <v>2.5645785539288457E-6</v>
      </c>
      <c r="L59" s="184">
        <f t="shared" si="7"/>
        <v>4.6902743810512917E-5</v>
      </c>
      <c r="M59" s="184">
        <f t="shared" si="8"/>
        <v>3.0871430350484325E-4</v>
      </c>
      <c r="N59" s="184">
        <f t="shared" si="9"/>
        <v>3.117302727545586E-4</v>
      </c>
      <c r="O59" s="184">
        <f t="shared" si="10"/>
        <v>0</v>
      </c>
      <c r="Q59" s="184">
        <f t="shared" si="4"/>
        <v>15.153846153846153</v>
      </c>
      <c r="R59" s="184">
        <f t="shared" si="0"/>
        <v>4.8904761904761909</v>
      </c>
      <c r="S59" s="184">
        <f t="shared" si="1"/>
        <v>-6.4672594987873921E-2</v>
      </c>
      <c r="T59" s="184">
        <f t="shared" si="2"/>
        <v>-1</v>
      </c>
    </row>
    <row r="60" spans="2:20" hidden="1" outlineLevel="2" x14ac:dyDescent="0.25">
      <c r="B60" s="44" t="s">
        <v>65</v>
      </c>
      <c r="C60" s="45">
        <v>57</v>
      </c>
      <c r="D60" s="46" t="s">
        <v>79</v>
      </c>
      <c r="E60" s="47">
        <f>SUM(E61:E64)</f>
        <v>2752609</v>
      </c>
      <c r="F60" s="48">
        <f t="shared" ref="F60:I60" si="25">SUM(F61:F64)</f>
        <v>2300703</v>
      </c>
      <c r="G60" s="48">
        <f t="shared" si="25"/>
        <v>1567313</v>
      </c>
      <c r="H60" s="48">
        <f t="shared" si="25"/>
        <v>1535422</v>
      </c>
      <c r="I60" s="63">
        <f t="shared" si="25"/>
        <v>1402827</v>
      </c>
      <c r="K60" s="184">
        <f t="shared" si="6"/>
        <v>0.54302169298088654</v>
      </c>
      <c r="L60" s="184">
        <f t="shared" si="7"/>
        <v>0.5138537304432309</v>
      </c>
      <c r="M60" s="184">
        <f t="shared" si="8"/>
        <v>0.39114950781656133</v>
      </c>
      <c r="N60" s="184">
        <f t="shared" si="9"/>
        <v>0.41368843461827998</v>
      </c>
      <c r="O60" s="184">
        <f t="shared" si="10"/>
        <v>0.3787951694014568</v>
      </c>
      <c r="Q60" s="184">
        <f t="shared" si="4"/>
        <v>-0.16417369848024188</v>
      </c>
      <c r="R60" s="184">
        <f t="shared" si="0"/>
        <v>-0.31876778532474637</v>
      </c>
      <c r="S60" s="184">
        <f t="shared" si="1"/>
        <v>-2.0347562994756041E-2</v>
      </c>
      <c r="T60" s="184">
        <f t="shared" si="2"/>
        <v>-8.6357366248497103E-2</v>
      </c>
    </row>
    <row r="61" spans="2:20" hidden="1" outlineLevel="3" x14ac:dyDescent="0.25">
      <c r="B61" s="86" t="s">
        <v>280</v>
      </c>
      <c r="C61" s="87">
        <v>58</v>
      </c>
      <c r="D61" s="83" t="s">
        <v>64</v>
      </c>
      <c r="E61" s="84">
        <v>2587591</v>
      </c>
      <c r="F61" s="85">
        <v>2098118</v>
      </c>
      <c r="G61" s="85">
        <v>1489254</v>
      </c>
      <c r="H61" s="85">
        <v>1259496</v>
      </c>
      <c r="I61" s="100">
        <v>1134264</v>
      </c>
      <c r="K61" s="185">
        <f t="shared" si="6"/>
        <v>0.51046772191840739</v>
      </c>
      <c r="L61" s="185">
        <f t="shared" si="7"/>
        <v>0.46860710018202734</v>
      </c>
      <c r="M61" s="185">
        <f t="shared" si="8"/>
        <v>0.37166856212756816</v>
      </c>
      <c r="N61" s="185">
        <f t="shared" si="9"/>
        <v>0.33934574901752423</v>
      </c>
      <c r="O61" s="185">
        <f t="shared" si="10"/>
        <v>0.30627705627705626</v>
      </c>
      <c r="Q61" s="185">
        <f t="shared" si="4"/>
        <v>-0.18916165653691019</v>
      </c>
      <c r="R61" s="185">
        <f t="shared" si="0"/>
        <v>-0.29019530836683161</v>
      </c>
      <c r="S61" s="185">
        <f t="shared" si="1"/>
        <v>-0.15427724216285466</v>
      </c>
      <c r="T61" s="185">
        <f t="shared" si="2"/>
        <v>-9.9430248289792078E-2</v>
      </c>
    </row>
    <row r="62" spans="2:20" hidden="1" outlineLevel="3" x14ac:dyDescent="0.25">
      <c r="B62" s="86" t="s">
        <v>281</v>
      </c>
      <c r="C62" s="87">
        <v>59</v>
      </c>
      <c r="D62" s="83" t="s">
        <v>66</v>
      </c>
      <c r="E62" s="84">
        <v>127851</v>
      </c>
      <c r="F62" s="85">
        <v>167758</v>
      </c>
      <c r="G62" s="85">
        <v>41362</v>
      </c>
      <c r="H62" s="85">
        <v>226210</v>
      </c>
      <c r="I62" s="100">
        <v>183111</v>
      </c>
      <c r="K62" s="185">
        <f t="shared" si="6"/>
        <v>2.5221840976796681E-2</v>
      </c>
      <c r="L62" s="185">
        <f t="shared" si="7"/>
        <v>3.7468145219828691E-2</v>
      </c>
      <c r="M62" s="185">
        <f t="shared" si="8"/>
        <v>1.0322587729642138E-2</v>
      </c>
      <c r="N62" s="185">
        <f t="shared" si="9"/>
        <v>6.0947713915132845E-2</v>
      </c>
      <c r="O62" s="185">
        <f t="shared" si="10"/>
        <v>4.9444131218083311E-2</v>
      </c>
      <c r="Q62" s="185">
        <f t="shared" si="4"/>
        <v>0.31213678422538726</v>
      </c>
      <c r="R62" s="185">
        <f t="shared" si="0"/>
        <v>-0.75344245877990912</v>
      </c>
      <c r="S62" s="185">
        <f t="shared" si="1"/>
        <v>4.4690295440259176</v>
      </c>
      <c r="T62" s="185">
        <f t="shared" si="2"/>
        <v>-0.19052650192299192</v>
      </c>
    </row>
    <row r="63" spans="2:20" hidden="1" outlineLevel="3" x14ac:dyDescent="0.25">
      <c r="B63" s="86" t="s">
        <v>282</v>
      </c>
      <c r="C63" s="87">
        <v>60</v>
      </c>
      <c r="D63" s="83" t="s">
        <v>68</v>
      </c>
      <c r="E63" s="84">
        <v>0</v>
      </c>
      <c r="F63" s="85">
        <v>0</v>
      </c>
      <c r="G63" s="85">
        <v>0</v>
      </c>
      <c r="H63" s="85">
        <v>0</v>
      </c>
      <c r="I63" s="100">
        <v>0</v>
      </c>
      <c r="K63" s="185">
        <f t="shared" si="6"/>
        <v>0</v>
      </c>
      <c r="L63" s="185">
        <f t="shared" si="7"/>
        <v>0</v>
      </c>
      <c r="M63" s="185">
        <f t="shared" si="8"/>
        <v>0</v>
      </c>
      <c r="N63" s="185">
        <f t="shared" si="9"/>
        <v>0</v>
      </c>
      <c r="O63" s="185">
        <f t="shared" si="10"/>
        <v>0</v>
      </c>
      <c r="Q63" s="185" t="str">
        <f t="shared" si="4"/>
        <v>-</v>
      </c>
      <c r="R63" s="185" t="str">
        <f t="shared" si="0"/>
        <v>-</v>
      </c>
      <c r="S63" s="185" t="str">
        <f t="shared" si="1"/>
        <v>-</v>
      </c>
      <c r="T63" s="185" t="str">
        <f t="shared" si="2"/>
        <v>-</v>
      </c>
    </row>
    <row r="64" spans="2:20" hidden="1" outlineLevel="3" x14ac:dyDescent="0.25">
      <c r="B64" s="86" t="s">
        <v>283</v>
      </c>
      <c r="C64" s="87">
        <v>61</v>
      </c>
      <c r="D64" s="83" t="s">
        <v>278</v>
      </c>
      <c r="E64" s="84">
        <f>SUM(E65:E70)</f>
        <v>37167</v>
      </c>
      <c r="F64" s="85">
        <f t="shared" ref="F64:I64" si="26">SUM(F65:F70)</f>
        <v>34827</v>
      </c>
      <c r="G64" s="85">
        <f t="shared" si="26"/>
        <v>36697</v>
      </c>
      <c r="H64" s="85">
        <f t="shared" si="26"/>
        <v>49716</v>
      </c>
      <c r="I64" s="100">
        <f t="shared" si="26"/>
        <v>85452</v>
      </c>
      <c r="K64" s="185">
        <f t="shared" si="6"/>
        <v>7.3321300856825696E-3</v>
      </c>
      <c r="L64" s="185">
        <f t="shared" si="7"/>
        <v>7.7784850413749208E-3</v>
      </c>
      <c r="M64" s="185">
        <f t="shared" si="8"/>
        <v>9.1583579593510368E-3</v>
      </c>
      <c r="N64" s="185">
        <f t="shared" si="9"/>
        <v>1.3394971685622849E-2</v>
      </c>
      <c r="O64" s="185">
        <f t="shared" si="10"/>
        <v>2.3073981906317237E-2</v>
      </c>
      <c r="Q64" s="185">
        <f t="shared" si="4"/>
        <v>-6.2959076600209829E-2</v>
      </c>
      <c r="R64" s="185">
        <f t="shared" si="0"/>
        <v>5.3693973066873513E-2</v>
      </c>
      <c r="S64" s="185">
        <f t="shared" si="1"/>
        <v>0.35477014469847679</v>
      </c>
      <c r="T64" s="185">
        <f t="shared" si="2"/>
        <v>0.71880279990345164</v>
      </c>
    </row>
    <row r="65" spans="2:20" hidden="1" outlineLevel="3" x14ac:dyDescent="0.25">
      <c r="B65" s="44" t="s">
        <v>284</v>
      </c>
      <c r="C65" s="45">
        <v>62</v>
      </c>
      <c r="D65" s="46" t="s">
        <v>279</v>
      </c>
      <c r="E65" s="47">
        <v>0</v>
      </c>
      <c r="F65" s="48">
        <v>0</v>
      </c>
      <c r="G65" s="48">
        <v>0</v>
      </c>
      <c r="H65" s="48">
        <v>0</v>
      </c>
      <c r="I65" s="63">
        <v>0</v>
      </c>
      <c r="K65" s="184">
        <f t="shared" si="6"/>
        <v>0</v>
      </c>
      <c r="L65" s="184">
        <f t="shared" si="7"/>
        <v>0</v>
      </c>
      <c r="M65" s="184">
        <f t="shared" si="8"/>
        <v>0</v>
      </c>
      <c r="N65" s="184">
        <f t="shared" si="9"/>
        <v>0</v>
      </c>
      <c r="O65" s="184">
        <f t="shared" si="10"/>
        <v>0</v>
      </c>
      <c r="Q65" s="184" t="str">
        <f t="shared" si="4"/>
        <v>-</v>
      </c>
      <c r="R65" s="184" t="str">
        <f t="shared" si="0"/>
        <v>-</v>
      </c>
      <c r="S65" s="184" t="str">
        <f t="shared" si="1"/>
        <v>-</v>
      </c>
      <c r="T65" s="184" t="str">
        <f t="shared" si="2"/>
        <v>-</v>
      </c>
    </row>
    <row r="66" spans="2:20" hidden="1" outlineLevel="3" x14ac:dyDescent="0.25">
      <c r="B66" s="44" t="s">
        <v>285</v>
      </c>
      <c r="C66" s="45">
        <v>63</v>
      </c>
      <c r="D66" s="46" t="s">
        <v>82</v>
      </c>
      <c r="E66" s="47">
        <v>0</v>
      </c>
      <c r="F66" s="48">
        <v>0</v>
      </c>
      <c r="G66" s="48">
        <v>0</v>
      </c>
      <c r="H66" s="48">
        <v>0</v>
      </c>
      <c r="I66" s="63">
        <v>0</v>
      </c>
      <c r="K66" s="184">
        <f t="shared" si="6"/>
        <v>0</v>
      </c>
      <c r="L66" s="184">
        <f t="shared" si="7"/>
        <v>0</v>
      </c>
      <c r="M66" s="184">
        <f t="shared" si="8"/>
        <v>0</v>
      </c>
      <c r="N66" s="184">
        <f t="shared" si="9"/>
        <v>0</v>
      </c>
      <c r="O66" s="184">
        <f t="shared" si="10"/>
        <v>0</v>
      </c>
      <c r="Q66" s="184" t="str">
        <f t="shared" si="4"/>
        <v>-</v>
      </c>
      <c r="R66" s="184" t="str">
        <f t="shared" si="0"/>
        <v>-</v>
      </c>
      <c r="S66" s="184" t="str">
        <f t="shared" si="1"/>
        <v>-</v>
      </c>
      <c r="T66" s="184" t="str">
        <f t="shared" si="2"/>
        <v>-</v>
      </c>
    </row>
    <row r="67" spans="2:20" hidden="1" outlineLevel="3" x14ac:dyDescent="0.25">
      <c r="B67" s="44" t="s">
        <v>286</v>
      </c>
      <c r="C67" s="45">
        <v>64</v>
      </c>
      <c r="D67" s="46" t="s">
        <v>83</v>
      </c>
      <c r="E67" s="47">
        <v>25247</v>
      </c>
      <c r="F67" s="48">
        <v>17100</v>
      </c>
      <c r="G67" s="48">
        <v>21170</v>
      </c>
      <c r="H67" s="48">
        <v>35847</v>
      </c>
      <c r="I67" s="63">
        <v>30887</v>
      </c>
      <c r="K67" s="184">
        <f t="shared" si="6"/>
        <v>4.9806088270031969E-3</v>
      </c>
      <c r="L67" s="184">
        <f t="shared" si="7"/>
        <v>3.8192234245703373E-3</v>
      </c>
      <c r="M67" s="184">
        <f t="shared" si="8"/>
        <v>5.2833320979769859E-3</v>
      </c>
      <c r="N67" s="184">
        <f t="shared" si="9"/>
        <v>9.6582498594923617E-3</v>
      </c>
      <c r="O67" s="184">
        <f t="shared" si="10"/>
        <v>8.340191910551192E-3</v>
      </c>
      <c r="Q67" s="184">
        <f t="shared" si="4"/>
        <v>-0.32269180496692673</v>
      </c>
      <c r="R67" s="184">
        <f t="shared" si="0"/>
        <v>0.23801169590643267</v>
      </c>
      <c r="S67" s="184">
        <f t="shared" si="1"/>
        <v>0.6932923948984413</v>
      </c>
      <c r="T67" s="184">
        <f t="shared" si="2"/>
        <v>-0.13836583256618407</v>
      </c>
    </row>
    <row r="68" spans="2:20" hidden="1" outlineLevel="3" x14ac:dyDescent="0.25">
      <c r="B68" s="44" t="s">
        <v>287</v>
      </c>
      <c r="C68" s="45">
        <v>65</v>
      </c>
      <c r="D68" s="46" t="s">
        <v>84</v>
      </c>
      <c r="E68" s="49">
        <v>5291</v>
      </c>
      <c r="F68" s="50">
        <v>9765</v>
      </c>
      <c r="G68" s="50">
        <v>6118</v>
      </c>
      <c r="H68" s="50">
        <v>7924</v>
      </c>
      <c r="I68" s="103">
        <v>7699</v>
      </c>
      <c r="K68" s="184">
        <f t="shared" si="6"/>
        <v>1.0437834714490401E-3</v>
      </c>
      <c r="L68" s="184">
        <f t="shared" si="7"/>
        <v>2.1809775871888507E-3</v>
      </c>
      <c r="M68" s="184">
        <f t="shared" si="8"/>
        <v>1.5268505326132829E-3</v>
      </c>
      <c r="N68" s="184">
        <f t="shared" si="9"/>
        <v>2.1349616951660522E-3</v>
      </c>
      <c r="O68" s="184">
        <f t="shared" si="10"/>
        <v>2.0789049606414877E-3</v>
      </c>
      <c r="Q68" s="184">
        <f t="shared" si="4"/>
        <v>0.8455868455868456</v>
      </c>
      <c r="R68" s="184">
        <f t="shared" ref="R68:R131" si="27">IFERROR((G68/F68)-1,"-")</f>
        <v>-0.37347670250896059</v>
      </c>
      <c r="S68" s="184">
        <f t="shared" ref="S68:S131" si="28">IFERROR((H68/G68)-1,"-")</f>
        <v>0.29519450800915337</v>
      </c>
      <c r="T68" s="184">
        <f t="shared" ref="T68:T131" si="29">IFERROR((I68/H68)-1,"-")</f>
        <v>-2.8394750126198853E-2</v>
      </c>
    </row>
    <row r="69" spans="2:20" hidden="1" outlineLevel="3" x14ac:dyDescent="0.25">
      <c r="B69" s="44" t="s">
        <v>288</v>
      </c>
      <c r="C69" s="45">
        <v>66</v>
      </c>
      <c r="D69" s="46" t="s">
        <v>73</v>
      </c>
      <c r="E69" s="47">
        <v>563</v>
      </c>
      <c r="F69" s="48">
        <v>5273</v>
      </c>
      <c r="G69" s="48">
        <v>4755</v>
      </c>
      <c r="H69" s="48">
        <v>3027</v>
      </c>
      <c r="I69" s="63">
        <v>4007</v>
      </c>
      <c r="K69" s="184">
        <f t="shared" si="6"/>
        <v>1.1106597891245692E-4</v>
      </c>
      <c r="L69" s="184">
        <f t="shared" si="7"/>
        <v>1.1777055624420695E-3</v>
      </c>
      <c r="M69" s="184">
        <f t="shared" si="8"/>
        <v>1.1866907947983261E-3</v>
      </c>
      <c r="N69" s="184">
        <f t="shared" si="9"/>
        <v>8.1556398930687031E-4</v>
      </c>
      <c r="O69" s="184">
        <f t="shared" si="10"/>
        <v>1.0819810595259697E-3</v>
      </c>
      <c r="Q69" s="184">
        <f t="shared" ref="Q69:Q132" si="30">IFERROR((F69/E69)-1,"-")</f>
        <v>8.3658969804618124</v>
      </c>
      <c r="R69" s="184">
        <f t="shared" si="27"/>
        <v>-9.823629812251089E-2</v>
      </c>
      <c r="S69" s="184">
        <f t="shared" si="28"/>
        <v>-0.36340694006309149</v>
      </c>
      <c r="T69" s="184">
        <f t="shared" si="29"/>
        <v>0.32375289065080937</v>
      </c>
    </row>
    <row r="70" spans="2:20" ht="15.75" hidden="1" outlineLevel="3" thickBot="1" x14ac:dyDescent="0.3">
      <c r="B70" s="44" t="s">
        <v>289</v>
      </c>
      <c r="C70" s="45">
        <v>67</v>
      </c>
      <c r="D70" s="46" t="s">
        <v>75</v>
      </c>
      <c r="E70" s="47">
        <v>6066</v>
      </c>
      <c r="F70" s="48">
        <v>2689</v>
      </c>
      <c r="G70" s="48">
        <v>4654</v>
      </c>
      <c r="H70" s="48">
        <v>2918</v>
      </c>
      <c r="I70" s="63">
        <v>42859</v>
      </c>
      <c r="K70" s="184">
        <f t="shared" ref="K70:K80" si="31">E70/E$4</f>
        <v>1.1966718083178752E-3</v>
      </c>
      <c r="L70" s="184">
        <f t="shared" ref="L70:L80" si="32">F70/F$4</f>
        <v>6.0057846717366298E-4</v>
      </c>
      <c r="M70" s="184">
        <f t="shared" ref="M70:M80" si="33">G70/G$4</f>
        <v>1.1614845339624417E-3</v>
      </c>
      <c r="N70" s="184">
        <f t="shared" ref="N70:N80" si="34">H70/H$4</f>
        <v>7.8619614165756444E-4</v>
      </c>
      <c r="O70" s="184">
        <f t="shared" ref="O70:O80" si="35">I70/I$4</f>
        <v>1.1572903975598587E-2</v>
      </c>
      <c r="Q70" s="184">
        <f t="shared" si="30"/>
        <v>-0.55670952851961752</v>
      </c>
      <c r="R70" s="184">
        <f t="shared" si="27"/>
        <v>0.7307549274823355</v>
      </c>
      <c r="S70" s="184">
        <f t="shared" si="28"/>
        <v>-0.37301246239793728</v>
      </c>
      <c r="T70" s="184">
        <f t="shared" si="29"/>
        <v>13.687799862919809</v>
      </c>
    </row>
    <row r="71" spans="2:20" ht="16.5" hidden="1" outlineLevel="2" thickTop="1" thickBot="1" x14ac:dyDescent="0.3">
      <c r="B71" s="10" t="s">
        <v>78</v>
      </c>
      <c r="C71" s="11">
        <v>68</v>
      </c>
      <c r="D71" s="12" t="s">
        <v>86</v>
      </c>
      <c r="E71" s="10">
        <f>SUM(E72:E73)</f>
        <v>0</v>
      </c>
      <c r="F71" s="13">
        <f t="shared" ref="F71:I71" si="36">SUM(F72:F73)</f>
        <v>0</v>
      </c>
      <c r="G71" s="13">
        <f t="shared" si="36"/>
        <v>0</v>
      </c>
      <c r="H71" s="13">
        <f t="shared" si="36"/>
        <v>0</v>
      </c>
      <c r="I71" s="11">
        <f t="shared" si="36"/>
        <v>0</v>
      </c>
      <c r="K71" s="186">
        <f t="shared" si="31"/>
        <v>0</v>
      </c>
      <c r="L71" s="186">
        <f t="shared" si="32"/>
        <v>0</v>
      </c>
      <c r="M71" s="186">
        <f t="shared" si="33"/>
        <v>0</v>
      </c>
      <c r="N71" s="186">
        <f t="shared" si="34"/>
        <v>0</v>
      </c>
      <c r="O71" s="186">
        <f t="shared" si="35"/>
        <v>0</v>
      </c>
      <c r="Q71" s="186" t="str">
        <f t="shared" si="30"/>
        <v>-</v>
      </c>
      <c r="R71" s="186" t="str">
        <f t="shared" si="27"/>
        <v>-</v>
      </c>
      <c r="S71" s="186" t="str">
        <f t="shared" si="28"/>
        <v>-</v>
      </c>
      <c r="T71" s="186" t="str">
        <f t="shared" si="29"/>
        <v>-</v>
      </c>
    </row>
    <row r="72" spans="2:20" ht="15.75" hidden="1" outlineLevel="3" thickTop="1" x14ac:dyDescent="0.25">
      <c r="B72" s="95" t="s">
        <v>80</v>
      </c>
      <c r="C72" s="96">
        <v>69</v>
      </c>
      <c r="D72" s="97" t="s">
        <v>257</v>
      </c>
      <c r="E72" s="47">
        <v>0</v>
      </c>
      <c r="F72" s="48">
        <v>0</v>
      </c>
      <c r="G72" s="48">
        <v>0</v>
      </c>
      <c r="H72" s="48">
        <v>0</v>
      </c>
      <c r="I72" s="63">
        <v>0</v>
      </c>
      <c r="K72" s="188">
        <f t="shared" si="31"/>
        <v>0</v>
      </c>
      <c r="L72" s="188">
        <f t="shared" si="32"/>
        <v>0</v>
      </c>
      <c r="M72" s="188">
        <f t="shared" si="33"/>
        <v>0</v>
      </c>
      <c r="N72" s="188">
        <f t="shared" si="34"/>
        <v>0</v>
      </c>
      <c r="O72" s="188">
        <f t="shared" si="35"/>
        <v>0</v>
      </c>
      <c r="Q72" s="188" t="str">
        <f t="shared" si="30"/>
        <v>-</v>
      </c>
      <c r="R72" s="188" t="str">
        <f t="shared" si="27"/>
        <v>-</v>
      </c>
      <c r="S72" s="188" t="str">
        <f t="shared" si="28"/>
        <v>-</v>
      </c>
      <c r="T72" s="188" t="str">
        <f t="shared" si="29"/>
        <v>-</v>
      </c>
    </row>
    <row r="73" spans="2:20" ht="15.75" hidden="1" outlineLevel="3" thickBot="1" x14ac:dyDescent="0.3">
      <c r="B73" s="95" t="s">
        <v>81</v>
      </c>
      <c r="C73" s="96">
        <v>70</v>
      </c>
      <c r="D73" s="97" t="s">
        <v>290</v>
      </c>
      <c r="E73" s="47">
        <v>0</v>
      </c>
      <c r="F73" s="48">
        <v>0</v>
      </c>
      <c r="G73" s="48">
        <v>0</v>
      </c>
      <c r="H73" s="48">
        <v>0</v>
      </c>
      <c r="I73" s="63">
        <v>0</v>
      </c>
      <c r="K73" s="188">
        <f t="shared" si="31"/>
        <v>0</v>
      </c>
      <c r="L73" s="188">
        <f t="shared" si="32"/>
        <v>0</v>
      </c>
      <c r="M73" s="188">
        <f t="shared" si="33"/>
        <v>0</v>
      </c>
      <c r="N73" s="188">
        <f t="shared" si="34"/>
        <v>0</v>
      </c>
      <c r="O73" s="188">
        <f t="shared" si="35"/>
        <v>0</v>
      </c>
      <c r="Q73" s="188" t="str">
        <f t="shared" si="30"/>
        <v>-</v>
      </c>
      <c r="R73" s="188" t="str">
        <f t="shared" si="27"/>
        <v>-</v>
      </c>
      <c r="S73" s="188" t="str">
        <f t="shared" si="28"/>
        <v>-</v>
      </c>
      <c r="T73" s="188" t="str">
        <f t="shared" si="29"/>
        <v>-</v>
      </c>
    </row>
    <row r="74" spans="2:20" ht="16.5" hidden="1" outlineLevel="2" thickTop="1" thickBot="1" x14ac:dyDescent="0.3">
      <c r="B74" s="10" t="s">
        <v>85</v>
      </c>
      <c r="C74" s="11">
        <v>71</v>
      </c>
      <c r="D74" s="12" t="s">
        <v>291</v>
      </c>
      <c r="E74" s="10">
        <f>SUM(E75:E76)</f>
        <v>91406</v>
      </c>
      <c r="F74" s="13">
        <f t="shared" ref="F74:I74" si="37">SUM(F75:F76)</f>
        <v>171987</v>
      </c>
      <c r="G74" s="13">
        <f t="shared" si="37"/>
        <v>202136</v>
      </c>
      <c r="H74" s="13">
        <f t="shared" si="37"/>
        <v>311545</v>
      </c>
      <c r="I74" s="11">
        <f t="shared" si="37"/>
        <v>315391</v>
      </c>
      <c r="K74" s="186">
        <f t="shared" si="31"/>
        <v>1.8032143638493852E-2</v>
      </c>
      <c r="L74" s="186">
        <f t="shared" si="32"/>
        <v>3.8412677141612783E-2</v>
      </c>
      <c r="M74" s="186">
        <f t="shared" si="33"/>
        <v>5.0446462775468867E-2</v>
      </c>
      <c r="N74" s="186">
        <f t="shared" si="34"/>
        <v>8.3939505466999964E-2</v>
      </c>
      <c r="O74" s="186">
        <f t="shared" si="35"/>
        <v>8.5162737295970833E-2</v>
      </c>
      <c r="Q74" s="186">
        <f t="shared" si="30"/>
        <v>0.88157232566789934</v>
      </c>
      <c r="R74" s="186">
        <f t="shared" si="27"/>
        <v>0.17529813299842423</v>
      </c>
      <c r="S74" s="186">
        <f t="shared" si="28"/>
        <v>0.54126429730478498</v>
      </c>
      <c r="T74" s="186">
        <f t="shared" si="29"/>
        <v>1.2344926094143727E-2</v>
      </c>
    </row>
    <row r="75" spans="2:20" ht="15.75" hidden="1" outlineLevel="3" thickTop="1" x14ac:dyDescent="0.25">
      <c r="B75" s="94" t="s">
        <v>87</v>
      </c>
      <c r="C75" s="98">
        <v>72</v>
      </c>
      <c r="D75" s="91" t="s">
        <v>292</v>
      </c>
      <c r="E75" s="92">
        <v>8767</v>
      </c>
      <c r="F75" s="93">
        <v>8046</v>
      </c>
      <c r="G75" s="93">
        <v>6776</v>
      </c>
      <c r="H75" s="93">
        <v>3765</v>
      </c>
      <c r="I75" s="102">
        <v>5508</v>
      </c>
      <c r="K75" s="187">
        <f t="shared" si="31"/>
        <v>1.7295123217149376E-3</v>
      </c>
      <c r="L75" s="187">
        <f t="shared" si="32"/>
        <v>1.7970451271399376E-3</v>
      </c>
      <c r="M75" s="187">
        <f t="shared" si="33"/>
        <v>1.691065578454986E-3</v>
      </c>
      <c r="N75" s="187">
        <f t="shared" si="34"/>
        <v>1.0144031779783173E-3</v>
      </c>
      <c r="O75" s="187">
        <f t="shared" si="35"/>
        <v>1.4872851699199005E-3</v>
      </c>
      <c r="Q75" s="187">
        <f t="shared" si="30"/>
        <v>-8.2240219003079762E-2</v>
      </c>
      <c r="R75" s="187">
        <f t="shared" si="27"/>
        <v>-0.15784240616455381</v>
      </c>
      <c r="S75" s="187">
        <f t="shared" si="28"/>
        <v>-0.44436245572609212</v>
      </c>
      <c r="T75" s="187">
        <f t="shared" si="29"/>
        <v>0.46294820717131469</v>
      </c>
    </row>
    <row r="76" spans="2:20" ht="15.75" hidden="1" outlineLevel="3" thickBot="1" x14ac:dyDescent="0.3">
      <c r="B76" s="94" t="s">
        <v>88</v>
      </c>
      <c r="C76" s="98">
        <v>73</v>
      </c>
      <c r="D76" s="91" t="s">
        <v>293</v>
      </c>
      <c r="E76" s="92">
        <v>82639</v>
      </c>
      <c r="F76" s="93">
        <v>163941</v>
      </c>
      <c r="G76" s="93">
        <v>195360</v>
      </c>
      <c r="H76" s="93">
        <v>307780</v>
      </c>
      <c r="I76" s="102">
        <v>309883</v>
      </c>
      <c r="K76" s="187">
        <f t="shared" si="31"/>
        <v>1.6302631316778914E-2</v>
      </c>
      <c r="L76" s="187">
        <f t="shared" si="32"/>
        <v>3.6615632014472849E-2</v>
      </c>
      <c r="M76" s="187">
        <f t="shared" si="33"/>
        <v>4.8755397197013883E-2</v>
      </c>
      <c r="N76" s="187">
        <f t="shared" si="34"/>
        <v>8.2925102289021654E-2</v>
      </c>
      <c r="O76" s="187">
        <f t="shared" si="35"/>
        <v>8.3675452126050931E-2</v>
      </c>
      <c r="Q76" s="187">
        <f t="shared" si="30"/>
        <v>0.98382119822359893</v>
      </c>
      <c r="R76" s="187">
        <f t="shared" si="27"/>
        <v>0.19164821490658235</v>
      </c>
      <c r="S76" s="187">
        <f t="shared" si="28"/>
        <v>0.57545045045045051</v>
      </c>
      <c r="T76" s="187">
        <f t="shared" si="29"/>
        <v>6.8328026512443074E-3</v>
      </c>
    </row>
    <row r="77" spans="2:20" ht="15.75" hidden="1" outlineLevel="1" thickBot="1" x14ac:dyDescent="0.3">
      <c r="B77" s="40" t="s">
        <v>89</v>
      </c>
      <c r="C77" s="41">
        <v>74</v>
      </c>
      <c r="D77" s="42" t="s">
        <v>90</v>
      </c>
      <c r="E77" s="40">
        <f>SUM(E78:E80)</f>
        <v>11608</v>
      </c>
      <c r="F77" s="43">
        <f>SUM(F78:F80)</f>
        <v>23324</v>
      </c>
      <c r="G77" s="43">
        <f>SUM(G78:G80)</f>
        <v>19298</v>
      </c>
      <c r="H77" s="43">
        <f>SUM(H78:H80)</f>
        <v>10029</v>
      </c>
      <c r="I77" s="41">
        <f>SUM(I78:I80)</f>
        <v>14719</v>
      </c>
      <c r="K77" s="182">
        <f t="shared" si="31"/>
        <v>2.2899713733850798E-3</v>
      </c>
      <c r="L77" s="182">
        <f t="shared" si="32"/>
        <v>5.2093314125543008E-3</v>
      </c>
      <c r="M77" s="182">
        <f t="shared" si="33"/>
        <v>4.8161427882267294E-3</v>
      </c>
      <c r="N77" s="182">
        <f t="shared" si="34"/>
        <v>2.7021114135310875E-3</v>
      </c>
      <c r="O77" s="182">
        <f t="shared" si="35"/>
        <v>3.9744644909315572E-3</v>
      </c>
      <c r="Q77" s="182">
        <f t="shared" si="30"/>
        <v>1.0093039283252927</v>
      </c>
      <c r="R77" s="182">
        <f t="shared" si="27"/>
        <v>-0.17261190190361864</v>
      </c>
      <c r="S77" s="182">
        <f t="shared" si="28"/>
        <v>-0.48030884029433107</v>
      </c>
      <c r="T77" s="182">
        <f t="shared" si="29"/>
        <v>0.46764383288463462</v>
      </c>
    </row>
    <row r="78" spans="2:20" hidden="1" outlineLevel="2" x14ac:dyDescent="0.25">
      <c r="B78" s="44" t="s">
        <v>91</v>
      </c>
      <c r="C78" s="45">
        <v>75</v>
      </c>
      <c r="D78" s="46" t="s">
        <v>92</v>
      </c>
      <c r="E78" s="47">
        <v>9834</v>
      </c>
      <c r="F78" s="48">
        <v>21232</v>
      </c>
      <c r="G78" s="48">
        <v>19286</v>
      </c>
      <c r="H78" s="48">
        <v>10028</v>
      </c>
      <c r="I78" s="63">
        <v>14663</v>
      </c>
      <c r="K78" s="184">
        <f t="shared" si="31"/>
        <v>1.9400050384104821E-3</v>
      </c>
      <c r="L78" s="184">
        <f t="shared" si="32"/>
        <v>4.7420907456419536E-3</v>
      </c>
      <c r="M78" s="184">
        <f t="shared" si="33"/>
        <v>4.8131479849590998E-3</v>
      </c>
      <c r="N78" s="184">
        <f t="shared" si="34"/>
        <v>2.7018419837361398E-3</v>
      </c>
      <c r="O78" s="184">
        <f t="shared" si="35"/>
        <v>3.9593432183252543E-3</v>
      </c>
      <c r="Q78" s="184">
        <f t="shared" si="30"/>
        <v>1.1590400650803336</v>
      </c>
      <c r="R78" s="184">
        <f t="shared" si="27"/>
        <v>-9.1654107008289354E-2</v>
      </c>
      <c r="S78" s="184">
        <f t="shared" si="28"/>
        <v>-0.48003733278025507</v>
      </c>
      <c r="T78" s="184">
        <f t="shared" si="29"/>
        <v>0.4622058236936577</v>
      </c>
    </row>
    <row r="79" spans="2:20" hidden="1" outlineLevel="2" x14ac:dyDescent="0.25">
      <c r="B79" s="44" t="s">
        <v>93</v>
      </c>
      <c r="C79" s="45">
        <v>76</v>
      </c>
      <c r="D79" s="46" t="s">
        <v>94</v>
      </c>
      <c r="E79" s="47">
        <v>0</v>
      </c>
      <c r="F79" s="48">
        <v>0</v>
      </c>
      <c r="G79" s="48">
        <v>0</v>
      </c>
      <c r="H79" s="48">
        <v>0</v>
      </c>
      <c r="I79" s="63">
        <v>0</v>
      </c>
      <c r="K79" s="184">
        <f t="shared" si="31"/>
        <v>0</v>
      </c>
      <c r="L79" s="184">
        <f t="shared" si="32"/>
        <v>0</v>
      </c>
      <c r="M79" s="184">
        <f t="shared" si="33"/>
        <v>0</v>
      </c>
      <c r="N79" s="184">
        <f t="shared" si="34"/>
        <v>0</v>
      </c>
      <c r="O79" s="184">
        <f t="shared" si="35"/>
        <v>0</v>
      </c>
      <c r="Q79" s="184" t="str">
        <f t="shared" si="30"/>
        <v>-</v>
      </c>
      <c r="R79" s="184" t="str">
        <f t="shared" si="27"/>
        <v>-</v>
      </c>
      <c r="S79" s="184" t="str">
        <f t="shared" si="28"/>
        <v>-</v>
      </c>
      <c r="T79" s="184" t="str">
        <f t="shared" si="29"/>
        <v>-</v>
      </c>
    </row>
    <row r="80" spans="2:20" ht="15.75" hidden="1" outlineLevel="2" thickBot="1" x14ac:dyDescent="0.3">
      <c r="B80" s="44" t="s">
        <v>95</v>
      </c>
      <c r="C80" s="45">
        <v>77</v>
      </c>
      <c r="D80" s="46" t="s">
        <v>96</v>
      </c>
      <c r="E80" s="47">
        <v>1774</v>
      </c>
      <c r="F80" s="48">
        <v>2092</v>
      </c>
      <c r="G80" s="48">
        <v>12</v>
      </c>
      <c r="H80" s="48">
        <v>1</v>
      </c>
      <c r="I80" s="63">
        <v>56</v>
      </c>
      <c r="K80" s="184">
        <f t="shared" si="31"/>
        <v>3.4996633497459787E-4</v>
      </c>
      <c r="L80" s="184">
        <f t="shared" si="32"/>
        <v>4.6724066691234773E-4</v>
      </c>
      <c r="M80" s="184">
        <f t="shared" si="33"/>
        <v>2.9948032676298454E-6</v>
      </c>
      <c r="N80" s="184">
        <f t="shared" si="34"/>
        <v>2.6942979494776024E-7</v>
      </c>
      <c r="O80" s="184">
        <f t="shared" si="35"/>
        <v>1.5121272606302547E-5</v>
      </c>
      <c r="Q80" s="184">
        <f t="shared" si="30"/>
        <v>0.17925591882750846</v>
      </c>
      <c r="R80" s="184">
        <f t="shared" si="27"/>
        <v>-0.99426386233269604</v>
      </c>
      <c r="S80" s="184">
        <f t="shared" si="28"/>
        <v>-0.91666666666666663</v>
      </c>
      <c r="T80" s="184">
        <f t="shared" si="29"/>
        <v>55</v>
      </c>
    </row>
    <row r="81" spans="2:20" ht="15.75" collapsed="1" thickBot="1" x14ac:dyDescent="0.3">
      <c r="B81" s="1" t="s">
        <v>97</v>
      </c>
      <c r="C81" s="2">
        <v>78</v>
      </c>
      <c r="D81" s="5" t="s">
        <v>98</v>
      </c>
      <c r="E81" s="1">
        <f>SUM(E82,E104,E144)</f>
        <v>5069059</v>
      </c>
      <c r="F81" s="4">
        <f>SUM(F82,F104,F144)</f>
        <v>4477350</v>
      </c>
      <c r="G81" s="4">
        <f>SUM(G82,G104,G144)</f>
        <v>4006941</v>
      </c>
      <c r="H81" s="4">
        <f>SUM(H82,H104,H144)</f>
        <v>3711542</v>
      </c>
      <c r="I81" s="2">
        <f>SUM(I82,I104,I144)</f>
        <v>3703392</v>
      </c>
      <c r="K81" s="189">
        <v>1</v>
      </c>
      <c r="L81" s="189">
        <v>1</v>
      </c>
      <c r="M81" s="189">
        <v>1</v>
      </c>
      <c r="N81" s="189">
        <v>1</v>
      </c>
      <c r="O81" s="189">
        <v>1</v>
      </c>
      <c r="Q81" s="189">
        <f t="shared" si="30"/>
        <v>-0.11672955473589874</v>
      </c>
      <c r="R81" s="189">
        <f t="shared" si="27"/>
        <v>-0.10506415625314081</v>
      </c>
      <c r="S81" s="189">
        <f t="shared" si="28"/>
        <v>-7.3721824204549091E-2</v>
      </c>
      <c r="T81" s="189">
        <f t="shared" si="29"/>
        <v>-2.1958528288242851E-3</v>
      </c>
    </row>
    <row r="82" spans="2:20" ht="15.75" hidden="1" outlineLevel="1" thickBot="1" x14ac:dyDescent="0.3">
      <c r="B82" s="40" t="s">
        <v>2</v>
      </c>
      <c r="C82" s="41">
        <v>79</v>
      </c>
      <c r="D82" s="42" t="s">
        <v>99</v>
      </c>
      <c r="E82" s="40">
        <f>SUM(E83,E87,E95,E98,E102,E103)</f>
        <v>1348728</v>
      </c>
      <c r="F82" s="43">
        <f t="shared" ref="F82:I82" si="38">SUM(F83,F87,F95,F98,F102,F103)</f>
        <v>1439710</v>
      </c>
      <c r="G82" s="43">
        <f t="shared" si="38"/>
        <v>1470108</v>
      </c>
      <c r="H82" s="43">
        <f t="shared" si="38"/>
        <v>1472790</v>
      </c>
      <c r="I82" s="41">
        <f t="shared" si="38"/>
        <v>1495858</v>
      </c>
      <c r="K82" s="182">
        <f>E82/E$81</f>
        <v>0.26607068491410341</v>
      </c>
      <c r="L82" s="182">
        <f t="shared" ref="L82:O82" si="39">F82/F$81</f>
        <v>0.32155404424492168</v>
      </c>
      <c r="M82" s="182">
        <f t="shared" si="39"/>
        <v>0.36689035351406474</v>
      </c>
      <c r="N82" s="182">
        <f t="shared" si="39"/>
        <v>0.39681350770111185</v>
      </c>
      <c r="O82" s="182">
        <f t="shared" si="39"/>
        <v>0.40391565354140202</v>
      </c>
      <c r="Q82" s="182">
        <f t="shared" si="30"/>
        <v>6.7457634156034452E-2</v>
      </c>
      <c r="R82" s="182">
        <f t="shared" si="27"/>
        <v>2.1113974342054975E-2</v>
      </c>
      <c r="S82" s="182">
        <f t="shared" si="28"/>
        <v>1.8243557616175465E-3</v>
      </c>
      <c r="T82" s="182">
        <f t="shared" si="29"/>
        <v>1.5662789671304189E-2</v>
      </c>
    </row>
    <row r="83" spans="2:20" ht="15.75" hidden="1" outlineLevel="2" thickBot="1" x14ac:dyDescent="0.3">
      <c r="B83" s="119" t="s">
        <v>100</v>
      </c>
      <c r="C83" s="120">
        <v>80</v>
      </c>
      <c r="D83" s="8" t="s">
        <v>101</v>
      </c>
      <c r="E83" s="119">
        <f>SUM(E84:E86)</f>
        <v>384436</v>
      </c>
      <c r="F83" s="121">
        <f t="shared" ref="F83:I83" si="40">SUM(F84:F86)</f>
        <v>384436</v>
      </c>
      <c r="G83" s="121">
        <f t="shared" si="40"/>
        <v>384436</v>
      </c>
      <c r="H83" s="121">
        <f t="shared" si="40"/>
        <v>384436</v>
      </c>
      <c r="I83" s="120">
        <f t="shared" si="40"/>
        <v>384436</v>
      </c>
      <c r="K83" s="183">
        <f t="shared" ref="K83:K146" si="41">E83/E$81</f>
        <v>7.5839716996783824E-2</v>
      </c>
      <c r="L83" s="183">
        <f t="shared" ref="L83:L146" si="42">F83/F$81</f>
        <v>8.5862396283515913E-2</v>
      </c>
      <c r="M83" s="183">
        <f t="shared" ref="M83:M146" si="43">G83/G$81</f>
        <v>9.5942515749545598E-2</v>
      </c>
      <c r="N83" s="183">
        <f t="shared" ref="N83:N146" si="44">H83/H$81</f>
        <v>0.10357851265053716</v>
      </c>
      <c r="O83" s="183">
        <f t="shared" ref="O83:O146" si="45">I83/I$81</f>
        <v>0.10380645635136652</v>
      </c>
      <c r="Q83" s="183">
        <f t="shared" si="30"/>
        <v>0</v>
      </c>
      <c r="R83" s="183">
        <f t="shared" si="27"/>
        <v>0</v>
      </c>
      <c r="S83" s="183">
        <f t="shared" si="28"/>
        <v>0</v>
      </c>
      <c r="T83" s="183">
        <f t="shared" si="29"/>
        <v>0</v>
      </c>
    </row>
    <row r="84" spans="2:20" ht="15.75" hidden="1" outlineLevel="3" thickTop="1" x14ac:dyDescent="0.25">
      <c r="B84" s="44" t="s">
        <v>102</v>
      </c>
      <c r="C84" s="45">
        <v>81</v>
      </c>
      <c r="D84" s="46" t="s">
        <v>101</v>
      </c>
      <c r="E84" s="122">
        <v>384436</v>
      </c>
      <c r="F84" s="123">
        <v>384436</v>
      </c>
      <c r="G84" s="123">
        <v>384436</v>
      </c>
      <c r="H84" s="123">
        <v>384436</v>
      </c>
      <c r="I84" s="124">
        <v>384436</v>
      </c>
      <c r="K84" s="184">
        <f t="shared" si="41"/>
        <v>7.5839716996783824E-2</v>
      </c>
      <c r="L84" s="184">
        <f t="shared" si="42"/>
        <v>8.5862396283515913E-2</v>
      </c>
      <c r="M84" s="184">
        <f t="shared" si="43"/>
        <v>9.5942515749545598E-2</v>
      </c>
      <c r="N84" s="184">
        <f t="shared" si="44"/>
        <v>0.10357851265053716</v>
      </c>
      <c r="O84" s="184">
        <f t="shared" si="45"/>
        <v>0.10380645635136652</v>
      </c>
      <c r="Q84" s="184">
        <f t="shared" si="30"/>
        <v>0</v>
      </c>
      <c r="R84" s="184">
        <f t="shared" si="27"/>
        <v>0</v>
      </c>
      <c r="S84" s="184">
        <f t="shared" si="28"/>
        <v>0</v>
      </c>
      <c r="T84" s="184">
        <f t="shared" si="29"/>
        <v>0</v>
      </c>
    </row>
    <row r="85" spans="2:20" hidden="1" outlineLevel="3" x14ac:dyDescent="0.25">
      <c r="B85" s="44" t="s">
        <v>103</v>
      </c>
      <c r="C85" s="45">
        <v>82</v>
      </c>
      <c r="D85" s="46" t="s">
        <v>104</v>
      </c>
      <c r="E85" s="122">
        <v>0</v>
      </c>
      <c r="F85" s="123">
        <v>0</v>
      </c>
      <c r="G85" s="123">
        <v>0</v>
      </c>
      <c r="H85" s="123">
        <v>0</v>
      </c>
      <c r="I85" s="124">
        <v>0</v>
      </c>
      <c r="K85" s="184">
        <f t="shared" si="41"/>
        <v>0</v>
      </c>
      <c r="L85" s="184">
        <f t="shared" si="42"/>
        <v>0</v>
      </c>
      <c r="M85" s="184">
        <f t="shared" si="43"/>
        <v>0</v>
      </c>
      <c r="N85" s="184">
        <f t="shared" si="44"/>
        <v>0</v>
      </c>
      <c r="O85" s="184">
        <f t="shared" si="45"/>
        <v>0</v>
      </c>
      <c r="Q85" s="184" t="str">
        <f t="shared" si="30"/>
        <v>-</v>
      </c>
      <c r="R85" s="184" t="str">
        <f t="shared" si="27"/>
        <v>-</v>
      </c>
      <c r="S85" s="184" t="str">
        <f t="shared" si="28"/>
        <v>-</v>
      </c>
      <c r="T85" s="184" t="str">
        <f t="shared" si="29"/>
        <v>-</v>
      </c>
    </row>
    <row r="86" spans="2:20" ht="15.75" hidden="1" outlineLevel="3" thickBot="1" x14ac:dyDescent="0.3">
      <c r="B86" s="44" t="s">
        <v>105</v>
      </c>
      <c r="C86" s="45">
        <v>83</v>
      </c>
      <c r="D86" s="46" t="s">
        <v>106</v>
      </c>
      <c r="E86" s="122">
        <v>0</v>
      </c>
      <c r="F86" s="123">
        <v>0</v>
      </c>
      <c r="G86" s="123">
        <v>0</v>
      </c>
      <c r="H86" s="123">
        <v>0</v>
      </c>
      <c r="I86" s="124">
        <v>0</v>
      </c>
      <c r="K86" s="184">
        <f t="shared" si="41"/>
        <v>0</v>
      </c>
      <c r="L86" s="184">
        <f t="shared" si="42"/>
        <v>0</v>
      </c>
      <c r="M86" s="184">
        <f t="shared" si="43"/>
        <v>0</v>
      </c>
      <c r="N86" s="184">
        <f t="shared" si="44"/>
        <v>0</v>
      </c>
      <c r="O86" s="184">
        <f t="shared" si="45"/>
        <v>0</v>
      </c>
      <c r="Q86" s="184" t="str">
        <f t="shared" si="30"/>
        <v>-</v>
      </c>
      <c r="R86" s="184" t="str">
        <f t="shared" si="27"/>
        <v>-</v>
      </c>
      <c r="S86" s="184" t="str">
        <f t="shared" si="28"/>
        <v>-</v>
      </c>
      <c r="T86" s="184" t="str">
        <f t="shared" si="29"/>
        <v>-</v>
      </c>
    </row>
    <row r="87" spans="2:20" ht="16.5" hidden="1" outlineLevel="2" thickTop="1" thickBot="1" x14ac:dyDescent="0.3">
      <c r="B87" s="125" t="s">
        <v>107</v>
      </c>
      <c r="C87" s="126">
        <v>84</v>
      </c>
      <c r="D87" s="12" t="s">
        <v>294</v>
      </c>
      <c r="E87" s="125">
        <f>SUM(E88:E94)</f>
        <v>-3006</v>
      </c>
      <c r="F87" s="127">
        <f t="shared" ref="F87:I87" si="46">SUM(F88:F94)</f>
        <v>-2238</v>
      </c>
      <c r="G87" s="127">
        <f t="shared" si="46"/>
        <v>-3350</v>
      </c>
      <c r="H87" s="127">
        <f t="shared" si="46"/>
        <v>-1136</v>
      </c>
      <c r="I87" s="126">
        <f t="shared" si="46"/>
        <v>134</v>
      </c>
      <c r="K87" s="186">
        <f t="shared" si="41"/>
        <v>-5.930094717777007E-4</v>
      </c>
      <c r="L87" s="186">
        <f t="shared" si="42"/>
        <v>-4.9984924118060903E-4</v>
      </c>
      <c r="M87" s="186">
        <f t="shared" si="43"/>
        <v>-8.360492455466652E-4</v>
      </c>
      <c r="N87" s="186">
        <f t="shared" si="44"/>
        <v>-3.0607224706065563E-4</v>
      </c>
      <c r="O87" s="186">
        <f t="shared" si="45"/>
        <v>3.6183045165081096E-5</v>
      </c>
      <c r="Q87" s="186">
        <f t="shared" si="30"/>
        <v>-0.2554890219560878</v>
      </c>
      <c r="R87" s="186">
        <f t="shared" si="27"/>
        <v>0.49687220732797144</v>
      </c>
      <c r="S87" s="186">
        <f t="shared" si="28"/>
        <v>-0.66089552238805971</v>
      </c>
      <c r="T87" s="186">
        <f t="shared" si="29"/>
        <v>-1.1179577464788732</v>
      </c>
    </row>
    <row r="88" spans="2:20" ht="15.75" hidden="1" outlineLevel="3" thickTop="1" x14ac:dyDescent="0.25">
      <c r="B88" s="44" t="s">
        <v>109</v>
      </c>
      <c r="C88" s="45">
        <v>85</v>
      </c>
      <c r="D88" s="46" t="s">
        <v>294</v>
      </c>
      <c r="E88" s="128">
        <v>0</v>
      </c>
      <c r="F88" s="129">
        <v>0</v>
      </c>
      <c r="G88" s="129">
        <v>0</v>
      </c>
      <c r="H88" s="129">
        <v>0</v>
      </c>
      <c r="I88" s="130">
        <v>0</v>
      </c>
      <c r="K88" s="184">
        <f t="shared" si="41"/>
        <v>0</v>
      </c>
      <c r="L88" s="184">
        <f t="shared" si="42"/>
        <v>0</v>
      </c>
      <c r="M88" s="184">
        <f t="shared" si="43"/>
        <v>0</v>
      </c>
      <c r="N88" s="184">
        <f t="shared" si="44"/>
        <v>0</v>
      </c>
      <c r="O88" s="184">
        <f t="shared" si="45"/>
        <v>0</v>
      </c>
      <c r="Q88" s="184" t="str">
        <f t="shared" si="30"/>
        <v>-</v>
      </c>
      <c r="R88" s="184" t="str">
        <f t="shared" si="27"/>
        <v>-</v>
      </c>
      <c r="S88" s="184" t="str">
        <f t="shared" si="28"/>
        <v>-</v>
      </c>
      <c r="T88" s="184" t="str">
        <f t="shared" si="29"/>
        <v>-</v>
      </c>
    </row>
    <row r="89" spans="2:20" hidden="1" outlineLevel="3" x14ac:dyDescent="0.25">
      <c r="B89" s="44" t="s">
        <v>110</v>
      </c>
      <c r="C89" s="45">
        <v>86</v>
      </c>
      <c r="D89" s="46" t="s">
        <v>108</v>
      </c>
      <c r="E89" s="128">
        <f>SUM(E90:E94)</f>
        <v>-1503</v>
      </c>
      <c r="F89" s="129">
        <f t="shared" ref="F89:I89" si="47">SUM(F90:F94)</f>
        <v>-1119</v>
      </c>
      <c r="G89" s="129">
        <f t="shared" si="47"/>
        <v>-1675</v>
      </c>
      <c r="H89" s="129">
        <f t="shared" si="47"/>
        <v>-568</v>
      </c>
      <c r="I89" s="130">
        <f t="shared" si="47"/>
        <v>67</v>
      </c>
      <c r="K89" s="184">
        <f t="shared" si="41"/>
        <v>-2.9650473588885035E-4</v>
      </c>
      <c r="L89" s="184">
        <f t="shared" si="42"/>
        <v>-2.4992462059030452E-4</v>
      </c>
      <c r="M89" s="184">
        <f t="shared" si="43"/>
        <v>-4.180246227733326E-4</v>
      </c>
      <c r="N89" s="184">
        <f t="shared" si="44"/>
        <v>-1.5303612353032782E-4</v>
      </c>
      <c r="O89" s="184">
        <f t="shared" si="45"/>
        <v>1.8091522582540548E-5</v>
      </c>
      <c r="Q89" s="184">
        <f t="shared" si="30"/>
        <v>-0.2554890219560878</v>
      </c>
      <c r="R89" s="184">
        <f t="shared" si="27"/>
        <v>0.49687220732797144</v>
      </c>
      <c r="S89" s="184">
        <f t="shared" si="28"/>
        <v>-0.66089552238805971</v>
      </c>
      <c r="T89" s="184">
        <f t="shared" si="29"/>
        <v>-1.1179577464788732</v>
      </c>
    </row>
    <row r="90" spans="2:20" hidden="1" outlineLevel="3" x14ac:dyDescent="0.25">
      <c r="B90" s="86" t="s">
        <v>295</v>
      </c>
      <c r="C90" s="87">
        <v>87</v>
      </c>
      <c r="D90" s="83" t="s">
        <v>111</v>
      </c>
      <c r="E90" s="131">
        <v>344</v>
      </c>
      <c r="F90" s="132">
        <v>376</v>
      </c>
      <c r="G90" s="132">
        <v>376</v>
      </c>
      <c r="H90" s="132">
        <v>376</v>
      </c>
      <c r="I90" s="133">
        <v>555</v>
      </c>
      <c r="K90" s="185">
        <f t="shared" si="41"/>
        <v>6.7862694042424831E-5</v>
      </c>
      <c r="L90" s="185">
        <f t="shared" si="42"/>
        <v>8.3978246060727893E-5</v>
      </c>
      <c r="M90" s="185">
        <f t="shared" si="43"/>
        <v>9.3837169052401814E-5</v>
      </c>
      <c r="N90" s="185">
        <f t="shared" si="44"/>
        <v>1.0130560290035786E-4</v>
      </c>
      <c r="O90" s="185">
        <f t="shared" si="45"/>
        <v>1.4986261243746273E-4</v>
      </c>
      <c r="Q90" s="185">
        <f t="shared" si="30"/>
        <v>9.3023255813953432E-2</v>
      </c>
      <c r="R90" s="185">
        <f t="shared" si="27"/>
        <v>0</v>
      </c>
      <c r="S90" s="185">
        <f t="shared" si="28"/>
        <v>0</v>
      </c>
      <c r="T90" s="185">
        <f t="shared" si="29"/>
        <v>0.47606382978723394</v>
      </c>
    </row>
    <row r="91" spans="2:20" hidden="1" outlineLevel="3" x14ac:dyDescent="0.25">
      <c r="B91" s="86" t="s">
        <v>296</v>
      </c>
      <c r="C91" s="87">
        <v>88</v>
      </c>
      <c r="D91" s="83" t="s">
        <v>112</v>
      </c>
      <c r="E91" s="131">
        <v>-1847</v>
      </c>
      <c r="F91" s="132">
        <v>-1495</v>
      </c>
      <c r="G91" s="132">
        <v>-2051</v>
      </c>
      <c r="H91" s="132">
        <v>-944</v>
      </c>
      <c r="I91" s="133">
        <v>-488</v>
      </c>
      <c r="K91" s="185">
        <f t="shared" si="41"/>
        <v>-3.643674299312752E-4</v>
      </c>
      <c r="L91" s="185">
        <f t="shared" si="42"/>
        <v>-3.3390286665103242E-4</v>
      </c>
      <c r="M91" s="185">
        <f t="shared" si="43"/>
        <v>-5.1186179182573439E-4</v>
      </c>
      <c r="N91" s="185">
        <f t="shared" si="44"/>
        <v>-2.5434172643068567E-4</v>
      </c>
      <c r="O91" s="185">
        <f t="shared" si="45"/>
        <v>-1.3177108985492218E-4</v>
      </c>
      <c r="Q91" s="185">
        <f t="shared" si="30"/>
        <v>-0.19057931781266924</v>
      </c>
      <c r="R91" s="185">
        <f t="shared" si="27"/>
        <v>0.37190635451505027</v>
      </c>
      <c r="S91" s="185">
        <f t="shared" si="28"/>
        <v>-0.53973671379814725</v>
      </c>
      <c r="T91" s="185">
        <f t="shared" si="29"/>
        <v>-0.48305084745762716</v>
      </c>
    </row>
    <row r="92" spans="2:20" ht="25.5" hidden="1" outlineLevel="3" x14ac:dyDescent="0.25">
      <c r="B92" s="86" t="s">
        <v>297</v>
      </c>
      <c r="C92" s="87">
        <v>89</v>
      </c>
      <c r="D92" s="83" t="s">
        <v>113</v>
      </c>
      <c r="E92" s="134">
        <v>0</v>
      </c>
      <c r="F92" s="135">
        <v>0</v>
      </c>
      <c r="G92" s="135">
        <v>0</v>
      </c>
      <c r="H92" s="135">
        <v>0</v>
      </c>
      <c r="I92" s="136">
        <v>0</v>
      </c>
      <c r="K92" s="185">
        <f t="shared" si="41"/>
        <v>0</v>
      </c>
      <c r="L92" s="185">
        <f t="shared" si="42"/>
        <v>0</v>
      </c>
      <c r="M92" s="185">
        <f t="shared" si="43"/>
        <v>0</v>
      </c>
      <c r="N92" s="185">
        <f t="shared" si="44"/>
        <v>0</v>
      </c>
      <c r="O92" s="185">
        <f t="shared" si="45"/>
        <v>0</v>
      </c>
      <c r="Q92" s="185" t="str">
        <f t="shared" si="30"/>
        <v>-</v>
      </c>
      <c r="R92" s="185" t="str">
        <f t="shared" si="27"/>
        <v>-</v>
      </c>
      <c r="S92" s="185" t="str">
        <f t="shared" si="28"/>
        <v>-</v>
      </c>
      <c r="T92" s="185" t="str">
        <f t="shared" si="29"/>
        <v>-</v>
      </c>
    </row>
    <row r="93" spans="2:20" hidden="1" outlineLevel="3" x14ac:dyDescent="0.25">
      <c r="B93" s="86" t="s">
        <v>298</v>
      </c>
      <c r="C93" s="87">
        <v>90</v>
      </c>
      <c r="D93" s="83" t="s">
        <v>114</v>
      </c>
      <c r="E93" s="131">
        <v>0</v>
      </c>
      <c r="F93" s="132">
        <v>0</v>
      </c>
      <c r="G93" s="132">
        <v>0</v>
      </c>
      <c r="H93" s="132">
        <v>0</v>
      </c>
      <c r="I93" s="133">
        <v>0</v>
      </c>
      <c r="K93" s="185">
        <f t="shared" si="41"/>
        <v>0</v>
      </c>
      <c r="L93" s="185">
        <f t="shared" si="42"/>
        <v>0</v>
      </c>
      <c r="M93" s="185">
        <f t="shared" si="43"/>
        <v>0</v>
      </c>
      <c r="N93" s="185">
        <f t="shared" si="44"/>
        <v>0</v>
      </c>
      <c r="O93" s="185">
        <f t="shared" si="45"/>
        <v>0</v>
      </c>
      <c r="Q93" s="185" t="str">
        <f t="shared" si="30"/>
        <v>-</v>
      </c>
      <c r="R93" s="185" t="str">
        <f t="shared" si="27"/>
        <v>-</v>
      </c>
      <c r="S93" s="185" t="str">
        <f t="shared" si="28"/>
        <v>-</v>
      </c>
      <c r="T93" s="185" t="str">
        <f t="shared" si="29"/>
        <v>-</v>
      </c>
    </row>
    <row r="94" spans="2:20" ht="26.25" hidden="1" outlineLevel="3" thickBot="1" x14ac:dyDescent="0.3">
      <c r="B94" s="86" t="s">
        <v>299</v>
      </c>
      <c r="C94" s="87">
        <v>91</v>
      </c>
      <c r="D94" s="83" t="s">
        <v>115</v>
      </c>
      <c r="E94" s="131">
        <v>0</v>
      </c>
      <c r="F94" s="132">
        <v>0</v>
      </c>
      <c r="G94" s="132">
        <v>0</v>
      </c>
      <c r="H94" s="132">
        <v>0</v>
      </c>
      <c r="I94" s="133">
        <v>0</v>
      </c>
      <c r="K94" s="185">
        <f t="shared" si="41"/>
        <v>0</v>
      </c>
      <c r="L94" s="185">
        <f t="shared" si="42"/>
        <v>0</v>
      </c>
      <c r="M94" s="185">
        <f t="shared" si="43"/>
        <v>0</v>
      </c>
      <c r="N94" s="185">
        <f t="shared" si="44"/>
        <v>0</v>
      </c>
      <c r="O94" s="185">
        <f t="shared" si="45"/>
        <v>0</v>
      </c>
      <c r="Q94" s="185" t="str">
        <f t="shared" si="30"/>
        <v>-</v>
      </c>
      <c r="R94" s="185" t="str">
        <f t="shared" si="27"/>
        <v>-</v>
      </c>
      <c r="S94" s="185" t="str">
        <f t="shared" si="28"/>
        <v>-</v>
      </c>
      <c r="T94" s="185" t="str">
        <f t="shared" si="29"/>
        <v>-</v>
      </c>
    </row>
    <row r="95" spans="2:20" ht="16.5" hidden="1" outlineLevel="2" thickTop="1" thickBot="1" x14ac:dyDescent="0.3">
      <c r="B95" s="125" t="s">
        <v>116</v>
      </c>
      <c r="C95" s="126">
        <v>92</v>
      </c>
      <c r="D95" s="12" t="s">
        <v>300</v>
      </c>
      <c r="E95" s="125">
        <f>SUM(E96:E97)</f>
        <v>73877</v>
      </c>
      <c r="F95" s="127">
        <f t="shared" ref="F95:I95" si="48">SUM(F96:F97)</f>
        <v>74073</v>
      </c>
      <c r="G95" s="127">
        <f t="shared" si="48"/>
        <v>75522</v>
      </c>
      <c r="H95" s="127">
        <f t="shared" si="48"/>
        <v>75692</v>
      </c>
      <c r="I95" s="126">
        <f t="shared" si="48"/>
        <v>75840</v>
      </c>
      <c r="K95" s="186">
        <f t="shared" si="41"/>
        <v>1.4574105371430871E-2</v>
      </c>
      <c r="L95" s="186">
        <f t="shared" si="42"/>
        <v>1.6543937820362491E-2</v>
      </c>
      <c r="M95" s="186">
        <f t="shared" si="43"/>
        <v>1.8847794364828432E-2</v>
      </c>
      <c r="N95" s="186">
        <f t="shared" si="44"/>
        <v>2.0393680039185871E-2</v>
      </c>
      <c r="O95" s="186">
        <f t="shared" si="45"/>
        <v>2.047852347253545E-2</v>
      </c>
      <c r="Q95" s="186">
        <f t="shared" si="30"/>
        <v>2.653058462038338E-3</v>
      </c>
      <c r="R95" s="186">
        <f t="shared" si="27"/>
        <v>1.9561783645862807E-2</v>
      </c>
      <c r="S95" s="186">
        <f t="shared" si="28"/>
        <v>2.2509997086941347E-3</v>
      </c>
      <c r="T95" s="186">
        <f t="shared" si="29"/>
        <v>1.9552925011889766E-3</v>
      </c>
    </row>
    <row r="96" spans="2:20" ht="15.75" hidden="1" outlineLevel="3" thickTop="1" x14ac:dyDescent="0.25">
      <c r="B96" s="44" t="s">
        <v>117</v>
      </c>
      <c r="C96" s="45">
        <v>93</v>
      </c>
      <c r="D96" s="46" t="s">
        <v>301</v>
      </c>
      <c r="E96" s="122">
        <v>73732</v>
      </c>
      <c r="F96" s="123">
        <v>73732</v>
      </c>
      <c r="G96" s="123">
        <v>73732</v>
      </c>
      <c r="H96" s="123">
        <v>73732</v>
      </c>
      <c r="I96" s="124">
        <v>73732</v>
      </c>
      <c r="K96" s="184">
        <f t="shared" si="41"/>
        <v>1.4545500456790896E-2</v>
      </c>
      <c r="L96" s="184">
        <f t="shared" si="42"/>
        <v>1.6467776698270181E-2</v>
      </c>
      <c r="M96" s="184">
        <f t="shared" si="43"/>
        <v>1.8401069544073646E-2</v>
      </c>
      <c r="N96" s="184">
        <f t="shared" si="44"/>
        <v>1.9865597641088258E-2</v>
      </c>
      <c r="O96" s="184">
        <f t="shared" si="45"/>
        <v>1.9909315567998204E-2</v>
      </c>
      <c r="Q96" s="184">
        <f t="shared" si="30"/>
        <v>0</v>
      </c>
      <c r="R96" s="184">
        <f t="shared" si="27"/>
        <v>0</v>
      </c>
      <c r="S96" s="184">
        <f t="shared" si="28"/>
        <v>0</v>
      </c>
      <c r="T96" s="184">
        <f t="shared" si="29"/>
        <v>0</v>
      </c>
    </row>
    <row r="97" spans="2:20" ht="15.75" hidden="1" outlineLevel="3" thickBot="1" x14ac:dyDescent="0.3">
      <c r="B97" s="44" t="s">
        <v>118</v>
      </c>
      <c r="C97" s="45">
        <v>94</v>
      </c>
      <c r="D97" s="46" t="s">
        <v>119</v>
      </c>
      <c r="E97" s="122">
        <v>145</v>
      </c>
      <c r="F97" s="123">
        <v>341</v>
      </c>
      <c r="G97" s="123">
        <v>1790</v>
      </c>
      <c r="H97" s="123">
        <v>1960</v>
      </c>
      <c r="I97" s="124">
        <v>2108</v>
      </c>
      <c r="K97" s="184">
        <f t="shared" si="41"/>
        <v>2.8604914639975587E-5</v>
      </c>
      <c r="L97" s="184">
        <f t="shared" si="42"/>
        <v>7.6161122092309073E-5</v>
      </c>
      <c r="M97" s="184">
        <f t="shared" si="43"/>
        <v>4.4672482075478528E-4</v>
      </c>
      <c r="N97" s="184">
        <f t="shared" si="44"/>
        <v>5.2808239809761014E-4</v>
      </c>
      <c r="O97" s="184">
        <f t="shared" si="45"/>
        <v>5.6920790453724585E-4</v>
      </c>
      <c r="Q97" s="184">
        <f t="shared" si="30"/>
        <v>1.3517241379310345</v>
      </c>
      <c r="R97" s="184">
        <f t="shared" si="27"/>
        <v>4.2492668621700878</v>
      </c>
      <c r="S97" s="184">
        <f t="shared" si="28"/>
        <v>9.4972067039106101E-2</v>
      </c>
      <c r="T97" s="184">
        <f t="shared" si="29"/>
        <v>7.551020408163267E-2</v>
      </c>
    </row>
    <row r="98" spans="2:20" ht="16.5" hidden="1" outlineLevel="2" thickTop="1" thickBot="1" x14ac:dyDescent="0.3">
      <c r="B98" s="125" t="s">
        <v>120</v>
      </c>
      <c r="C98" s="126">
        <v>95</v>
      </c>
      <c r="D98" s="12" t="s">
        <v>121</v>
      </c>
      <c r="E98" s="125">
        <f>SUM(E99:E101)</f>
        <v>588765</v>
      </c>
      <c r="F98" s="127">
        <f t="shared" ref="F98:I98" si="49">SUM(F99:F101)</f>
        <v>708291</v>
      </c>
      <c r="G98" s="127">
        <f t="shared" si="49"/>
        <v>796710</v>
      </c>
      <c r="H98" s="127">
        <f t="shared" si="49"/>
        <v>828370</v>
      </c>
      <c r="I98" s="126">
        <f t="shared" si="49"/>
        <v>827649</v>
      </c>
      <c r="K98" s="186">
        <f t="shared" si="41"/>
        <v>0.11614877633107051</v>
      </c>
      <c r="L98" s="186">
        <f t="shared" si="42"/>
        <v>0.15819424436329527</v>
      </c>
      <c r="M98" s="186">
        <f t="shared" si="43"/>
        <v>0.1988324759461145</v>
      </c>
      <c r="N98" s="186">
        <f t="shared" si="44"/>
        <v>0.22318755924087616</v>
      </c>
      <c r="O98" s="186">
        <f t="shared" si="45"/>
        <v>0.22348403841667314</v>
      </c>
      <c r="Q98" s="186">
        <f t="shared" si="30"/>
        <v>0.2030113882448854</v>
      </c>
      <c r="R98" s="186">
        <f t="shared" si="27"/>
        <v>0.1248342842136918</v>
      </c>
      <c r="S98" s="186">
        <f t="shared" si="28"/>
        <v>3.9738424269809558E-2</v>
      </c>
      <c r="T98" s="186">
        <f t="shared" si="29"/>
        <v>-8.7038400714656294E-4</v>
      </c>
    </row>
    <row r="99" spans="2:20" ht="15.75" hidden="1" outlineLevel="3" thickTop="1" x14ac:dyDescent="0.25">
      <c r="B99" s="44" t="s">
        <v>122</v>
      </c>
      <c r="C99" s="45">
        <v>96</v>
      </c>
      <c r="D99" s="46" t="s">
        <v>123</v>
      </c>
      <c r="E99" s="122">
        <v>588765</v>
      </c>
      <c r="F99" s="123">
        <v>708291</v>
      </c>
      <c r="G99" s="123">
        <v>796710</v>
      </c>
      <c r="H99" s="123">
        <v>828370</v>
      </c>
      <c r="I99" s="124">
        <v>827649</v>
      </c>
      <c r="K99" s="184">
        <f t="shared" si="41"/>
        <v>0.11614877633107051</v>
      </c>
      <c r="L99" s="184">
        <f t="shared" si="42"/>
        <v>0.15819424436329527</v>
      </c>
      <c r="M99" s="184">
        <f t="shared" si="43"/>
        <v>0.1988324759461145</v>
      </c>
      <c r="N99" s="184">
        <f t="shared" si="44"/>
        <v>0.22318755924087616</v>
      </c>
      <c r="O99" s="184">
        <f t="shared" si="45"/>
        <v>0.22348403841667314</v>
      </c>
      <c r="Q99" s="184">
        <f t="shared" si="30"/>
        <v>0.2030113882448854</v>
      </c>
      <c r="R99" s="184">
        <f t="shared" si="27"/>
        <v>0.1248342842136918</v>
      </c>
      <c r="S99" s="184">
        <f t="shared" si="28"/>
        <v>3.9738424269809558E-2</v>
      </c>
      <c r="T99" s="184">
        <f t="shared" si="29"/>
        <v>-8.7038400714656294E-4</v>
      </c>
    </row>
    <row r="100" spans="2:20" hidden="1" outlineLevel="3" x14ac:dyDescent="0.25">
      <c r="B100" s="44" t="s">
        <v>124</v>
      </c>
      <c r="C100" s="45">
        <v>97</v>
      </c>
      <c r="D100" s="46" t="s">
        <v>125</v>
      </c>
      <c r="E100" s="122">
        <v>0</v>
      </c>
      <c r="F100" s="123">
        <v>0</v>
      </c>
      <c r="G100" s="123">
        <v>0</v>
      </c>
      <c r="H100" s="123">
        <v>0</v>
      </c>
      <c r="I100" s="124">
        <v>0</v>
      </c>
      <c r="K100" s="184">
        <f t="shared" si="41"/>
        <v>0</v>
      </c>
      <c r="L100" s="184">
        <f t="shared" si="42"/>
        <v>0</v>
      </c>
      <c r="M100" s="184">
        <f t="shared" si="43"/>
        <v>0</v>
      </c>
      <c r="N100" s="184">
        <f t="shared" si="44"/>
        <v>0</v>
      </c>
      <c r="O100" s="184">
        <f t="shared" si="45"/>
        <v>0</v>
      </c>
      <c r="Q100" s="184" t="str">
        <f t="shared" si="30"/>
        <v>-</v>
      </c>
      <c r="R100" s="184" t="str">
        <f t="shared" si="27"/>
        <v>-</v>
      </c>
      <c r="S100" s="184" t="str">
        <f t="shared" si="28"/>
        <v>-</v>
      </c>
      <c r="T100" s="184" t="str">
        <f t="shared" si="29"/>
        <v>-</v>
      </c>
    </row>
    <row r="101" spans="2:20" ht="15.75" hidden="1" outlineLevel="3" thickBot="1" x14ac:dyDescent="0.3">
      <c r="B101" s="44" t="s">
        <v>126</v>
      </c>
      <c r="C101" s="45">
        <v>98</v>
      </c>
      <c r="D101" s="46" t="s">
        <v>127</v>
      </c>
      <c r="E101" s="128">
        <v>0</v>
      </c>
      <c r="F101" s="129">
        <v>0</v>
      </c>
      <c r="G101" s="129">
        <v>0</v>
      </c>
      <c r="H101" s="129">
        <v>0</v>
      </c>
      <c r="I101" s="130">
        <v>0</v>
      </c>
      <c r="K101" s="184">
        <f t="shared" si="41"/>
        <v>0</v>
      </c>
      <c r="L101" s="184">
        <f t="shared" si="42"/>
        <v>0</v>
      </c>
      <c r="M101" s="184">
        <f t="shared" si="43"/>
        <v>0</v>
      </c>
      <c r="N101" s="184">
        <f t="shared" si="44"/>
        <v>0</v>
      </c>
      <c r="O101" s="184">
        <f t="shared" si="45"/>
        <v>0</v>
      </c>
      <c r="Q101" s="184" t="str">
        <f t="shared" si="30"/>
        <v>-</v>
      </c>
      <c r="R101" s="184" t="str">
        <f t="shared" si="27"/>
        <v>-</v>
      </c>
      <c r="S101" s="184" t="str">
        <f t="shared" si="28"/>
        <v>-</v>
      </c>
      <c r="T101" s="184" t="str">
        <f t="shared" si="29"/>
        <v>-</v>
      </c>
    </row>
    <row r="102" spans="2:20" ht="16.5" hidden="1" outlineLevel="2" thickTop="1" thickBot="1" x14ac:dyDescent="0.3">
      <c r="B102" s="125" t="s">
        <v>128</v>
      </c>
      <c r="C102" s="126">
        <v>99</v>
      </c>
      <c r="D102" s="12" t="s">
        <v>129</v>
      </c>
      <c r="E102" s="125">
        <f>'Výkazy ZZ'!E56</f>
        <v>304656</v>
      </c>
      <c r="F102" s="127">
        <f>'Výkazy ZZ'!F56</f>
        <v>275148</v>
      </c>
      <c r="G102" s="127">
        <f>'Výkazy ZZ'!G56</f>
        <v>216790</v>
      </c>
      <c r="H102" s="127">
        <f>'Výkazy ZZ'!H56</f>
        <v>185428</v>
      </c>
      <c r="I102" s="126">
        <f>'Výkazy ZZ'!I56</f>
        <v>207799</v>
      </c>
      <c r="K102" s="186">
        <f t="shared" si="41"/>
        <v>6.0101095686595878E-2</v>
      </c>
      <c r="L102" s="186">
        <f t="shared" si="42"/>
        <v>6.145331501892861E-2</v>
      </c>
      <c r="M102" s="186">
        <f t="shared" si="43"/>
        <v>5.410361669912285E-2</v>
      </c>
      <c r="N102" s="186">
        <f t="shared" si="44"/>
        <v>4.9959828017573288E-2</v>
      </c>
      <c r="O102" s="186">
        <f t="shared" si="45"/>
        <v>5.6110452255661837E-2</v>
      </c>
      <c r="Q102" s="186">
        <f t="shared" si="30"/>
        <v>-9.685678273199938E-2</v>
      </c>
      <c r="R102" s="186">
        <f t="shared" si="27"/>
        <v>-0.2120967624696527</v>
      </c>
      <c r="S102" s="186">
        <f t="shared" si="28"/>
        <v>-0.14466534434245126</v>
      </c>
      <c r="T102" s="186">
        <f t="shared" si="29"/>
        <v>0.12064521000064721</v>
      </c>
    </row>
    <row r="103" spans="2:20" ht="16.5" hidden="1" outlineLevel="2" thickTop="1" thickBot="1" x14ac:dyDescent="0.3">
      <c r="B103" s="137" t="s">
        <v>302</v>
      </c>
      <c r="C103" s="138">
        <v>100</v>
      </c>
      <c r="D103" s="88" t="s">
        <v>303</v>
      </c>
      <c r="E103" s="122">
        <v>0</v>
      </c>
      <c r="F103" s="123">
        <v>0</v>
      </c>
      <c r="G103" s="123">
        <v>0</v>
      </c>
      <c r="H103" s="123">
        <v>0</v>
      </c>
      <c r="I103" s="124">
        <v>0</v>
      </c>
      <c r="K103" s="190">
        <f t="shared" si="41"/>
        <v>0</v>
      </c>
      <c r="L103" s="190">
        <f t="shared" si="42"/>
        <v>0</v>
      </c>
      <c r="M103" s="190">
        <f t="shared" si="43"/>
        <v>0</v>
      </c>
      <c r="N103" s="190">
        <f t="shared" si="44"/>
        <v>0</v>
      </c>
      <c r="O103" s="190">
        <f t="shared" si="45"/>
        <v>0</v>
      </c>
      <c r="Q103" s="190" t="str">
        <f t="shared" si="30"/>
        <v>-</v>
      </c>
      <c r="R103" s="190" t="str">
        <f t="shared" si="27"/>
        <v>-</v>
      </c>
      <c r="S103" s="190" t="str">
        <f t="shared" si="28"/>
        <v>-</v>
      </c>
      <c r="T103" s="190" t="str">
        <f t="shared" si="29"/>
        <v>-</v>
      </c>
    </row>
    <row r="104" spans="2:20" ht="15.75" hidden="1" outlineLevel="1" thickBot="1" x14ac:dyDescent="0.3">
      <c r="B104" s="139" t="s">
        <v>304</v>
      </c>
      <c r="C104" s="140">
        <v>101</v>
      </c>
      <c r="D104" s="42" t="s">
        <v>130</v>
      </c>
      <c r="E104" s="139">
        <f>SUM(E105,E110)</f>
        <v>3662329</v>
      </c>
      <c r="F104" s="141">
        <f t="shared" ref="F104:I104" si="50">SUM(F105,F110)</f>
        <v>2992468</v>
      </c>
      <c r="G104" s="141">
        <f t="shared" si="50"/>
        <v>2479433</v>
      </c>
      <c r="H104" s="141">
        <f t="shared" si="50"/>
        <v>2229811</v>
      </c>
      <c r="I104" s="140">
        <f t="shared" si="50"/>
        <v>2206611</v>
      </c>
      <c r="K104" s="182">
        <f t="shared" si="41"/>
        <v>0.72248695467935964</v>
      </c>
      <c r="L104" s="182">
        <f t="shared" si="42"/>
        <v>0.66835695221503788</v>
      </c>
      <c r="M104" s="182">
        <f t="shared" si="43"/>
        <v>0.6187845041891058</v>
      </c>
      <c r="N104" s="182">
        <f t="shared" si="44"/>
        <v>0.6007775205022603</v>
      </c>
      <c r="O104" s="182">
        <f t="shared" si="45"/>
        <v>0.59583511548331902</v>
      </c>
      <c r="Q104" s="182">
        <f t="shared" si="30"/>
        <v>-0.18290574112811819</v>
      </c>
      <c r="R104" s="182">
        <f t="shared" si="27"/>
        <v>-0.17144210063399179</v>
      </c>
      <c r="S104" s="182">
        <f t="shared" si="28"/>
        <v>-0.10067704995456628</v>
      </c>
      <c r="T104" s="182">
        <f t="shared" si="29"/>
        <v>-1.0404469257708437E-2</v>
      </c>
    </row>
    <row r="105" spans="2:20" ht="15.75" hidden="1" outlineLevel="2" thickBot="1" x14ac:dyDescent="0.3">
      <c r="B105" s="119" t="s">
        <v>6</v>
      </c>
      <c r="C105" s="120">
        <v>102</v>
      </c>
      <c r="D105" s="8" t="s">
        <v>131</v>
      </c>
      <c r="E105" s="119">
        <f>SUM(E106:E109)</f>
        <v>866009</v>
      </c>
      <c r="F105" s="121">
        <f t="shared" ref="F105:I105" si="51">SUM(F106:F109)</f>
        <v>847704</v>
      </c>
      <c r="G105" s="121">
        <f t="shared" si="51"/>
        <v>838200</v>
      </c>
      <c r="H105" s="121">
        <f t="shared" si="51"/>
        <v>813658</v>
      </c>
      <c r="I105" s="120">
        <f t="shared" si="51"/>
        <v>790510</v>
      </c>
      <c r="K105" s="183">
        <f t="shared" si="41"/>
        <v>0.17084216222379736</v>
      </c>
      <c r="L105" s="183">
        <f t="shared" si="42"/>
        <v>0.18933163590070018</v>
      </c>
      <c r="M105" s="183">
        <f t="shared" si="43"/>
        <v>0.20918700824394471</v>
      </c>
      <c r="N105" s="183">
        <f t="shared" si="44"/>
        <v>0.21922370809760472</v>
      </c>
      <c r="O105" s="183">
        <f t="shared" si="45"/>
        <v>0.21345566442871833</v>
      </c>
      <c r="Q105" s="183">
        <f t="shared" si="30"/>
        <v>-2.1137193724314662E-2</v>
      </c>
      <c r="R105" s="183">
        <f t="shared" si="27"/>
        <v>-1.1211460604173107E-2</v>
      </c>
      <c r="S105" s="183">
        <f t="shared" si="28"/>
        <v>-2.9279408255786232E-2</v>
      </c>
      <c r="T105" s="183">
        <f t="shared" si="29"/>
        <v>-2.8449299337067857E-2</v>
      </c>
    </row>
    <row r="106" spans="2:20" ht="15.75" hidden="1" outlineLevel="3" thickTop="1" x14ac:dyDescent="0.25">
      <c r="B106" s="44" t="s">
        <v>8</v>
      </c>
      <c r="C106" s="45">
        <v>103</v>
      </c>
      <c r="D106" s="46" t="s">
        <v>133</v>
      </c>
      <c r="E106" s="122">
        <v>0</v>
      </c>
      <c r="F106" s="123">
        <v>0</v>
      </c>
      <c r="G106" s="123">
        <v>0</v>
      </c>
      <c r="H106" s="123">
        <v>0</v>
      </c>
      <c r="I106" s="124">
        <v>0</v>
      </c>
      <c r="K106" s="184">
        <f t="shared" si="41"/>
        <v>0</v>
      </c>
      <c r="L106" s="184">
        <f t="shared" si="42"/>
        <v>0</v>
      </c>
      <c r="M106" s="184">
        <f t="shared" si="43"/>
        <v>0</v>
      </c>
      <c r="N106" s="184">
        <f t="shared" si="44"/>
        <v>0</v>
      </c>
      <c r="O106" s="184">
        <f t="shared" si="45"/>
        <v>0</v>
      </c>
      <c r="Q106" s="184" t="str">
        <f t="shared" si="30"/>
        <v>-</v>
      </c>
      <c r="R106" s="184" t="str">
        <f t="shared" si="27"/>
        <v>-</v>
      </c>
      <c r="S106" s="184" t="str">
        <f t="shared" si="28"/>
        <v>-</v>
      </c>
      <c r="T106" s="184" t="str">
        <f t="shared" si="29"/>
        <v>-</v>
      </c>
    </row>
    <row r="107" spans="2:20" hidden="1" outlineLevel="3" x14ac:dyDescent="0.25">
      <c r="B107" s="44" t="s">
        <v>9</v>
      </c>
      <c r="C107" s="45">
        <v>104</v>
      </c>
      <c r="D107" s="46" t="s">
        <v>134</v>
      </c>
      <c r="E107" s="122">
        <v>0</v>
      </c>
      <c r="F107" s="123">
        <v>0</v>
      </c>
      <c r="G107" s="123">
        <v>0</v>
      </c>
      <c r="H107" s="123">
        <v>0</v>
      </c>
      <c r="I107" s="124">
        <v>0</v>
      </c>
      <c r="K107" s="184">
        <f t="shared" si="41"/>
        <v>0</v>
      </c>
      <c r="L107" s="184">
        <f t="shared" si="42"/>
        <v>0</v>
      </c>
      <c r="M107" s="184">
        <f t="shared" si="43"/>
        <v>0</v>
      </c>
      <c r="N107" s="184">
        <f t="shared" si="44"/>
        <v>0</v>
      </c>
      <c r="O107" s="184">
        <f t="shared" si="45"/>
        <v>0</v>
      </c>
      <c r="Q107" s="184" t="str">
        <f t="shared" si="30"/>
        <v>-</v>
      </c>
      <c r="R107" s="184" t="str">
        <f t="shared" si="27"/>
        <v>-</v>
      </c>
      <c r="S107" s="184" t="str">
        <f t="shared" si="28"/>
        <v>-</v>
      </c>
      <c r="T107" s="184" t="str">
        <f t="shared" si="29"/>
        <v>-</v>
      </c>
    </row>
    <row r="108" spans="2:20" hidden="1" outlineLevel="3" x14ac:dyDescent="0.25">
      <c r="B108" s="44" t="s">
        <v>11</v>
      </c>
      <c r="C108" s="45">
        <v>105</v>
      </c>
      <c r="D108" s="46" t="s">
        <v>132</v>
      </c>
      <c r="E108" s="122">
        <v>31508</v>
      </c>
      <c r="F108" s="123">
        <v>22136</v>
      </c>
      <c r="G108" s="123">
        <v>7166</v>
      </c>
      <c r="H108" s="123">
        <v>940</v>
      </c>
      <c r="I108" s="124">
        <v>0</v>
      </c>
      <c r="K108" s="184">
        <f t="shared" si="41"/>
        <v>6.2157493136300052E-3</v>
      </c>
      <c r="L108" s="184">
        <f t="shared" si="42"/>
        <v>4.9439958904262567E-3</v>
      </c>
      <c r="M108" s="184">
        <f t="shared" si="43"/>
        <v>1.7883966846529559E-3</v>
      </c>
      <c r="N108" s="184">
        <f t="shared" si="44"/>
        <v>2.5326400725089466E-4</v>
      </c>
      <c r="O108" s="184">
        <f t="shared" si="45"/>
        <v>0</v>
      </c>
      <c r="Q108" s="184">
        <f t="shared" si="30"/>
        <v>-0.29744826710676653</v>
      </c>
      <c r="R108" s="184">
        <f t="shared" si="27"/>
        <v>-0.67627394289844589</v>
      </c>
      <c r="S108" s="184">
        <f t="shared" si="28"/>
        <v>-0.86882500697739329</v>
      </c>
      <c r="T108" s="184">
        <f t="shared" si="29"/>
        <v>-1</v>
      </c>
    </row>
    <row r="109" spans="2:20" ht="15.75" hidden="1" outlineLevel="3" thickBot="1" x14ac:dyDescent="0.3">
      <c r="B109" s="44" t="s">
        <v>13</v>
      </c>
      <c r="C109" s="45">
        <v>106</v>
      </c>
      <c r="D109" s="46" t="s">
        <v>135</v>
      </c>
      <c r="E109" s="122">
        <v>834501</v>
      </c>
      <c r="F109" s="123">
        <v>825568</v>
      </c>
      <c r="G109" s="123">
        <v>831034</v>
      </c>
      <c r="H109" s="123">
        <v>812718</v>
      </c>
      <c r="I109" s="124">
        <v>790510</v>
      </c>
      <c r="K109" s="184">
        <f t="shared" si="41"/>
        <v>0.16462641291016736</v>
      </c>
      <c r="L109" s="184">
        <f t="shared" si="42"/>
        <v>0.18438764001027394</v>
      </c>
      <c r="M109" s="184">
        <f t="shared" si="43"/>
        <v>0.20739861155929173</v>
      </c>
      <c r="N109" s="184">
        <f t="shared" si="44"/>
        <v>0.21897044409035382</v>
      </c>
      <c r="O109" s="184">
        <f t="shared" si="45"/>
        <v>0.21345566442871833</v>
      </c>
      <c r="Q109" s="184">
        <f t="shared" si="30"/>
        <v>-1.0704600713480228E-2</v>
      </c>
      <c r="R109" s="184">
        <f t="shared" si="27"/>
        <v>6.6208961587659321E-3</v>
      </c>
      <c r="S109" s="184">
        <f t="shared" si="28"/>
        <v>-2.2040012803326903E-2</v>
      </c>
      <c r="T109" s="184">
        <f t="shared" si="29"/>
        <v>-2.7325591410550798E-2</v>
      </c>
    </row>
    <row r="110" spans="2:20" ht="16.5" hidden="1" outlineLevel="2" thickTop="1" thickBot="1" x14ac:dyDescent="0.3">
      <c r="B110" s="125" t="s">
        <v>45</v>
      </c>
      <c r="C110" s="126">
        <v>107</v>
      </c>
      <c r="D110" s="12" t="s">
        <v>305</v>
      </c>
      <c r="E110" s="125">
        <f>SUM(E111,E126)</f>
        <v>2796320</v>
      </c>
      <c r="F110" s="127">
        <f t="shared" ref="F110:I110" si="52">SUM(F111,F126)</f>
        <v>2144764</v>
      </c>
      <c r="G110" s="127">
        <f t="shared" si="52"/>
        <v>1641233</v>
      </c>
      <c r="H110" s="127">
        <f t="shared" si="52"/>
        <v>1416153</v>
      </c>
      <c r="I110" s="126">
        <f t="shared" si="52"/>
        <v>1416101</v>
      </c>
      <c r="K110" s="186">
        <f t="shared" si="41"/>
        <v>0.55164479245556231</v>
      </c>
      <c r="L110" s="186">
        <f t="shared" si="42"/>
        <v>0.4790253163143377</v>
      </c>
      <c r="M110" s="186">
        <f t="shared" si="43"/>
        <v>0.40959749594516115</v>
      </c>
      <c r="N110" s="186">
        <f t="shared" si="44"/>
        <v>0.38155381240465552</v>
      </c>
      <c r="O110" s="186">
        <f t="shared" si="45"/>
        <v>0.38237945105460075</v>
      </c>
      <c r="Q110" s="186">
        <f t="shared" si="30"/>
        <v>-0.23300480631687359</v>
      </c>
      <c r="R110" s="186">
        <f t="shared" si="27"/>
        <v>-0.23477221736284271</v>
      </c>
      <c r="S110" s="186">
        <f t="shared" si="28"/>
        <v>-0.13714079597473361</v>
      </c>
      <c r="T110" s="186">
        <f t="shared" si="29"/>
        <v>-3.6719196301548962E-5</v>
      </c>
    </row>
    <row r="111" spans="2:20" ht="16.5" hidden="1" outlineLevel="2" thickTop="1" thickBot="1" x14ac:dyDescent="0.3">
      <c r="B111" s="125" t="s">
        <v>47</v>
      </c>
      <c r="C111" s="126">
        <v>108</v>
      </c>
      <c r="D111" s="12" t="s">
        <v>136</v>
      </c>
      <c r="E111" s="125">
        <f>SUM(E112,E115:E122)</f>
        <v>20008</v>
      </c>
      <c r="F111" s="127">
        <f t="shared" ref="F111:I111" si="53">SUM(F112,F115:F122)</f>
        <v>4801</v>
      </c>
      <c r="G111" s="127">
        <f t="shared" si="53"/>
        <v>7412</v>
      </c>
      <c r="H111" s="127">
        <f t="shared" si="53"/>
        <v>21470</v>
      </c>
      <c r="I111" s="126">
        <f t="shared" si="53"/>
        <v>21557</v>
      </c>
      <c r="K111" s="186">
        <f t="shared" si="41"/>
        <v>3.947083669769872E-3</v>
      </c>
      <c r="L111" s="186">
        <f t="shared" si="42"/>
        <v>1.0722860620679643E-3</v>
      </c>
      <c r="M111" s="186">
        <f t="shared" si="43"/>
        <v>1.8497901516393678E-3</v>
      </c>
      <c r="N111" s="186">
        <f t="shared" si="44"/>
        <v>5.784657697528413E-3</v>
      </c>
      <c r="O111" s="186">
        <f t="shared" si="45"/>
        <v>5.8208798852511425E-3</v>
      </c>
      <c r="Q111" s="186">
        <f t="shared" si="30"/>
        <v>-0.76004598160735704</v>
      </c>
      <c r="R111" s="186">
        <f t="shared" si="27"/>
        <v>0.54384503228494063</v>
      </c>
      <c r="S111" s="186">
        <f t="shared" si="28"/>
        <v>1.8966540744738261</v>
      </c>
      <c r="T111" s="186">
        <f t="shared" si="29"/>
        <v>4.0521658127619098E-3</v>
      </c>
    </row>
    <row r="112" spans="2:20" ht="15.75" hidden="1" outlineLevel="2" thickTop="1" x14ac:dyDescent="0.25">
      <c r="B112" s="142" t="s">
        <v>49</v>
      </c>
      <c r="C112" s="143">
        <v>109</v>
      </c>
      <c r="D112" s="97" t="s">
        <v>141</v>
      </c>
      <c r="E112" s="142">
        <f>SUM(E113:E114)</f>
        <v>0</v>
      </c>
      <c r="F112" s="144">
        <f t="shared" ref="F112:I112" si="54">SUM(F113:F114)</f>
        <v>0</v>
      </c>
      <c r="G112" s="144">
        <f t="shared" si="54"/>
        <v>0</v>
      </c>
      <c r="H112" s="144">
        <f t="shared" si="54"/>
        <v>0</v>
      </c>
      <c r="I112" s="143">
        <f t="shared" si="54"/>
        <v>0</v>
      </c>
      <c r="K112" s="188">
        <f t="shared" si="41"/>
        <v>0</v>
      </c>
      <c r="L112" s="188">
        <f t="shared" si="42"/>
        <v>0</v>
      </c>
      <c r="M112" s="188">
        <f t="shared" si="43"/>
        <v>0</v>
      </c>
      <c r="N112" s="188">
        <f t="shared" si="44"/>
        <v>0</v>
      </c>
      <c r="O112" s="188">
        <f t="shared" si="45"/>
        <v>0</v>
      </c>
      <c r="Q112" s="188" t="str">
        <f t="shared" si="30"/>
        <v>-</v>
      </c>
      <c r="R112" s="188" t="str">
        <f t="shared" si="27"/>
        <v>-</v>
      </c>
      <c r="S112" s="188" t="str">
        <f t="shared" si="28"/>
        <v>-</v>
      </c>
      <c r="T112" s="188" t="str">
        <f t="shared" si="29"/>
        <v>-</v>
      </c>
    </row>
    <row r="113" spans="2:20" hidden="1" outlineLevel="2" x14ac:dyDescent="0.25">
      <c r="B113" s="145" t="s">
        <v>306</v>
      </c>
      <c r="C113" s="146">
        <v>110</v>
      </c>
      <c r="D113" s="99" t="s">
        <v>308</v>
      </c>
      <c r="E113" s="122">
        <v>0</v>
      </c>
      <c r="F113" s="123">
        <v>0</v>
      </c>
      <c r="G113" s="123">
        <v>0</v>
      </c>
      <c r="H113" s="123">
        <v>0</v>
      </c>
      <c r="I113" s="124">
        <v>0</v>
      </c>
      <c r="K113" s="191">
        <f t="shared" si="41"/>
        <v>0</v>
      </c>
      <c r="L113" s="191">
        <f t="shared" si="42"/>
        <v>0</v>
      </c>
      <c r="M113" s="191">
        <f t="shared" si="43"/>
        <v>0</v>
      </c>
      <c r="N113" s="191">
        <f t="shared" si="44"/>
        <v>0</v>
      </c>
      <c r="O113" s="191">
        <f t="shared" si="45"/>
        <v>0</v>
      </c>
      <c r="Q113" s="191" t="str">
        <f t="shared" si="30"/>
        <v>-</v>
      </c>
      <c r="R113" s="191" t="str">
        <f t="shared" si="27"/>
        <v>-</v>
      </c>
      <c r="S113" s="191" t="str">
        <f t="shared" si="28"/>
        <v>-</v>
      </c>
      <c r="T113" s="191" t="str">
        <f t="shared" si="29"/>
        <v>-</v>
      </c>
    </row>
    <row r="114" spans="2:20" hidden="1" outlineLevel="2" x14ac:dyDescent="0.25">
      <c r="B114" s="145" t="s">
        <v>307</v>
      </c>
      <c r="C114" s="146">
        <v>111</v>
      </c>
      <c r="D114" s="99" t="s">
        <v>309</v>
      </c>
      <c r="E114" s="122">
        <v>0</v>
      </c>
      <c r="F114" s="123">
        <v>0</v>
      </c>
      <c r="G114" s="123">
        <v>0</v>
      </c>
      <c r="H114" s="123">
        <v>0</v>
      </c>
      <c r="I114" s="124">
        <v>0</v>
      </c>
      <c r="K114" s="191">
        <f t="shared" si="41"/>
        <v>0</v>
      </c>
      <c r="L114" s="191">
        <f t="shared" si="42"/>
        <v>0</v>
      </c>
      <c r="M114" s="191">
        <f t="shared" si="43"/>
        <v>0</v>
      </c>
      <c r="N114" s="191">
        <f t="shared" si="44"/>
        <v>0</v>
      </c>
      <c r="O114" s="191">
        <f t="shared" si="45"/>
        <v>0</v>
      </c>
      <c r="Q114" s="191" t="str">
        <f t="shared" si="30"/>
        <v>-</v>
      </c>
      <c r="R114" s="191" t="str">
        <f t="shared" si="27"/>
        <v>-</v>
      </c>
      <c r="S114" s="191" t="str">
        <f t="shared" si="28"/>
        <v>-</v>
      </c>
      <c r="T114" s="191" t="str">
        <f t="shared" si="29"/>
        <v>-</v>
      </c>
    </row>
    <row r="115" spans="2:20" hidden="1" outlineLevel="3" x14ac:dyDescent="0.25">
      <c r="B115" s="44" t="s">
        <v>51</v>
      </c>
      <c r="C115" s="45">
        <v>112</v>
      </c>
      <c r="D115" s="46" t="s">
        <v>310</v>
      </c>
      <c r="E115" s="122">
        <v>0</v>
      </c>
      <c r="F115" s="123">
        <v>0</v>
      </c>
      <c r="G115" s="123">
        <v>0</v>
      </c>
      <c r="H115" s="123">
        <v>0</v>
      </c>
      <c r="I115" s="124">
        <v>0</v>
      </c>
      <c r="K115" s="184">
        <f t="shared" si="41"/>
        <v>0</v>
      </c>
      <c r="L115" s="184">
        <f t="shared" si="42"/>
        <v>0</v>
      </c>
      <c r="M115" s="184">
        <f t="shared" si="43"/>
        <v>0</v>
      </c>
      <c r="N115" s="184">
        <f t="shared" si="44"/>
        <v>0</v>
      </c>
      <c r="O115" s="184">
        <f t="shared" si="45"/>
        <v>0</v>
      </c>
      <c r="Q115" s="184" t="str">
        <f t="shared" si="30"/>
        <v>-</v>
      </c>
      <c r="R115" s="184" t="str">
        <f t="shared" si="27"/>
        <v>-</v>
      </c>
      <c r="S115" s="184" t="str">
        <f t="shared" si="28"/>
        <v>-</v>
      </c>
      <c r="T115" s="184" t="str">
        <f t="shared" si="29"/>
        <v>-</v>
      </c>
    </row>
    <row r="116" spans="2:20" hidden="1" outlineLevel="3" x14ac:dyDescent="0.25">
      <c r="B116" s="44" t="s">
        <v>53</v>
      </c>
      <c r="C116" s="45">
        <v>113</v>
      </c>
      <c r="D116" s="46" t="s">
        <v>140</v>
      </c>
      <c r="E116" s="122">
        <v>0</v>
      </c>
      <c r="F116" s="123">
        <v>0</v>
      </c>
      <c r="G116" s="123">
        <v>0</v>
      </c>
      <c r="H116" s="123">
        <v>0</v>
      </c>
      <c r="I116" s="124">
        <v>0</v>
      </c>
      <c r="K116" s="184">
        <f t="shared" si="41"/>
        <v>0</v>
      </c>
      <c r="L116" s="184">
        <f t="shared" si="42"/>
        <v>0</v>
      </c>
      <c r="M116" s="184">
        <f t="shared" si="43"/>
        <v>0</v>
      </c>
      <c r="N116" s="184">
        <f t="shared" si="44"/>
        <v>0</v>
      </c>
      <c r="O116" s="184">
        <f t="shared" si="45"/>
        <v>0</v>
      </c>
      <c r="Q116" s="184" t="str">
        <f t="shared" si="30"/>
        <v>-</v>
      </c>
      <c r="R116" s="184" t="str">
        <f t="shared" si="27"/>
        <v>-</v>
      </c>
      <c r="S116" s="184" t="str">
        <f t="shared" si="28"/>
        <v>-</v>
      </c>
      <c r="T116" s="184" t="str">
        <f t="shared" si="29"/>
        <v>-</v>
      </c>
    </row>
    <row r="117" spans="2:20" hidden="1" outlineLevel="3" x14ac:dyDescent="0.25">
      <c r="B117" s="44" t="s">
        <v>55</v>
      </c>
      <c r="C117" s="45">
        <v>114</v>
      </c>
      <c r="D117" s="46" t="s">
        <v>137</v>
      </c>
      <c r="E117" s="122">
        <v>20008</v>
      </c>
      <c r="F117" s="123">
        <v>4801</v>
      </c>
      <c r="G117" s="123">
        <v>7412</v>
      </c>
      <c r="H117" s="123">
        <v>21470</v>
      </c>
      <c r="I117" s="124">
        <v>21557</v>
      </c>
      <c r="K117" s="184">
        <f t="shared" si="41"/>
        <v>3.947083669769872E-3</v>
      </c>
      <c r="L117" s="184">
        <f t="shared" si="42"/>
        <v>1.0722860620679643E-3</v>
      </c>
      <c r="M117" s="184">
        <f t="shared" si="43"/>
        <v>1.8497901516393678E-3</v>
      </c>
      <c r="N117" s="184">
        <f t="shared" si="44"/>
        <v>5.784657697528413E-3</v>
      </c>
      <c r="O117" s="184">
        <f t="shared" si="45"/>
        <v>5.8208798852511425E-3</v>
      </c>
      <c r="Q117" s="184">
        <f t="shared" si="30"/>
        <v>-0.76004598160735704</v>
      </c>
      <c r="R117" s="184">
        <f t="shared" si="27"/>
        <v>0.54384503228494063</v>
      </c>
      <c r="S117" s="184">
        <f t="shared" si="28"/>
        <v>1.8966540744738261</v>
      </c>
      <c r="T117" s="184">
        <f t="shared" si="29"/>
        <v>4.0521658127619098E-3</v>
      </c>
    </row>
    <row r="118" spans="2:20" hidden="1" outlineLevel="3" x14ac:dyDescent="0.25">
      <c r="B118" s="44" t="s">
        <v>57</v>
      </c>
      <c r="C118" s="45">
        <v>115</v>
      </c>
      <c r="D118" s="46" t="s">
        <v>142</v>
      </c>
      <c r="E118" s="122">
        <v>0</v>
      </c>
      <c r="F118" s="123">
        <v>0</v>
      </c>
      <c r="G118" s="123">
        <v>0</v>
      </c>
      <c r="H118" s="123">
        <v>0</v>
      </c>
      <c r="I118" s="124">
        <v>0</v>
      </c>
      <c r="K118" s="184">
        <f t="shared" si="41"/>
        <v>0</v>
      </c>
      <c r="L118" s="184">
        <f t="shared" si="42"/>
        <v>0</v>
      </c>
      <c r="M118" s="184">
        <f t="shared" si="43"/>
        <v>0</v>
      </c>
      <c r="N118" s="184">
        <f t="shared" si="44"/>
        <v>0</v>
      </c>
      <c r="O118" s="184">
        <f t="shared" si="45"/>
        <v>0</v>
      </c>
      <c r="Q118" s="184" t="str">
        <f t="shared" si="30"/>
        <v>-</v>
      </c>
      <c r="R118" s="184" t="str">
        <f t="shared" si="27"/>
        <v>-</v>
      </c>
      <c r="S118" s="184" t="str">
        <f t="shared" si="28"/>
        <v>-</v>
      </c>
      <c r="T118" s="184" t="str">
        <f t="shared" si="29"/>
        <v>-</v>
      </c>
    </row>
    <row r="119" spans="2:20" hidden="1" outlineLevel="3" x14ac:dyDescent="0.25">
      <c r="B119" s="44" t="s">
        <v>59</v>
      </c>
      <c r="C119" s="45">
        <v>116</v>
      </c>
      <c r="D119" s="46" t="s">
        <v>138</v>
      </c>
      <c r="E119" s="122">
        <v>0</v>
      </c>
      <c r="F119" s="123">
        <v>0</v>
      </c>
      <c r="G119" s="123">
        <v>0</v>
      </c>
      <c r="H119" s="123">
        <v>0</v>
      </c>
      <c r="I119" s="124">
        <v>0</v>
      </c>
      <c r="K119" s="184">
        <f t="shared" si="41"/>
        <v>0</v>
      </c>
      <c r="L119" s="184">
        <f t="shared" si="42"/>
        <v>0</v>
      </c>
      <c r="M119" s="184">
        <f t="shared" si="43"/>
        <v>0</v>
      </c>
      <c r="N119" s="184">
        <f t="shared" si="44"/>
        <v>0</v>
      </c>
      <c r="O119" s="184">
        <f t="shared" si="45"/>
        <v>0</v>
      </c>
      <c r="Q119" s="184" t="str">
        <f t="shared" si="30"/>
        <v>-</v>
      </c>
      <c r="R119" s="184" t="str">
        <f t="shared" si="27"/>
        <v>-</v>
      </c>
      <c r="S119" s="184" t="str">
        <f t="shared" si="28"/>
        <v>-</v>
      </c>
      <c r="T119" s="184" t="str">
        <f t="shared" si="29"/>
        <v>-</v>
      </c>
    </row>
    <row r="120" spans="2:20" hidden="1" outlineLevel="3" x14ac:dyDescent="0.25">
      <c r="B120" s="44" t="s">
        <v>311</v>
      </c>
      <c r="C120" s="45">
        <v>117</v>
      </c>
      <c r="D120" s="46" t="s">
        <v>139</v>
      </c>
      <c r="E120" s="122">
        <v>0</v>
      </c>
      <c r="F120" s="123">
        <v>0</v>
      </c>
      <c r="G120" s="123">
        <v>0</v>
      </c>
      <c r="H120" s="123">
        <v>0</v>
      </c>
      <c r="I120" s="124">
        <v>0</v>
      </c>
      <c r="K120" s="184">
        <f t="shared" si="41"/>
        <v>0</v>
      </c>
      <c r="L120" s="184">
        <f t="shared" si="42"/>
        <v>0</v>
      </c>
      <c r="M120" s="184">
        <f t="shared" si="43"/>
        <v>0</v>
      </c>
      <c r="N120" s="184">
        <f t="shared" si="44"/>
        <v>0</v>
      </c>
      <c r="O120" s="184">
        <f t="shared" si="45"/>
        <v>0</v>
      </c>
      <c r="Q120" s="184" t="str">
        <f t="shared" si="30"/>
        <v>-</v>
      </c>
      <c r="R120" s="184" t="str">
        <f t="shared" si="27"/>
        <v>-</v>
      </c>
      <c r="S120" s="184" t="str">
        <f t="shared" si="28"/>
        <v>-</v>
      </c>
      <c r="T120" s="184" t="str">
        <f t="shared" si="29"/>
        <v>-</v>
      </c>
    </row>
    <row r="121" spans="2:20" hidden="1" outlineLevel="3" x14ac:dyDescent="0.25">
      <c r="B121" s="44" t="s">
        <v>312</v>
      </c>
      <c r="C121" s="45">
        <v>118</v>
      </c>
      <c r="D121" s="46" t="s">
        <v>145</v>
      </c>
      <c r="E121" s="122">
        <v>0</v>
      </c>
      <c r="F121" s="123">
        <v>0</v>
      </c>
      <c r="G121" s="123">
        <v>0</v>
      </c>
      <c r="H121" s="123">
        <v>0</v>
      </c>
      <c r="I121" s="124">
        <v>0</v>
      </c>
      <c r="K121" s="184">
        <f t="shared" si="41"/>
        <v>0</v>
      </c>
      <c r="L121" s="184">
        <f t="shared" si="42"/>
        <v>0</v>
      </c>
      <c r="M121" s="184">
        <f t="shared" si="43"/>
        <v>0</v>
      </c>
      <c r="N121" s="184">
        <f t="shared" si="44"/>
        <v>0</v>
      </c>
      <c r="O121" s="184">
        <f t="shared" si="45"/>
        <v>0</v>
      </c>
      <c r="Q121" s="184" t="str">
        <f t="shared" si="30"/>
        <v>-</v>
      </c>
      <c r="R121" s="184" t="str">
        <f t="shared" si="27"/>
        <v>-</v>
      </c>
      <c r="S121" s="184" t="str">
        <f t="shared" si="28"/>
        <v>-</v>
      </c>
      <c r="T121" s="184" t="str">
        <f t="shared" si="29"/>
        <v>-</v>
      </c>
    </row>
    <row r="122" spans="2:20" hidden="1" outlineLevel="3" x14ac:dyDescent="0.25">
      <c r="B122" s="44" t="s">
        <v>313</v>
      </c>
      <c r="C122" s="45">
        <v>119</v>
      </c>
      <c r="D122" s="46" t="s">
        <v>317</v>
      </c>
      <c r="E122" s="122">
        <f>SUM(E123:E125)</f>
        <v>0</v>
      </c>
      <c r="F122" s="123">
        <f t="shared" ref="F122:I122" si="55">SUM(F123:F125)</f>
        <v>0</v>
      </c>
      <c r="G122" s="123">
        <f t="shared" si="55"/>
        <v>0</v>
      </c>
      <c r="H122" s="123">
        <f t="shared" si="55"/>
        <v>0</v>
      </c>
      <c r="I122" s="124">
        <f t="shared" si="55"/>
        <v>0</v>
      </c>
      <c r="K122" s="184">
        <f t="shared" si="41"/>
        <v>0</v>
      </c>
      <c r="L122" s="184">
        <f t="shared" si="42"/>
        <v>0</v>
      </c>
      <c r="M122" s="184">
        <f t="shared" si="43"/>
        <v>0</v>
      </c>
      <c r="N122" s="184">
        <f t="shared" si="44"/>
        <v>0</v>
      </c>
      <c r="O122" s="184">
        <f t="shared" si="45"/>
        <v>0</v>
      </c>
      <c r="Q122" s="184" t="str">
        <f t="shared" si="30"/>
        <v>-</v>
      </c>
      <c r="R122" s="184" t="str">
        <f t="shared" si="27"/>
        <v>-</v>
      </c>
      <c r="S122" s="184" t="str">
        <f t="shared" si="28"/>
        <v>-</v>
      </c>
      <c r="T122" s="184" t="str">
        <f t="shared" si="29"/>
        <v>-</v>
      </c>
    </row>
    <row r="123" spans="2:20" hidden="1" outlineLevel="3" x14ac:dyDescent="0.25">
      <c r="B123" s="86" t="s">
        <v>314</v>
      </c>
      <c r="C123" s="87">
        <v>120</v>
      </c>
      <c r="D123" s="83" t="s">
        <v>318</v>
      </c>
      <c r="E123" s="134">
        <v>0</v>
      </c>
      <c r="F123" s="135">
        <v>0</v>
      </c>
      <c r="G123" s="135">
        <v>0</v>
      </c>
      <c r="H123" s="135">
        <v>0</v>
      </c>
      <c r="I123" s="136">
        <v>0</v>
      </c>
      <c r="K123" s="185">
        <f t="shared" si="41"/>
        <v>0</v>
      </c>
      <c r="L123" s="185">
        <f t="shared" si="42"/>
        <v>0</v>
      </c>
      <c r="M123" s="185">
        <f t="shared" si="43"/>
        <v>0</v>
      </c>
      <c r="N123" s="185">
        <f t="shared" si="44"/>
        <v>0</v>
      </c>
      <c r="O123" s="185">
        <f t="shared" si="45"/>
        <v>0</v>
      </c>
      <c r="Q123" s="185" t="str">
        <f t="shared" si="30"/>
        <v>-</v>
      </c>
      <c r="R123" s="185" t="str">
        <f t="shared" si="27"/>
        <v>-</v>
      </c>
      <c r="S123" s="185" t="str">
        <f t="shared" si="28"/>
        <v>-</v>
      </c>
      <c r="T123" s="185" t="str">
        <f t="shared" si="29"/>
        <v>-</v>
      </c>
    </row>
    <row r="124" spans="2:20" hidden="1" outlineLevel="3" x14ac:dyDescent="0.25">
      <c r="B124" s="86" t="s">
        <v>315</v>
      </c>
      <c r="C124" s="87">
        <v>121</v>
      </c>
      <c r="D124" s="83" t="s">
        <v>143</v>
      </c>
      <c r="E124" s="134">
        <v>0</v>
      </c>
      <c r="F124" s="135">
        <v>0</v>
      </c>
      <c r="G124" s="135">
        <v>0</v>
      </c>
      <c r="H124" s="135">
        <v>0</v>
      </c>
      <c r="I124" s="136">
        <v>0</v>
      </c>
      <c r="K124" s="185">
        <f t="shared" si="41"/>
        <v>0</v>
      </c>
      <c r="L124" s="185">
        <f t="shared" si="42"/>
        <v>0</v>
      </c>
      <c r="M124" s="185">
        <f t="shared" si="43"/>
        <v>0</v>
      </c>
      <c r="N124" s="185">
        <f t="shared" si="44"/>
        <v>0</v>
      </c>
      <c r="O124" s="185">
        <f t="shared" si="45"/>
        <v>0</v>
      </c>
      <c r="Q124" s="185" t="str">
        <f t="shared" si="30"/>
        <v>-</v>
      </c>
      <c r="R124" s="185" t="str">
        <f t="shared" si="27"/>
        <v>-</v>
      </c>
      <c r="S124" s="185" t="str">
        <f t="shared" si="28"/>
        <v>-</v>
      </c>
      <c r="T124" s="185" t="str">
        <f t="shared" si="29"/>
        <v>-</v>
      </c>
    </row>
    <row r="125" spans="2:20" ht="15.75" hidden="1" outlineLevel="3" thickBot="1" x14ac:dyDescent="0.3">
      <c r="B125" s="44" t="s">
        <v>316</v>
      </c>
      <c r="C125" s="45">
        <v>122</v>
      </c>
      <c r="D125" s="83" t="s">
        <v>144</v>
      </c>
      <c r="E125" s="122">
        <v>0</v>
      </c>
      <c r="F125" s="123">
        <v>0</v>
      </c>
      <c r="G125" s="123">
        <v>0</v>
      </c>
      <c r="H125" s="123">
        <v>0</v>
      </c>
      <c r="I125" s="124">
        <v>0</v>
      </c>
      <c r="K125" s="185">
        <f t="shared" si="41"/>
        <v>0</v>
      </c>
      <c r="L125" s="185">
        <f t="shared" si="42"/>
        <v>0</v>
      </c>
      <c r="M125" s="185">
        <f t="shared" si="43"/>
        <v>0</v>
      </c>
      <c r="N125" s="185">
        <f t="shared" si="44"/>
        <v>0</v>
      </c>
      <c r="O125" s="185">
        <f t="shared" si="45"/>
        <v>0</v>
      </c>
      <c r="Q125" s="185" t="str">
        <f t="shared" si="30"/>
        <v>-</v>
      </c>
      <c r="R125" s="185" t="str">
        <f t="shared" si="27"/>
        <v>-</v>
      </c>
      <c r="S125" s="185" t="str">
        <f t="shared" si="28"/>
        <v>-</v>
      </c>
      <c r="T125" s="185" t="str">
        <f t="shared" si="29"/>
        <v>-</v>
      </c>
    </row>
    <row r="126" spans="2:20" ht="16.5" hidden="1" outlineLevel="2" thickTop="1" thickBot="1" x14ac:dyDescent="0.3">
      <c r="B126" s="125" t="s">
        <v>61</v>
      </c>
      <c r="C126" s="126">
        <v>123</v>
      </c>
      <c r="D126" s="12" t="s">
        <v>146</v>
      </c>
      <c r="E126" s="125">
        <f>SUM(E127,E130:E136)</f>
        <v>2776312</v>
      </c>
      <c r="F126" s="127">
        <f t="shared" ref="F126:I126" si="56">SUM(F127,F130:F136)</f>
        <v>2139963</v>
      </c>
      <c r="G126" s="127">
        <f t="shared" si="56"/>
        <v>1633821</v>
      </c>
      <c r="H126" s="127">
        <f t="shared" si="56"/>
        <v>1394683</v>
      </c>
      <c r="I126" s="126">
        <f t="shared" si="56"/>
        <v>1394544</v>
      </c>
      <c r="K126" s="186">
        <f t="shared" si="41"/>
        <v>0.54769770878579238</v>
      </c>
      <c r="L126" s="186">
        <f t="shared" si="42"/>
        <v>0.47795303025226976</v>
      </c>
      <c r="M126" s="186">
        <f t="shared" si="43"/>
        <v>0.40774770579352176</v>
      </c>
      <c r="N126" s="186">
        <f t="shared" si="44"/>
        <v>0.37576915470712713</v>
      </c>
      <c r="O126" s="186">
        <f t="shared" si="45"/>
        <v>0.3765585711693496</v>
      </c>
      <c r="Q126" s="186">
        <f t="shared" si="30"/>
        <v>-0.22920658773221458</v>
      </c>
      <c r="R126" s="186">
        <f t="shared" si="27"/>
        <v>-0.23651904261896117</v>
      </c>
      <c r="S126" s="186">
        <f t="shared" si="28"/>
        <v>-0.14636731930854119</v>
      </c>
      <c r="T126" s="186">
        <f t="shared" si="29"/>
        <v>-9.9664224773698962E-5</v>
      </c>
    </row>
    <row r="127" spans="2:20" ht="15.75" hidden="1" outlineLevel="3" thickTop="1" x14ac:dyDescent="0.25">
      <c r="B127" s="44" t="s">
        <v>63</v>
      </c>
      <c r="C127" s="45">
        <v>124</v>
      </c>
      <c r="D127" s="46" t="s">
        <v>141</v>
      </c>
      <c r="E127" s="122">
        <f>SUM(E128:E129)</f>
        <v>0</v>
      </c>
      <c r="F127" s="123">
        <f t="shared" ref="F127:I127" si="57">SUM(F128:F129)</f>
        <v>0</v>
      </c>
      <c r="G127" s="123">
        <f t="shared" si="57"/>
        <v>0</v>
      </c>
      <c r="H127" s="123">
        <f t="shared" si="57"/>
        <v>0</v>
      </c>
      <c r="I127" s="124">
        <f t="shared" si="57"/>
        <v>0</v>
      </c>
      <c r="K127" s="184">
        <f t="shared" si="41"/>
        <v>0</v>
      </c>
      <c r="L127" s="184">
        <f t="shared" si="42"/>
        <v>0</v>
      </c>
      <c r="M127" s="184">
        <f t="shared" si="43"/>
        <v>0</v>
      </c>
      <c r="N127" s="184">
        <f t="shared" si="44"/>
        <v>0</v>
      </c>
      <c r="O127" s="184">
        <f t="shared" si="45"/>
        <v>0</v>
      </c>
      <c r="Q127" s="184" t="str">
        <f t="shared" si="30"/>
        <v>-</v>
      </c>
      <c r="R127" s="184" t="str">
        <f t="shared" si="27"/>
        <v>-</v>
      </c>
      <c r="S127" s="184" t="str">
        <f t="shared" si="28"/>
        <v>-</v>
      </c>
      <c r="T127" s="184" t="str">
        <f t="shared" si="29"/>
        <v>-</v>
      </c>
    </row>
    <row r="128" spans="2:20" hidden="1" outlineLevel="3" x14ac:dyDescent="0.25">
      <c r="B128" s="86" t="s">
        <v>269</v>
      </c>
      <c r="C128" s="87">
        <v>125</v>
      </c>
      <c r="D128" s="83" t="s">
        <v>308</v>
      </c>
      <c r="E128" s="122">
        <v>0</v>
      </c>
      <c r="F128" s="123">
        <v>0</v>
      </c>
      <c r="G128" s="123">
        <v>0</v>
      </c>
      <c r="H128" s="123">
        <v>0</v>
      </c>
      <c r="I128" s="124">
        <v>0</v>
      </c>
      <c r="K128" s="185">
        <f t="shared" si="41"/>
        <v>0</v>
      </c>
      <c r="L128" s="185">
        <f t="shared" si="42"/>
        <v>0</v>
      </c>
      <c r="M128" s="185">
        <f t="shared" si="43"/>
        <v>0</v>
      </c>
      <c r="N128" s="185">
        <f t="shared" si="44"/>
        <v>0</v>
      </c>
      <c r="O128" s="185">
        <f t="shared" si="45"/>
        <v>0</v>
      </c>
      <c r="Q128" s="185" t="str">
        <f t="shared" si="30"/>
        <v>-</v>
      </c>
      <c r="R128" s="185" t="str">
        <f t="shared" si="27"/>
        <v>-</v>
      </c>
      <c r="S128" s="185" t="str">
        <f t="shared" si="28"/>
        <v>-</v>
      </c>
      <c r="T128" s="185" t="str">
        <f t="shared" si="29"/>
        <v>-</v>
      </c>
    </row>
    <row r="129" spans="2:20" hidden="1" outlineLevel="3" x14ac:dyDescent="0.25">
      <c r="B129" s="86" t="s">
        <v>270</v>
      </c>
      <c r="C129" s="87">
        <v>126</v>
      </c>
      <c r="D129" s="83" t="s">
        <v>309</v>
      </c>
      <c r="E129" s="122">
        <v>0</v>
      </c>
      <c r="F129" s="123">
        <v>0</v>
      </c>
      <c r="G129" s="123">
        <v>0</v>
      </c>
      <c r="H129" s="123">
        <v>0</v>
      </c>
      <c r="I129" s="124">
        <v>0</v>
      </c>
      <c r="K129" s="185">
        <f t="shared" si="41"/>
        <v>0</v>
      </c>
      <c r="L129" s="185">
        <f t="shared" si="42"/>
        <v>0</v>
      </c>
      <c r="M129" s="185">
        <f t="shared" si="43"/>
        <v>0</v>
      </c>
      <c r="N129" s="185">
        <f t="shared" si="44"/>
        <v>0</v>
      </c>
      <c r="O129" s="185">
        <f t="shared" si="45"/>
        <v>0</v>
      </c>
      <c r="Q129" s="185" t="str">
        <f t="shared" si="30"/>
        <v>-</v>
      </c>
      <c r="R129" s="185" t="str">
        <f t="shared" si="27"/>
        <v>-</v>
      </c>
      <c r="S129" s="185" t="str">
        <f t="shared" si="28"/>
        <v>-</v>
      </c>
      <c r="T129" s="185" t="str">
        <f t="shared" si="29"/>
        <v>-</v>
      </c>
    </row>
    <row r="130" spans="2:20" hidden="1" outlineLevel="3" x14ac:dyDescent="0.25">
      <c r="B130" s="44" t="s">
        <v>65</v>
      </c>
      <c r="C130" s="45">
        <v>127</v>
      </c>
      <c r="D130" s="46" t="s">
        <v>310</v>
      </c>
      <c r="E130" s="122">
        <v>1598526</v>
      </c>
      <c r="F130" s="123">
        <v>1104031</v>
      </c>
      <c r="G130" s="123">
        <v>824323</v>
      </c>
      <c r="H130" s="123">
        <v>672808</v>
      </c>
      <c r="I130" s="124">
        <v>701143</v>
      </c>
      <c r="K130" s="184">
        <f t="shared" si="41"/>
        <v>0.3153496536536663</v>
      </c>
      <c r="L130" s="184">
        <f t="shared" si="42"/>
        <v>0.24658134834221135</v>
      </c>
      <c r="M130" s="184">
        <f t="shared" si="43"/>
        <v>0.20572376783186974</v>
      </c>
      <c r="N130" s="184">
        <f t="shared" si="44"/>
        <v>0.18127452147921269</v>
      </c>
      <c r="O130" s="184">
        <f t="shared" si="45"/>
        <v>0.18932454355358547</v>
      </c>
      <c r="Q130" s="184">
        <f t="shared" si="30"/>
        <v>-0.3093443584902591</v>
      </c>
      <c r="R130" s="184">
        <f t="shared" si="27"/>
        <v>-0.25335158161319749</v>
      </c>
      <c r="S130" s="184">
        <f t="shared" si="28"/>
        <v>-0.18380537726109791</v>
      </c>
      <c r="T130" s="184">
        <f t="shared" si="29"/>
        <v>4.2114540849692572E-2</v>
      </c>
    </row>
    <row r="131" spans="2:20" hidden="1" outlineLevel="3" x14ac:dyDescent="0.25">
      <c r="B131" s="44" t="s">
        <v>67</v>
      </c>
      <c r="C131" s="45">
        <v>128</v>
      </c>
      <c r="D131" s="46" t="s">
        <v>150</v>
      </c>
      <c r="E131" s="122">
        <v>3464</v>
      </c>
      <c r="F131" s="123">
        <v>8565</v>
      </c>
      <c r="G131" s="123">
        <v>33273</v>
      </c>
      <c r="H131" s="123">
        <v>29985</v>
      </c>
      <c r="I131" s="124">
        <v>29133</v>
      </c>
      <c r="K131" s="184">
        <f t="shared" si="41"/>
        <v>6.8336154698534781E-4</v>
      </c>
      <c r="L131" s="184">
        <f t="shared" si="42"/>
        <v>1.9129619082716338E-3</v>
      </c>
      <c r="M131" s="184">
        <f t="shared" si="43"/>
        <v>8.3038407603206535E-3</v>
      </c>
      <c r="N131" s="184">
        <f t="shared" si="44"/>
        <v>8.0788524015085912E-3</v>
      </c>
      <c r="O131" s="184">
        <f t="shared" si="45"/>
        <v>7.8665720507037872E-3</v>
      </c>
      <c r="Q131" s="184">
        <f t="shared" si="30"/>
        <v>1.4725750577367207</v>
      </c>
      <c r="R131" s="184">
        <f t="shared" si="27"/>
        <v>2.8847635726795096</v>
      </c>
      <c r="S131" s="184">
        <f t="shared" si="28"/>
        <v>-9.8818862140474306E-2</v>
      </c>
      <c r="T131" s="184">
        <f t="shared" si="29"/>
        <v>-2.8414207103551803E-2</v>
      </c>
    </row>
    <row r="132" spans="2:20" hidden="1" outlineLevel="3" x14ac:dyDescent="0.25">
      <c r="B132" s="44" t="s">
        <v>69</v>
      </c>
      <c r="C132" s="45">
        <v>129</v>
      </c>
      <c r="D132" s="46" t="s">
        <v>137</v>
      </c>
      <c r="E132" s="122">
        <v>901252</v>
      </c>
      <c r="F132" s="123">
        <v>731037</v>
      </c>
      <c r="G132" s="123">
        <v>582004</v>
      </c>
      <c r="H132" s="123">
        <v>403722</v>
      </c>
      <c r="I132" s="124">
        <v>458202</v>
      </c>
      <c r="K132" s="184">
        <f t="shared" si="41"/>
        <v>0.17779473468349846</v>
      </c>
      <c r="L132" s="184">
        <f t="shared" si="42"/>
        <v>0.16327448155717109</v>
      </c>
      <c r="M132" s="184">
        <f t="shared" si="43"/>
        <v>0.14524895674780339</v>
      </c>
      <c r="N132" s="184">
        <f t="shared" si="44"/>
        <v>0.10877473567589967</v>
      </c>
      <c r="O132" s="184">
        <f t="shared" si="45"/>
        <v>0.12372495269201857</v>
      </c>
      <c r="Q132" s="184">
        <f t="shared" si="30"/>
        <v>-0.18886504551446215</v>
      </c>
      <c r="R132" s="184">
        <f t="shared" ref="R132:R146" si="58">IFERROR((G132/F132)-1,"-")</f>
        <v>-0.20386519423777461</v>
      </c>
      <c r="S132" s="184">
        <f t="shared" ref="S132:S146" si="59">IFERROR((H132/G132)-1,"-")</f>
        <v>-0.30632435515907108</v>
      </c>
      <c r="T132" s="184">
        <f t="shared" ref="T132:T146" si="60">IFERROR((I132/H132)-1,"-")</f>
        <v>0.13494434288941393</v>
      </c>
    </row>
    <row r="133" spans="2:20" hidden="1" outlineLevel="3" x14ac:dyDescent="0.25">
      <c r="B133" s="44" t="s">
        <v>70</v>
      </c>
      <c r="C133" s="45">
        <v>130</v>
      </c>
      <c r="D133" s="46" t="s">
        <v>319</v>
      </c>
      <c r="E133" s="122">
        <v>0</v>
      </c>
      <c r="F133" s="123">
        <v>0</v>
      </c>
      <c r="G133" s="123">
        <v>0</v>
      </c>
      <c r="H133" s="123">
        <v>0</v>
      </c>
      <c r="I133" s="124">
        <v>0</v>
      </c>
      <c r="K133" s="184">
        <f t="shared" si="41"/>
        <v>0</v>
      </c>
      <c r="L133" s="184">
        <f t="shared" si="42"/>
        <v>0</v>
      </c>
      <c r="M133" s="184">
        <f t="shared" si="43"/>
        <v>0</v>
      </c>
      <c r="N133" s="184">
        <f t="shared" si="44"/>
        <v>0</v>
      </c>
      <c r="O133" s="184">
        <f t="shared" si="45"/>
        <v>0</v>
      </c>
      <c r="Q133" s="184" t="str">
        <f t="shared" ref="Q133:Q146" si="61">IFERROR((F133/E133)-1,"-")</f>
        <v>-</v>
      </c>
      <c r="R133" s="184" t="str">
        <f t="shared" si="58"/>
        <v>-</v>
      </c>
      <c r="S133" s="184" t="str">
        <f t="shared" si="59"/>
        <v>-</v>
      </c>
      <c r="T133" s="184" t="str">
        <f t="shared" si="60"/>
        <v>-</v>
      </c>
    </row>
    <row r="134" spans="2:20" hidden="1" outlineLevel="3" x14ac:dyDescent="0.25">
      <c r="B134" s="44" t="s">
        <v>72</v>
      </c>
      <c r="C134" s="45">
        <v>131</v>
      </c>
      <c r="D134" s="46" t="s">
        <v>138</v>
      </c>
      <c r="E134" s="122">
        <v>0</v>
      </c>
      <c r="F134" s="123">
        <v>0</v>
      </c>
      <c r="G134" s="123">
        <v>0</v>
      </c>
      <c r="H134" s="123">
        <v>0</v>
      </c>
      <c r="I134" s="124">
        <v>0</v>
      </c>
      <c r="K134" s="184">
        <f t="shared" si="41"/>
        <v>0</v>
      </c>
      <c r="L134" s="184">
        <f t="shared" si="42"/>
        <v>0</v>
      </c>
      <c r="M134" s="184">
        <f t="shared" si="43"/>
        <v>0</v>
      </c>
      <c r="N134" s="184">
        <f t="shared" si="44"/>
        <v>0</v>
      </c>
      <c r="O134" s="184">
        <f t="shared" si="45"/>
        <v>0</v>
      </c>
      <c r="Q134" s="184" t="str">
        <f t="shared" si="61"/>
        <v>-</v>
      </c>
      <c r="R134" s="184" t="str">
        <f t="shared" si="58"/>
        <v>-</v>
      </c>
      <c r="S134" s="184" t="str">
        <f t="shared" si="59"/>
        <v>-</v>
      </c>
      <c r="T134" s="184" t="str">
        <f t="shared" si="60"/>
        <v>-</v>
      </c>
    </row>
    <row r="135" spans="2:20" hidden="1" outlineLevel="3" x14ac:dyDescent="0.25">
      <c r="B135" s="44" t="s">
        <v>74</v>
      </c>
      <c r="C135" s="45">
        <v>132</v>
      </c>
      <c r="D135" s="46" t="s">
        <v>139</v>
      </c>
      <c r="E135" s="122">
        <v>0</v>
      </c>
      <c r="F135" s="123">
        <v>0</v>
      </c>
      <c r="G135" s="123">
        <v>0</v>
      </c>
      <c r="H135" s="123">
        <v>0</v>
      </c>
      <c r="I135" s="124">
        <v>0</v>
      </c>
      <c r="K135" s="184">
        <f t="shared" si="41"/>
        <v>0</v>
      </c>
      <c r="L135" s="184">
        <f t="shared" si="42"/>
        <v>0</v>
      </c>
      <c r="M135" s="184">
        <f t="shared" si="43"/>
        <v>0</v>
      </c>
      <c r="N135" s="184">
        <f t="shared" si="44"/>
        <v>0</v>
      </c>
      <c r="O135" s="184">
        <f t="shared" si="45"/>
        <v>0</v>
      </c>
      <c r="Q135" s="184" t="str">
        <f t="shared" si="61"/>
        <v>-</v>
      </c>
      <c r="R135" s="184" t="str">
        <f t="shared" si="58"/>
        <v>-</v>
      </c>
      <c r="S135" s="184" t="str">
        <f t="shared" si="59"/>
        <v>-</v>
      </c>
      <c r="T135" s="184" t="str">
        <f t="shared" si="60"/>
        <v>-</v>
      </c>
    </row>
    <row r="136" spans="2:20" hidden="1" outlineLevel="3" x14ac:dyDescent="0.25">
      <c r="B136" s="44" t="s">
        <v>76</v>
      </c>
      <c r="C136" s="45">
        <v>133</v>
      </c>
      <c r="D136" s="46" t="s">
        <v>320</v>
      </c>
      <c r="E136" s="122">
        <f>SUM(E137:E143)</f>
        <v>273070</v>
      </c>
      <c r="F136" s="123">
        <f t="shared" ref="F136:I136" si="62">SUM(F137:F143)</f>
        <v>296330</v>
      </c>
      <c r="G136" s="123">
        <f t="shared" si="62"/>
        <v>194221</v>
      </c>
      <c r="H136" s="123">
        <f t="shared" si="62"/>
        <v>288168</v>
      </c>
      <c r="I136" s="124">
        <f t="shared" si="62"/>
        <v>206066</v>
      </c>
      <c r="K136" s="184">
        <f t="shared" si="41"/>
        <v>5.3869958901642298E-2</v>
      </c>
      <c r="L136" s="184">
        <f t="shared" si="42"/>
        <v>6.618423844461567E-2</v>
      </c>
      <c r="M136" s="184">
        <f t="shared" si="43"/>
        <v>4.8471140453528017E-2</v>
      </c>
      <c r="N136" s="184">
        <f t="shared" si="44"/>
        <v>7.7641045150506183E-2</v>
      </c>
      <c r="O136" s="184">
        <f t="shared" si="45"/>
        <v>5.5642502873041795E-2</v>
      </c>
      <c r="Q136" s="184">
        <f t="shared" si="61"/>
        <v>8.5179624272164745E-2</v>
      </c>
      <c r="R136" s="184">
        <f t="shared" si="58"/>
        <v>-0.34457867917524376</v>
      </c>
      <c r="S136" s="184">
        <f t="shared" si="59"/>
        <v>0.4837118540219647</v>
      </c>
      <c r="T136" s="184">
        <f t="shared" si="60"/>
        <v>-0.28491019127731043</v>
      </c>
    </row>
    <row r="137" spans="2:20" hidden="1" outlineLevel="3" x14ac:dyDescent="0.25">
      <c r="B137" s="86" t="s">
        <v>321</v>
      </c>
      <c r="C137" s="87">
        <v>134</v>
      </c>
      <c r="D137" s="83" t="s">
        <v>318</v>
      </c>
      <c r="E137" s="134">
        <v>20</v>
      </c>
      <c r="F137" s="135">
        <v>20</v>
      </c>
      <c r="G137" s="135">
        <v>20</v>
      </c>
      <c r="H137" s="135">
        <v>52020</v>
      </c>
      <c r="I137" s="136">
        <v>20</v>
      </c>
      <c r="K137" s="185">
        <f t="shared" si="41"/>
        <v>3.9455054675828393E-6</v>
      </c>
      <c r="L137" s="185">
        <f t="shared" si="42"/>
        <v>4.466927981953611E-6</v>
      </c>
      <c r="M137" s="185">
        <f t="shared" si="43"/>
        <v>4.9913387793830759E-6</v>
      </c>
      <c r="N137" s="185">
        <f t="shared" si="44"/>
        <v>1.4015737933182488E-2</v>
      </c>
      <c r="O137" s="185">
        <f t="shared" si="45"/>
        <v>5.4004545022509095E-6</v>
      </c>
      <c r="Q137" s="185">
        <f t="shared" si="61"/>
        <v>0</v>
      </c>
      <c r="R137" s="185">
        <f t="shared" si="58"/>
        <v>0</v>
      </c>
      <c r="S137" s="185">
        <f t="shared" si="59"/>
        <v>2600</v>
      </c>
      <c r="T137" s="185">
        <f t="shared" si="60"/>
        <v>-0.99961553248750479</v>
      </c>
    </row>
    <row r="138" spans="2:20" hidden="1" outlineLevel="3" x14ac:dyDescent="0.25">
      <c r="B138" s="86" t="s">
        <v>322</v>
      </c>
      <c r="C138" s="87">
        <v>135</v>
      </c>
      <c r="D138" s="83" t="s">
        <v>152</v>
      </c>
      <c r="E138" s="122">
        <v>0</v>
      </c>
      <c r="F138" s="123">
        <v>0</v>
      </c>
      <c r="G138" s="123">
        <v>0</v>
      </c>
      <c r="H138" s="123">
        <v>0</v>
      </c>
      <c r="I138" s="124">
        <v>0</v>
      </c>
      <c r="K138" s="185">
        <f t="shared" si="41"/>
        <v>0</v>
      </c>
      <c r="L138" s="185">
        <f t="shared" si="42"/>
        <v>0</v>
      </c>
      <c r="M138" s="185">
        <f t="shared" si="43"/>
        <v>0</v>
      </c>
      <c r="N138" s="185">
        <f t="shared" si="44"/>
        <v>0</v>
      </c>
      <c r="O138" s="185">
        <f t="shared" si="45"/>
        <v>0</v>
      </c>
      <c r="Q138" s="185" t="str">
        <f t="shared" si="61"/>
        <v>-</v>
      </c>
      <c r="R138" s="185" t="str">
        <f t="shared" si="58"/>
        <v>-</v>
      </c>
      <c r="S138" s="185" t="str">
        <f t="shared" si="59"/>
        <v>-</v>
      </c>
      <c r="T138" s="185" t="str">
        <f t="shared" si="60"/>
        <v>-</v>
      </c>
    </row>
    <row r="139" spans="2:20" hidden="1" outlineLevel="3" x14ac:dyDescent="0.25">
      <c r="B139" s="86" t="s">
        <v>323</v>
      </c>
      <c r="C139" s="87">
        <v>136</v>
      </c>
      <c r="D139" s="83" t="s">
        <v>147</v>
      </c>
      <c r="E139" s="134">
        <v>158201</v>
      </c>
      <c r="F139" s="135">
        <v>173366</v>
      </c>
      <c r="G139" s="135">
        <v>118992</v>
      </c>
      <c r="H139" s="135">
        <v>61397</v>
      </c>
      <c r="I139" s="136">
        <v>75259</v>
      </c>
      <c r="K139" s="185">
        <f t="shared" si="41"/>
        <v>3.1209145523853638E-2</v>
      </c>
      <c r="L139" s="185">
        <f t="shared" si="42"/>
        <v>3.8720671825968486E-2</v>
      </c>
      <c r="M139" s="185">
        <f t="shared" si="43"/>
        <v>2.9696469201817545E-2</v>
      </c>
      <c r="N139" s="185">
        <f t="shared" si="44"/>
        <v>1.6542181120407635E-2</v>
      </c>
      <c r="O139" s="185">
        <f t="shared" si="45"/>
        <v>2.0321640269245059E-2</v>
      </c>
      <c r="Q139" s="185">
        <f t="shared" si="61"/>
        <v>9.5859065366211249E-2</v>
      </c>
      <c r="R139" s="185">
        <f t="shared" si="58"/>
        <v>-0.31363704532607317</v>
      </c>
      <c r="S139" s="185">
        <f t="shared" si="59"/>
        <v>-0.48402413607637484</v>
      </c>
      <c r="T139" s="185">
        <f t="shared" si="60"/>
        <v>0.22577650373796776</v>
      </c>
    </row>
    <row r="140" spans="2:20" ht="25.5" hidden="1" outlineLevel="3" x14ac:dyDescent="0.25">
      <c r="B140" s="86" t="s">
        <v>324</v>
      </c>
      <c r="C140" s="87">
        <v>137</v>
      </c>
      <c r="D140" s="83" t="s">
        <v>148</v>
      </c>
      <c r="E140" s="134">
        <v>39763</v>
      </c>
      <c r="F140" s="135">
        <v>41011</v>
      </c>
      <c r="G140" s="135">
        <v>22170</v>
      </c>
      <c r="H140" s="135">
        <v>37389</v>
      </c>
      <c r="I140" s="136">
        <v>75259</v>
      </c>
      <c r="K140" s="185">
        <f t="shared" si="41"/>
        <v>7.8442566953748228E-3</v>
      </c>
      <c r="L140" s="185">
        <f t="shared" si="42"/>
        <v>9.1596591733949777E-3</v>
      </c>
      <c r="M140" s="185">
        <f t="shared" si="43"/>
        <v>5.5328990369461388E-3</v>
      </c>
      <c r="N140" s="185">
        <f t="shared" si="44"/>
        <v>1.0073710603301807E-2</v>
      </c>
      <c r="O140" s="185">
        <f t="shared" si="45"/>
        <v>2.0321640269245059E-2</v>
      </c>
      <c r="Q140" s="185">
        <f t="shared" si="61"/>
        <v>3.1385961823806152E-2</v>
      </c>
      <c r="R140" s="185">
        <f t="shared" si="58"/>
        <v>-0.45941332813147695</v>
      </c>
      <c r="S140" s="185">
        <f t="shared" si="59"/>
        <v>0.68646820027063593</v>
      </c>
      <c r="T140" s="185">
        <f t="shared" si="60"/>
        <v>1.0128647463157612</v>
      </c>
    </row>
    <row r="141" spans="2:20" hidden="1" outlineLevel="3" x14ac:dyDescent="0.25">
      <c r="B141" s="86" t="s">
        <v>325</v>
      </c>
      <c r="C141" s="87">
        <v>138</v>
      </c>
      <c r="D141" s="83" t="s">
        <v>149</v>
      </c>
      <c r="E141" s="134">
        <v>43513</v>
      </c>
      <c r="F141" s="135">
        <v>33530</v>
      </c>
      <c r="G141" s="135">
        <v>21257</v>
      </c>
      <c r="H141" s="135">
        <v>30106</v>
      </c>
      <c r="I141" s="136">
        <v>30015</v>
      </c>
      <c r="K141" s="185">
        <f t="shared" si="41"/>
        <v>8.5840389705466036E-3</v>
      </c>
      <c r="L141" s="185">
        <f t="shared" si="42"/>
        <v>7.4888047617452285E-3</v>
      </c>
      <c r="M141" s="185">
        <f t="shared" si="43"/>
        <v>5.3050444216673018E-3</v>
      </c>
      <c r="N141" s="185">
        <f t="shared" si="44"/>
        <v>8.1114534066972707E-3</v>
      </c>
      <c r="O141" s="185">
        <f t="shared" si="45"/>
        <v>8.1047320942530532E-3</v>
      </c>
      <c r="Q141" s="185">
        <f t="shared" si="61"/>
        <v>-0.22942568887458925</v>
      </c>
      <c r="R141" s="185">
        <f t="shared" si="58"/>
        <v>-0.3660304205189383</v>
      </c>
      <c r="S141" s="185">
        <f t="shared" si="59"/>
        <v>0.41628639977419213</v>
      </c>
      <c r="T141" s="185">
        <f t="shared" si="60"/>
        <v>-3.0226532917027038E-3</v>
      </c>
    </row>
    <row r="142" spans="2:20" hidden="1" outlineLevel="3" x14ac:dyDescent="0.25">
      <c r="B142" s="86" t="s">
        <v>326</v>
      </c>
      <c r="C142" s="87">
        <v>139</v>
      </c>
      <c r="D142" s="83" t="s">
        <v>151</v>
      </c>
      <c r="E142" s="134">
        <v>28263</v>
      </c>
      <c r="F142" s="135">
        <v>46403</v>
      </c>
      <c r="G142" s="135">
        <v>30157</v>
      </c>
      <c r="H142" s="135">
        <v>107249</v>
      </c>
      <c r="I142" s="136">
        <v>25506</v>
      </c>
      <c r="K142" s="185">
        <f t="shared" si="41"/>
        <v>5.5755910515146896E-3</v>
      </c>
      <c r="L142" s="185">
        <f t="shared" si="42"/>
        <v>1.036394295732967E-2</v>
      </c>
      <c r="M142" s="185">
        <f t="shared" si="43"/>
        <v>7.5261901784927704E-3</v>
      </c>
      <c r="N142" s="185">
        <f t="shared" si="44"/>
        <v>2.8896076078352338E-2</v>
      </c>
      <c r="O142" s="185">
        <f t="shared" si="45"/>
        <v>6.8871996267205844E-3</v>
      </c>
      <c r="Q142" s="185">
        <f t="shared" si="61"/>
        <v>0.64182853907936166</v>
      </c>
      <c r="R142" s="185">
        <f t="shared" si="58"/>
        <v>-0.350106674137448</v>
      </c>
      <c r="S142" s="185">
        <f t="shared" si="59"/>
        <v>2.5563550751069402</v>
      </c>
      <c r="T142" s="185">
        <f t="shared" si="60"/>
        <v>-0.76217960074219804</v>
      </c>
    </row>
    <row r="143" spans="2:20" ht="15.75" hidden="1" outlineLevel="3" thickBot="1" x14ac:dyDescent="0.3">
      <c r="B143" s="86" t="s">
        <v>327</v>
      </c>
      <c r="C143" s="87">
        <v>140</v>
      </c>
      <c r="D143" s="83" t="s">
        <v>144</v>
      </c>
      <c r="E143" s="134">
        <v>3310</v>
      </c>
      <c r="F143" s="135">
        <v>2000</v>
      </c>
      <c r="G143" s="135">
        <v>1625</v>
      </c>
      <c r="H143" s="135">
        <v>7</v>
      </c>
      <c r="I143" s="136">
        <v>7</v>
      </c>
      <c r="K143" s="185">
        <f t="shared" si="41"/>
        <v>6.5298115488495996E-4</v>
      </c>
      <c r="L143" s="185">
        <f t="shared" si="42"/>
        <v>4.466927981953611E-4</v>
      </c>
      <c r="M143" s="185">
        <f t="shared" si="43"/>
        <v>4.0554627582487489E-4</v>
      </c>
      <c r="N143" s="185">
        <f t="shared" si="44"/>
        <v>1.8860085646343218E-6</v>
      </c>
      <c r="O143" s="185">
        <f t="shared" si="45"/>
        <v>1.8901590757878184E-6</v>
      </c>
      <c r="Q143" s="185">
        <f t="shared" si="61"/>
        <v>-0.39577039274924475</v>
      </c>
      <c r="R143" s="185">
        <f t="shared" si="58"/>
        <v>-0.1875</v>
      </c>
      <c r="S143" s="185">
        <f t="shared" si="59"/>
        <v>-0.99569230769230765</v>
      </c>
      <c r="T143" s="185">
        <f t="shared" si="60"/>
        <v>0</v>
      </c>
    </row>
    <row r="144" spans="2:20" ht="15.75" hidden="1" outlineLevel="1" thickBot="1" x14ac:dyDescent="0.3">
      <c r="B144" s="139" t="s">
        <v>89</v>
      </c>
      <c r="C144" s="140">
        <v>141</v>
      </c>
      <c r="D144" s="42" t="s">
        <v>90</v>
      </c>
      <c r="E144" s="139">
        <f>SUM(E145:E146)</f>
        <v>58002</v>
      </c>
      <c r="F144" s="141">
        <f t="shared" ref="F144:I144" si="63">SUM(F145:F146)</f>
        <v>45172</v>
      </c>
      <c r="G144" s="141">
        <f t="shared" si="63"/>
        <v>57400</v>
      </c>
      <c r="H144" s="141">
        <f t="shared" si="63"/>
        <v>8941</v>
      </c>
      <c r="I144" s="140">
        <f t="shared" si="63"/>
        <v>923</v>
      </c>
      <c r="K144" s="182">
        <f t="shared" si="41"/>
        <v>1.1442360406536992E-2</v>
      </c>
      <c r="L144" s="182">
        <f t="shared" si="42"/>
        <v>1.0089003540040426E-2</v>
      </c>
      <c r="M144" s="182">
        <f t="shared" si="43"/>
        <v>1.4325142296829426E-2</v>
      </c>
      <c r="N144" s="182">
        <f t="shared" si="44"/>
        <v>2.4089717966279244E-3</v>
      </c>
      <c r="O144" s="182">
        <f t="shared" si="45"/>
        <v>2.4923097527887949E-4</v>
      </c>
      <c r="Q144" s="182">
        <f t="shared" si="61"/>
        <v>-0.22119926899072451</v>
      </c>
      <c r="R144" s="182">
        <f t="shared" si="58"/>
        <v>0.27069866288851507</v>
      </c>
      <c r="S144" s="182">
        <f t="shared" si="59"/>
        <v>-0.8442334494773519</v>
      </c>
      <c r="T144" s="182">
        <f t="shared" si="60"/>
        <v>-0.89676769936248746</v>
      </c>
    </row>
    <row r="145" spans="2:20" hidden="1" outlineLevel="2" x14ac:dyDescent="0.25">
      <c r="B145" s="44" t="s">
        <v>91</v>
      </c>
      <c r="C145" s="45">
        <v>142</v>
      </c>
      <c r="D145" s="46" t="s">
        <v>153</v>
      </c>
      <c r="E145" s="122">
        <v>33560</v>
      </c>
      <c r="F145" s="123">
        <v>27914</v>
      </c>
      <c r="G145" s="123">
        <v>21020</v>
      </c>
      <c r="H145" s="123">
        <v>250</v>
      </c>
      <c r="I145" s="124">
        <v>481</v>
      </c>
      <c r="K145" s="184">
        <f t="shared" si="41"/>
        <v>6.6205581746040043E-3</v>
      </c>
      <c r="L145" s="184">
        <f t="shared" si="42"/>
        <v>6.2344913844126545E-3</v>
      </c>
      <c r="M145" s="184">
        <f t="shared" si="43"/>
        <v>5.2458970571316122E-3</v>
      </c>
      <c r="N145" s="184">
        <f t="shared" si="44"/>
        <v>6.7357448736940061E-5</v>
      </c>
      <c r="O145" s="184">
        <f t="shared" si="45"/>
        <v>1.2988093077913437E-4</v>
      </c>
      <c r="Q145" s="184">
        <f t="shared" si="61"/>
        <v>-0.1682359952324195</v>
      </c>
      <c r="R145" s="184">
        <f t="shared" si="58"/>
        <v>-0.24697284516729956</v>
      </c>
      <c r="S145" s="184">
        <f t="shared" si="59"/>
        <v>-0.9881065651760228</v>
      </c>
      <c r="T145" s="184">
        <f t="shared" si="60"/>
        <v>0.92399999999999993</v>
      </c>
    </row>
    <row r="146" spans="2:20" ht="15.75" hidden="1" outlineLevel="2" thickBot="1" x14ac:dyDescent="0.3">
      <c r="B146" s="51" t="s">
        <v>93</v>
      </c>
      <c r="C146" s="52">
        <v>143</v>
      </c>
      <c r="D146" s="53" t="s">
        <v>154</v>
      </c>
      <c r="E146" s="147">
        <v>24442</v>
      </c>
      <c r="F146" s="148">
        <v>17258</v>
      </c>
      <c r="G146" s="148">
        <v>36380</v>
      </c>
      <c r="H146" s="148">
        <v>8691</v>
      </c>
      <c r="I146" s="149">
        <v>442</v>
      </c>
      <c r="K146" s="192">
        <f t="shared" si="41"/>
        <v>4.8218022319329876E-3</v>
      </c>
      <c r="L146" s="192">
        <f t="shared" si="42"/>
        <v>3.8545121556277707E-3</v>
      </c>
      <c r="M146" s="192">
        <f t="shared" si="43"/>
        <v>9.0792452396978151E-3</v>
      </c>
      <c r="N146" s="192">
        <f t="shared" si="44"/>
        <v>2.3416143478909844E-3</v>
      </c>
      <c r="O146" s="192">
        <f t="shared" si="45"/>
        <v>1.193500444997451E-4</v>
      </c>
      <c r="Q146" s="192">
        <f t="shared" si="61"/>
        <v>-0.29392030112102119</v>
      </c>
      <c r="R146" s="192">
        <f t="shared" si="58"/>
        <v>1.1080078804032913</v>
      </c>
      <c r="S146" s="192">
        <f t="shared" si="59"/>
        <v>-0.76110500274876303</v>
      </c>
      <c r="T146" s="192">
        <f t="shared" si="60"/>
        <v>-0.94914279139339541</v>
      </c>
    </row>
    <row r="148" spans="2:20" x14ac:dyDescent="0.25">
      <c r="I148" s="242"/>
    </row>
  </sheetData>
  <mergeCells count="3">
    <mergeCell ref="B1:I1"/>
    <mergeCell ref="K1:O1"/>
    <mergeCell ref="Q1:T1"/>
  </mergeCells>
  <conditionalFormatting sqref="Q4:T146">
    <cfRule type="cellIs" dxfId="6" priority="1" operator="lessThan">
      <formula>0</formula>
    </cfRule>
  </conditionalFormatting>
  <pageMargins left="0.7" right="0.7" top="0.78740157499999996" bottom="0.78740157499999996" header="0.3" footer="0.3"/>
  <pageSetup paperSize="9" orientation="portrait" r:id="rId1"/>
  <ignoredErrors>
    <ignoredError sqref="K4:O80 K82:O146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T63"/>
  <sheetViews>
    <sheetView showGridLines="0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F9" sqref="F9"/>
    </sheetView>
  </sheetViews>
  <sheetFormatPr defaultColWidth="9.140625" defaultRowHeight="15" outlineLevelRow="1" x14ac:dyDescent="0.25"/>
  <cols>
    <col min="1" max="1" width="3.5703125" style="82" customWidth="1"/>
    <col min="2" max="2" width="7.42578125" style="54" hidden="1" customWidth="1"/>
    <col min="3" max="3" width="7.42578125" style="55" hidden="1" customWidth="1"/>
    <col min="4" max="4" width="40.5703125" style="56" customWidth="1"/>
    <col min="5" max="9" width="15.42578125" style="57" bestFit="1" customWidth="1"/>
    <col min="10" max="10" width="2.5703125" style="38" customWidth="1"/>
    <col min="11" max="15" width="9.140625" style="38"/>
    <col min="16" max="16" width="2.5703125" style="38" customWidth="1"/>
    <col min="17" max="16384" width="9.140625" style="38"/>
  </cols>
  <sheetData>
    <row r="1" spans="1:20" ht="15.75" thickBot="1" x14ac:dyDescent="0.3">
      <c r="A1" s="81"/>
      <c r="B1" s="303" t="s">
        <v>201</v>
      </c>
      <c r="C1" s="304"/>
      <c r="D1" s="304"/>
      <c r="E1" s="304"/>
      <c r="F1" s="304"/>
      <c r="G1" s="304"/>
      <c r="H1" s="304"/>
      <c r="I1" s="304"/>
    </row>
    <row r="2" spans="1:20" ht="5.0999999999999996" customHeight="1" thickBot="1" x14ac:dyDescent="0.3">
      <c r="A2" s="81"/>
      <c r="B2" s="59"/>
      <c r="C2" s="109"/>
      <c r="D2" s="58"/>
      <c r="E2" s="58"/>
      <c r="F2" s="58"/>
      <c r="G2" s="58"/>
      <c r="H2" s="58"/>
      <c r="I2" s="58"/>
    </row>
    <row r="3" spans="1:20" ht="15.75" thickBot="1" x14ac:dyDescent="0.3">
      <c r="A3" s="81"/>
      <c r="B3" s="1"/>
      <c r="C3" s="110"/>
      <c r="D3" s="3"/>
      <c r="E3" s="194">
        <v>2015</v>
      </c>
      <c r="F3" s="194">
        <v>2016</v>
      </c>
      <c r="G3" s="194">
        <v>2017</v>
      </c>
      <c r="H3" s="194">
        <v>2018</v>
      </c>
      <c r="I3" s="195">
        <v>2019</v>
      </c>
      <c r="Q3" s="309" t="s">
        <v>388</v>
      </c>
      <c r="R3" s="310"/>
      <c r="S3" s="310"/>
      <c r="T3" s="311"/>
    </row>
    <row r="4" spans="1:20" ht="15.75" thickBot="1" x14ac:dyDescent="0.3">
      <c r="A4" s="60"/>
      <c r="B4" s="167" t="s">
        <v>185</v>
      </c>
      <c r="C4" s="112">
        <v>30</v>
      </c>
      <c r="D4" s="168" t="s">
        <v>186</v>
      </c>
      <c r="E4" s="169">
        <v>422376</v>
      </c>
      <c r="F4" s="170">
        <v>378793</v>
      </c>
      <c r="G4" s="170">
        <v>314726</v>
      </c>
      <c r="H4" s="170">
        <v>217708</v>
      </c>
      <c r="I4" s="171">
        <v>201278</v>
      </c>
      <c r="Q4" s="173">
        <f>IFERROR((F4/E4)-1,"-")</f>
        <v>-0.10318531355948257</v>
      </c>
      <c r="R4" s="174">
        <f t="shared" ref="R4:T9" si="0">IFERROR((G4/F4)-1,"-")</f>
        <v>-0.16913459330029856</v>
      </c>
      <c r="S4" s="174">
        <f t="shared" si="0"/>
        <v>-0.30826178962017758</v>
      </c>
      <c r="T4" s="175">
        <f t="shared" si="0"/>
        <v>-7.5468058132912019E-2</v>
      </c>
    </row>
    <row r="5" spans="1:20" ht="15.75" thickBot="1" x14ac:dyDescent="0.3">
      <c r="A5" s="60"/>
      <c r="B5" s="167" t="s">
        <v>185</v>
      </c>
      <c r="C5" s="112">
        <v>48</v>
      </c>
      <c r="D5" s="168" t="s">
        <v>197</v>
      </c>
      <c r="E5" s="169">
        <v>-62265</v>
      </c>
      <c r="F5" s="170">
        <v>-37225</v>
      </c>
      <c r="G5" s="170">
        <v>-46828</v>
      </c>
      <c r="H5" s="170">
        <v>-12313</v>
      </c>
      <c r="I5" s="171">
        <v>35027</v>
      </c>
      <c r="Q5" s="176">
        <f t="shared" ref="Q5:Q9" si="1">IFERROR((F5/E5)-1,"-")</f>
        <v>-0.40215209186541401</v>
      </c>
      <c r="R5" s="177">
        <f t="shared" si="0"/>
        <v>0.25797179314976493</v>
      </c>
      <c r="S5" s="177">
        <f t="shared" si="0"/>
        <v>-0.7370590245152473</v>
      </c>
      <c r="T5" s="178">
        <f t="shared" si="0"/>
        <v>-3.844716965808495</v>
      </c>
    </row>
    <row r="6" spans="1:20" ht="15.75" thickBot="1" x14ac:dyDescent="0.3">
      <c r="A6" s="60"/>
      <c r="B6" s="167" t="s">
        <v>199</v>
      </c>
      <c r="C6" s="112">
        <v>49</v>
      </c>
      <c r="D6" s="168" t="s">
        <v>377</v>
      </c>
      <c r="E6" s="169">
        <v>360111</v>
      </c>
      <c r="F6" s="170">
        <v>341568</v>
      </c>
      <c r="G6" s="170">
        <v>267898</v>
      </c>
      <c r="H6" s="170">
        <v>205395</v>
      </c>
      <c r="I6" s="171">
        <v>236305</v>
      </c>
      <c r="Q6" s="176">
        <f t="shared" si="1"/>
        <v>-5.1492456492581495E-2</v>
      </c>
      <c r="R6" s="177">
        <f t="shared" si="0"/>
        <v>-0.2156817968896384</v>
      </c>
      <c r="S6" s="177">
        <f t="shared" si="0"/>
        <v>-0.23330894594211227</v>
      </c>
      <c r="T6" s="178">
        <f t="shared" si="0"/>
        <v>0.15049051826967541</v>
      </c>
    </row>
    <row r="7" spans="1:20" ht="15.75" thickBot="1" x14ac:dyDescent="0.3">
      <c r="A7" s="60"/>
      <c r="B7" s="167" t="s">
        <v>199</v>
      </c>
      <c r="C7" s="112">
        <v>53</v>
      </c>
      <c r="D7" s="168" t="s">
        <v>382</v>
      </c>
      <c r="E7" s="169">
        <v>304656</v>
      </c>
      <c r="F7" s="170">
        <v>275148</v>
      </c>
      <c r="G7" s="170">
        <v>216790</v>
      </c>
      <c r="H7" s="170">
        <v>185428</v>
      </c>
      <c r="I7" s="171">
        <v>207799</v>
      </c>
      <c r="Q7" s="176">
        <f t="shared" si="1"/>
        <v>-9.685678273199938E-2</v>
      </c>
      <c r="R7" s="177">
        <f t="shared" si="0"/>
        <v>-0.2120967624696527</v>
      </c>
      <c r="S7" s="177">
        <f t="shared" si="0"/>
        <v>-0.14466534434245126</v>
      </c>
      <c r="T7" s="178">
        <f t="shared" si="0"/>
        <v>0.12064521000064721</v>
      </c>
    </row>
    <row r="8" spans="1:20" ht="15.75" thickBot="1" x14ac:dyDescent="0.3">
      <c r="A8" s="60"/>
      <c r="B8" s="167" t="s">
        <v>200</v>
      </c>
      <c r="C8" s="112">
        <v>55</v>
      </c>
      <c r="D8" s="168" t="s">
        <v>384</v>
      </c>
      <c r="E8" s="169">
        <v>304656</v>
      </c>
      <c r="F8" s="170">
        <v>275148</v>
      </c>
      <c r="G8" s="170">
        <v>216790</v>
      </c>
      <c r="H8" s="170">
        <v>185428</v>
      </c>
      <c r="I8" s="171">
        <v>207799</v>
      </c>
      <c r="Q8" s="176">
        <f t="shared" si="1"/>
        <v>-9.685678273199938E-2</v>
      </c>
      <c r="R8" s="177">
        <f t="shared" si="0"/>
        <v>-0.2120967624696527</v>
      </c>
      <c r="S8" s="177">
        <f t="shared" si="0"/>
        <v>-0.14466534434245126</v>
      </c>
      <c r="T8" s="178">
        <f t="shared" si="0"/>
        <v>0.12064521000064721</v>
      </c>
    </row>
    <row r="9" spans="1:20" ht="15.75" thickBot="1" x14ac:dyDescent="0.3">
      <c r="A9" s="60"/>
      <c r="B9" s="167" t="s">
        <v>185</v>
      </c>
      <c r="C9" s="112">
        <v>56</v>
      </c>
      <c r="D9" s="168" t="s">
        <v>385</v>
      </c>
      <c r="E9" s="169">
        <v>5483902</v>
      </c>
      <c r="F9" s="170">
        <v>5339525</v>
      </c>
      <c r="G9" s="170">
        <v>4345836</v>
      </c>
      <c r="H9" s="170">
        <v>3802535</v>
      </c>
      <c r="I9" s="171">
        <v>4039249</v>
      </c>
      <c r="Q9" s="179">
        <f t="shared" si="1"/>
        <v>-2.6327421606002432E-2</v>
      </c>
      <c r="R9" s="180">
        <f t="shared" si="0"/>
        <v>-0.18610063629255413</v>
      </c>
      <c r="S9" s="180">
        <f t="shared" si="0"/>
        <v>-0.1250164525306523</v>
      </c>
      <c r="T9" s="181">
        <f t="shared" si="0"/>
        <v>6.2251629505053918E-2</v>
      </c>
    </row>
    <row r="10" spans="1:20" ht="15.75" thickBot="1" x14ac:dyDescent="0.3">
      <c r="A10" s="60"/>
      <c r="B10" s="196"/>
      <c r="C10" s="197"/>
    </row>
    <row r="11" spans="1:20" ht="15.75" thickBot="1" x14ac:dyDescent="0.3">
      <c r="D11" s="168" t="s">
        <v>389</v>
      </c>
      <c r="E11" s="169">
        <f>SUM(E12,E13,E14,E18,E21,E24,E27,E28)</f>
        <v>6484070</v>
      </c>
      <c r="F11" s="170">
        <f t="shared" ref="F11:I11" si="2">SUM(F12,F13,F14,F18,F21,F24,F27,F28)</f>
        <v>6295778</v>
      </c>
      <c r="G11" s="170">
        <f t="shared" si="2"/>
        <v>5096276</v>
      </c>
      <c r="H11" s="170">
        <f t="shared" si="2"/>
        <v>4315390</v>
      </c>
      <c r="I11" s="171">
        <f t="shared" si="2"/>
        <v>4563421</v>
      </c>
      <c r="K11" s="303" t="s">
        <v>387</v>
      </c>
      <c r="L11" s="304"/>
      <c r="M11" s="304"/>
      <c r="N11" s="304"/>
      <c r="O11" s="308"/>
      <c r="Q11" s="309" t="s">
        <v>388</v>
      </c>
      <c r="R11" s="310"/>
      <c r="S11" s="310"/>
      <c r="T11" s="311"/>
    </row>
    <row r="12" spans="1:20" ht="16.5" thickTop="1" thickBot="1" x14ac:dyDescent="0.3">
      <c r="B12" s="150" t="s">
        <v>155</v>
      </c>
      <c r="C12" s="111">
        <v>1</v>
      </c>
      <c r="D12" s="151" t="s">
        <v>159</v>
      </c>
      <c r="E12" s="152">
        <v>4248782</v>
      </c>
      <c r="F12" s="153">
        <v>4393682</v>
      </c>
      <c r="G12" s="153">
        <v>3545630</v>
      </c>
      <c r="H12" s="153">
        <v>3133475</v>
      </c>
      <c r="I12" s="154">
        <v>3235033</v>
      </c>
      <c r="K12" s="210">
        <f>E12/E$11</f>
        <v>0.65526467172624603</v>
      </c>
      <c r="L12" s="211">
        <f t="shared" ref="L12:L28" si="3">F12/F$11</f>
        <v>0.6978775299891451</v>
      </c>
      <c r="M12" s="211">
        <f t="shared" ref="M12:M28" si="4">G12/G$11</f>
        <v>0.69572958764399728</v>
      </c>
      <c r="N12" s="211">
        <f t="shared" ref="N12:N28" si="5">H12/H$11</f>
        <v>0.72611629539856193</v>
      </c>
      <c r="O12" s="212">
        <f t="shared" ref="O12:O28" si="6">I12/I$11</f>
        <v>0.70890522702156999</v>
      </c>
      <c r="Q12" s="222">
        <f>IFERROR((F12/E12)-1,"-")</f>
        <v>3.4103891421117805E-2</v>
      </c>
      <c r="R12" s="223">
        <f t="shared" ref="R12:R28" si="7">IFERROR((G12/F12)-1,"-")</f>
        <v>-0.19301624468953371</v>
      </c>
      <c r="S12" s="223">
        <f t="shared" ref="S12:S28" si="8">IFERROR((H12/G12)-1,"-")</f>
        <v>-0.11624309361100849</v>
      </c>
      <c r="T12" s="224">
        <f t="shared" ref="T12:T28" si="9">IFERROR((I12/H12)-1,"-")</f>
        <v>3.2410662283886005E-2</v>
      </c>
    </row>
    <row r="13" spans="1:20" ht="16.5" thickTop="1" thickBot="1" x14ac:dyDescent="0.3">
      <c r="B13" s="150" t="s">
        <v>158</v>
      </c>
      <c r="C13" s="111">
        <v>2</v>
      </c>
      <c r="D13" s="151" t="s">
        <v>156</v>
      </c>
      <c r="E13" s="152">
        <v>770665</v>
      </c>
      <c r="F13" s="153">
        <v>513658</v>
      </c>
      <c r="G13" s="153">
        <v>430740</v>
      </c>
      <c r="H13" s="153">
        <v>371504</v>
      </c>
      <c r="I13" s="154">
        <v>387448</v>
      </c>
      <c r="K13" s="210">
        <f t="shared" ref="K13:K28" si="10">E13/E$11</f>
        <v>0.11885513265587817</v>
      </c>
      <c r="L13" s="211">
        <f t="shared" si="3"/>
        <v>8.1587692577470172E-2</v>
      </c>
      <c r="M13" s="211">
        <f t="shared" si="4"/>
        <v>8.4520540096337013E-2</v>
      </c>
      <c r="N13" s="211">
        <f t="shared" si="5"/>
        <v>8.6088163526355677E-2</v>
      </c>
      <c r="O13" s="212">
        <f t="shared" si="6"/>
        <v>8.4902970819479506E-2</v>
      </c>
      <c r="Q13" s="210">
        <f t="shared" ref="Q13:Q28" si="11">IFERROR((F13/E13)-1,"-")</f>
        <v>-0.33348731290508848</v>
      </c>
      <c r="R13" s="211">
        <f t="shared" si="7"/>
        <v>-0.16142647442461711</v>
      </c>
      <c r="S13" s="211">
        <f t="shared" si="8"/>
        <v>-0.13752147467149556</v>
      </c>
      <c r="T13" s="212">
        <f t="shared" si="9"/>
        <v>4.2917438304836519E-2</v>
      </c>
    </row>
    <row r="14" spans="1:20" ht="16.5" thickTop="1" thickBot="1" x14ac:dyDescent="0.3">
      <c r="B14" s="150" t="s">
        <v>171</v>
      </c>
      <c r="C14" s="111">
        <v>20</v>
      </c>
      <c r="D14" s="151" t="s">
        <v>182</v>
      </c>
      <c r="E14" s="164">
        <v>391397</v>
      </c>
      <c r="F14" s="165">
        <v>352830</v>
      </c>
      <c r="G14" s="165">
        <v>318584</v>
      </c>
      <c r="H14" s="165">
        <v>240447</v>
      </c>
      <c r="I14" s="166">
        <v>304778</v>
      </c>
      <c r="K14" s="213">
        <f t="shared" si="10"/>
        <v>6.0362858513248623E-2</v>
      </c>
      <c r="L14" s="214">
        <f t="shared" si="3"/>
        <v>5.6042319154201437E-2</v>
      </c>
      <c r="M14" s="214">
        <f t="shared" si="4"/>
        <v>6.2513097799255776E-2</v>
      </c>
      <c r="N14" s="214">
        <f t="shared" si="5"/>
        <v>5.5718486625774263E-2</v>
      </c>
      <c r="O14" s="215">
        <f t="shared" si="6"/>
        <v>6.6787175673688665E-2</v>
      </c>
      <c r="Q14" s="213">
        <f t="shared" si="11"/>
        <v>-9.8536779791362772E-2</v>
      </c>
      <c r="R14" s="214">
        <f t="shared" si="7"/>
        <v>-9.7060907519201933E-2</v>
      </c>
      <c r="S14" s="214">
        <f t="shared" si="8"/>
        <v>-0.24526341561409237</v>
      </c>
      <c r="T14" s="215">
        <f t="shared" si="9"/>
        <v>0.26754752606603538</v>
      </c>
    </row>
    <row r="15" spans="1:20" ht="15.75" outlineLevel="1" thickTop="1" x14ac:dyDescent="0.25">
      <c r="B15" s="61" t="s">
        <v>172</v>
      </c>
      <c r="C15" s="62">
        <v>21</v>
      </c>
      <c r="D15" s="46" t="s">
        <v>173</v>
      </c>
      <c r="E15" s="158">
        <v>4486</v>
      </c>
      <c r="F15" s="159">
        <v>5898</v>
      </c>
      <c r="G15" s="159">
        <v>6614</v>
      </c>
      <c r="H15" s="159">
        <v>10623</v>
      </c>
      <c r="I15" s="160">
        <v>641</v>
      </c>
      <c r="K15" s="216">
        <f t="shared" si="10"/>
        <v>6.9184940939872642E-4</v>
      </c>
      <c r="L15" s="217">
        <f t="shared" si="3"/>
        <v>9.3681829314820185E-4</v>
      </c>
      <c r="M15" s="217">
        <f t="shared" si="4"/>
        <v>1.2978104011635162E-3</v>
      </c>
      <c r="N15" s="217">
        <f t="shared" si="5"/>
        <v>2.4616546824273123E-3</v>
      </c>
      <c r="O15" s="218">
        <f t="shared" si="6"/>
        <v>1.4046479603788473E-4</v>
      </c>
      <c r="Q15" s="216">
        <f t="shared" si="11"/>
        <v>0.31475702184574228</v>
      </c>
      <c r="R15" s="217">
        <f t="shared" si="7"/>
        <v>0.12139708375720581</v>
      </c>
      <c r="S15" s="217">
        <f t="shared" si="8"/>
        <v>0.60613849410341691</v>
      </c>
      <c r="T15" s="218">
        <f t="shared" si="9"/>
        <v>-0.93965922997270079</v>
      </c>
    </row>
    <row r="16" spans="1:20" outlineLevel="1" x14ac:dyDescent="0.25">
      <c r="B16" s="61" t="s">
        <v>174</v>
      </c>
      <c r="C16" s="62">
        <v>22</v>
      </c>
      <c r="D16" s="46" t="s">
        <v>175</v>
      </c>
      <c r="E16" s="158">
        <v>337922</v>
      </c>
      <c r="F16" s="159">
        <v>303835</v>
      </c>
      <c r="G16" s="159">
        <v>254384</v>
      </c>
      <c r="H16" s="159">
        <v>199300</v>
      </c>
      <c r="I16" s="160">
        <v>276051</v>
      </c>
      <c r="K16" s="216">
        <f t="shared" si="10"/>
        <v>5.211572361186724E-2</v>
      </c>
      <c r="L16" s="217">
        <f t="shared" si="3"/>
        <v>4.8260119718325521E-2</v>
      </c>
      <c r="M16" s="217">
        <f t="shared" si="4"/>
        <v>4.991566390831266E-2</v>
      </c>
      <c r="N16" s="217">
        <f t="shared" si="5"/>
        <v>4.618354308648813E-2</v>
      </c>
      <c r="O16" s="218">
        <f t="shared" si="6"/>
        <v>6.0492117645950264E-2</v>
      </c>
      <c r="Q16" s="216">
        <f t="shared" si="11"/>
        <v>-0.10087239067003628</v>
      </c>
      <c r="R16" s="217">
        <f t="shared" si="7"/>
        <v>-0.16275610117333417</v>
      </c>
      <c r="S16" s="217">
        <f t="shared" si="8"/>
        <v>-0.21653877602364924</v>
      </c>
      <c r="T16" s="218">
        <f t="shared" si="9"/>
        <v>0.38510286001003502</v>
      </c>
    </row>
    <row r="17" spans="2:20" ht="15.75" outlineLevel="1" thickBot="1" x14ac:dyDescent="0.3">
      <c r="B17" s="61" t="s">
        <v>348</v>
      </c>
      <c r="C17" s="62">
        <v>23</v>
      </c>
      <c r="D17" s="46" t="s">
        <v>349</v>
      </c>
      <c r="E17" s="158">
        <v>48989</v>
      </c>
      <c r="F17" s="159">
        <v>43097</v>
      </c>
      <c r="G17" s="159">
        <v>57586</v>
      </c>
      <c r="H17" s="159">
        <v>30524</v>
      </c>
      <c r="I17" s="160">
        <v>28086</v>
      </c>
      <c r="K17" s="216">
        <f t="shared" si="10"/>
        <v>7.5552854919826587E-3</v>
      </c>
      <c r="L17" s="217">
        <f t="shared" si="3"/>
        <v>6.8453811427277135E-3</v>
      </c>
      <c r="M17" s="217">
        <f t="shared" si="4"/>
        <v>1.1299623489779595E-2</v>
      </c>
      <c r="N17" s="217">
        <f t="shared" si="5"/>
        <v>7.073288856858824E-3</v>
      </c>
      <c r="O17" s="218">
        <f t="shared" si="6"/>
        <v>6.1545932317005163E-3</v>
      </c>
      <c r="Q17" s="216">
        <f t="shared" si="11"/>
        <v>-0.12027189777296943</v>
      </c>
      <c r="R17" s="217">
        <f t="shared" si="7"/>
        <v>0.33619509478618004</v>
      </c>
      <c r="S17" s="217">
        <f t="shared" si="8"/>
        <v>-0.46994061056506786</v>
      </c>
      <c r="T17" s="218">
        <f t="shared" si="9"/>
        <v>-7.9871576464421445E-2</v>
      </c>
    </row>
    <row r="18" spans="2:20" ht="16.5" thickTop="1" thickBot="1" x14ac:dyDescent="0.3">
      <c r="B18" s="150" t="s">
        <v>181</v>
      </c>
      <c r="C18" s="111">
        <v>31</v>
      </c>
      <c r="D18" s="151" t="s">
        <v>190</v>
      </c>
      <c r="E18" s="164">
        <v>39918</v>
      </c>
      <c r="F18" s="165">
        <v>30996</v>
      </c>
      <c r="G18" s="165">
        <v>25697</v>
      </c>
      <c r="H18" s="165">
        <v>28794</v>
      </c>
      <c r="I18" s="166">
        <v>45559</v>
      </c>
      <c r="K18" s="213">
        <f t="shared" si="10"/>
        <v>6.1563184851489879E-3</v>
      </c>
      <c r="L18" s="214">
        <f t="shared" si="3"/>
        <v>4.9232993920687801E-3</v>
      </c>
      <c r="M18" s="214">
        <f t="shared" si="4"/>
        <v>5.0423093254760932E-3</v>
      </c>
      <c r="N18" s="214">
        <f t="shared" si="5"/>
        <v>6.6723980914818824E-3</v>
      </c>
      <c r="O18" s="215">
        <f t="shared" si="6"/>
        <v>9.983518943354119E-3</v>
      </c>
      <c r="Q18" s="213">
        <f t="shared" si="11"/>
        <v>-0.22350819179317605</v>
      </c>
      <c r="R18" s="214">
        <f t="shared" si="7"/>
        <v>-0.17095754290876242</v>
      </c>
      <c r="S18" s="214">
        <f t="shared" si="8"/>
        <v>0.12051990504728183</v>
      </c>
      <c r="T18" s="215">
        <f t="shared" si="9"/>
        <v>0.58223935542126837</v>
      </c>
    </row>
    <row r="19" spans="2:20" ht="26.25" outlineLevel="1" thickTop="1" x14ac:dyDescent="0.25">
      <c r="B19" s="61" t="s">
        <v>358</v>
      </c>
      <c r="C19" s="64">
        <v>32</v>
      </c>
      <c r="D19" s="46" t="s">
        <v>356</v>
      </c>
      <c r="E19" s="158">
        <v>39918</v>
      </c>
      <c r="F19" s="159">
        <v>30996</v>
      </c>
      <c r="G19" s="159">
        <v>25697</v>
      </c>
      <c r="H19" s="159">
        <v>27774</v>
      </c>
      <c r="I19" s="160">
        <v>44090</v>
      </c>
      <c r="K19" s="216">
        <f t="shared" si="10"/>
        <v>6.1563184851489879E-3</v>
      </c>
      <c r="L19" s="217">
        <f t="shared" si="3"/>
        <v>4.9232993920687801E-3</v>
      </c>
      <c r="M19" s="217">
        <f t="shared" si="4"/>
        <v>5.0423093254760932E-3</v>
      </c>
      <c r="N19" s="217">
        <f t="shared" si="5"/>
        <v>6.4360347500457661E-3</v>
      </c>
      <c r="O19" s="218">
        <f t="shared" si="6"/>
        <v>9.6616113218570016E-3</v>
      </c>
      <c r="Q19" s="216">
        <f t="shared" si="11"/>
        <v>-0.22350819179317605</v>
      </c>
      <c r="R19" s="217">
        <f t="shared" si="7"/>
        <v>-0.17095754290876242</v>
      </c>
      <c r="S19" s="217">
        <f t="shared" si="8"/>
        <v>8.0826555629061714E-2</v>
      </c>
      <c r="T19" s="218">
        <f t="shared" si="9"/>
        <v>0.58745589400158416</v>
      </c>
    </row>
    <row r="20" spans="2:20" ht="15.75" outlineLevel="1" thickBot="1" x14ac:dyDescent="0.3">
      <c r="B20" s="61" t="s">
        <v>359</v>
      </c>
      <c r="C20" s="64">
        <v>33</v>
      </c>
      <c r="D20" s="46" t="s">
        <v>357</v>
      </c>
      <c r="E20" s="158">
        <v>0</v>
      </c>
      <c r="F20" s="159">
        <v>0</v>
      </c>
      <c r="G20" s="159">
        <v>0</v>
      </c>
      <c r="H20" s="159">
        <v>1020</v>
      </c>
      <c r="I20" s="160">
        <v>1469</v>
      </c>
      <c r="K20" s="216">
        <f t="shared" si="10"/>
        <v>0</v>
      </c>
      <c r="L20" s="217">
        <f t="shared" si="3"/>
        <v>0</v>
      </c>
      <c r="M20" s="217">
        <f t="shared" si="4"/>
        <v>0</v>
      </c>
      <c r="N20" s="217">
        <f t="shared" si="5"/>
        <v>2.3636334143611586E-4</v>
      </c>
      <c r="O20" s="218">
        <f t="shared" si="6"/>
        <v>3.2190762149711806E-4</v>
      </c>
      <c r="Q20" s="216" t="str">
        <f t="shared" si="11"/>
        <v>-</v>
      </c>
      <c r="R20" s="217" t="str">
        <f t="shared" si="7"/>
        <v>-</v>
      </c>
      <c r="S20" s="217" t="str">
        <f t="shared" si="8"/>
        <v>-</v>
      </c>
      <c r="T20" s="218">
        <f t="shared" si="9"/>
        <v>0.44019607843137254</v>
      </c>
    </row>
    <row r="21" spans="2:20" ht="16.5" thickTop="1" thickBot="1" x14ac:dyDescent="0.3">
      <c r="B21" s="150" t="s">
        <v>184</v>
      </c>
      <c r="C21" s="111">
        <v>35</v>
      </c>
      <c r="D21" s="151" t="s">
        <v>191</v>
      </c>
      <c r="E21" s="164">
        <v>300</v>
      </c>
      <c r="F21" s="165">
        <v>0</v>
      </c>
      <c r="G21" s="165">
        <v>0</v>
      </c>
      <c r="H21" s="165">
        <v>0</v>
      </c>
      <c r="I21" s="166">
        <v>0</v>
      </c>
      <c r="K21" s="213">
        <f t="shared" si="10"/>
        <v>4.6267236473387858E-5</v>
      </c>
      <c r="L21" s="214">
        <f t="shared" si="3"/>
        <v>0</v>
      </c>
      <c r="M21" s="214">
        <f t="shared" si="4"/>
        <v>0</v>
      </c>
      <c r="N21" s="214">
        <f t="shared" si="5"/>
        <v>0</v>
      </c>
      <c r="O21" s="215">
        <f t="shared" si="6"/>
        <v>0</v>
      </c>
      <c r="Q21" s="213">
        <f t="shared" si="11"/>
        <v>-1</v>
      </c>
      <c r="R21" s="214" t="str">
        <f t="shared" si="7"/>
        <v>-</v>
      </c>
      <c r="S21" s="214" t="str">
        <f t="shared" si="8"/>
        <v>-</v>
      </c>
      <c r="T21" s="215" t="str">
        <f t="shared" si="9"/>
        <v>-</v>
      </c>
    </row>
    <row r="22" spans="2:20" ht="26.25" outlineLevel="1" thickTop="1" x14ac:dyDescent="0.25">
      <c r="B22" s="61" t="s">
        <v>361</v>
      </c>
      <c r="C22" s="64">
        <v>36</v>
      </c>
      <c r="D22" s="46" t="s">
        <v>191</v>
      </c>
      <c r="E22" s="158">
        <v>300</v>
      </c>
      <c r="F22" s="159">
        <v>0</v>
      </c>
      <c r="G22" s="159">
        <v>0</v>
      </c>
      <c r="H22" s="159">
        <v>0</v>
      </c>
      <c r="I22" s="160">
        <v>0</v>
      </c>
      <c r="K22" s="216">
        <f t="shared" si="10"/>
        <v>4.6267236473387858E-5</v>
      </c>
      <c r="L22" s="217">
        <f t="shared" si="3"/>
        <v>0</v>
      </c>
      <c r="M22" s="217">
        <f t="shared" si="4"/>
        <v>0</v>
      </c>
      <c r="N22" s="217">
        <f t="shared" si="5"/>
        <v>0</v>
      </c>
      <c r="O22" s="218">
        <f t="shared" si="6"/>
        <v>0</v>
      </c>
      <c r="Q22" s="216">
        <f t="shared" si="11"/>
        <v>-1</v>
      </c>
      <c r="R22" s="217" t="str">
        <f t="shared" si="7"/>
        <v>-</v>
      </c>
      <c r="S22" s="217" t="str">
        <f t="shared" si="8"/>
        <v>-</v>
      </c>
      <c r="T22" s="218" t="str">
        <f t="shared" si="9"/>
        <v>-</v>
      </c>
    </row>
    <row r="23" spans="2:20" ht="26.25" outlineLevel="1" thickBot="1" x14ac:dyDescent="0.3">
      <c r="B23" s="61" t="s">
        <v>362</v>
      </c>
      <c r="C23" s="64">
        <v>37</v>
      </c>
      <c r="D23" s="46" t="s">
        <v>363</v>
      </c>
      <c r="E23" s="158">
        <v>0</v>
      </c>
      <c r="F23" s="159">
        <v>0</v>
      </c>
      <c r="G23" s="159">
        <v>0</v>
      </c>
      <c r="H23" s="159">
        <v>0</v>
      </c>
      <c r="I23" s="160">
        <v>0</v>
      </c>
      <c r="K23" s="216">
        <f t="shared" si="10"/>
        <v>0</v>
      </c>
      <c r="L23" s="217">
        <f t="shared" si="3"/>
        <v>0</v>
      </c>
      <c r="M23" s="217">
        <f t="shared" si="4"/>
        <v>0</v>
      </c>
      <c r="N23" s="217">
        <f t="shared" si="5"/>
        <v>0</v>
      </c>
      <c r="O23" s="218">
        <f t="shared" si="6"/>
        <v>0</v>
      </c>
      <c r="Q23" s="216" t="str">
        <f t="shared" si="11"/>
        <v>-</v>
      </c>
      <c r="R23" s="217" t="str">
        <f t="shared" si="7"/>
        <v>-</v>
      </c>
      <c r="S23" s="217" t="str">
        <f t="shared" si="8"/>
        <v>-</v>
      </c>
      <c r="T23" s="218" t="str">
        <f t="shared" si="9"/>
        <v>-</v>
      </c>
    </row>
    <row r="24" spans="2:20" ht="16.5" thickTop="1" thickBot="1" x14ac:dyDescent="0.3">
      <c r="B24" s="150" t="s">
        <v>187</v>
      </c>
      <c r="C24" s="111">
        <v>39</v>
      </c>
      <c r="D24" s="151" t="s">
        <v>368</v>
      </c>
      <c r="E24" s="164">
        <v>16483</v>
      </c>
      <c r="F24" s="165">
        <v>17063</v>
      </c>
      <c r="G24" s="165">
        <v>8143</v>
      </c>
      <c r="H24" s="165">
        <v>8266</v>
      </c>
      <c r="I24" s="166">
        <v>44389</v>
      </c>
      <c r="K24" s="213">
        <f t="shared" si="10"/>
        <v>2.542076195969507E-3</v>
      </c>
      <c r="L24" s="214">
        <f t="shared" si="3"/>
        <v>2.7102289820257323E-3</v>
      </c>
      <c r="M24" s="214">
        <f t="shared" si="4"/>
        <v>1.5978333983481272E-3</v>
      </c>
      <c r="N24" s="214">
        <f t="shared" si="5"/>
        <v>1.9154699806969938E-3</v>
      </c>
      <c r="O24" s="215">
        <f t="shared" si="6"/>
        <v>9.7271323421617255E-3</v>
      </c>
      <c r="Q24" s="213">
        <f t="shared" si="11"/>
        <v>3.5187769216768805E-2</v>
      </c>
      <c r="R24" s="214">
        <f t="shared" si="7"/>
        <v>-0.52276856355857704</v>
      </c>
      <c r="S24" s="214">
        <f t="shared" si="8"/>
        <v>1.5104998157926985E-2</v>
      </c>
      <c r="T24" s="215">
        <f t="shared" si="9"/>
        <v>4.3700701669489472</v>
      </c>
    </row>
    <row r="25" spans="2:20" ht="26.25" outlineLevel="1" thickTop="1" x14ac:dyDescent="0.25">
      <c r="B25" s="61" t="s">
        <v>366</v>
      </c>
      <c r="C25" s="64">
        <v>40</v>
      </c>
      <c r="D25" s="46" t="s">
        <v>369</v>
      </c>
      <c r="E25" s="158">
        <v>16483</v>
      </c>
      <c r="F25" s="159">
        <v>17063</v>
      </c>
      <c r="G25" s="159">
        <v>8143</v>
      </c>
      <c r="H25" s="159">
        <v>7246</v>
      </c>
      <c r="I25" s="160">
        <v>42920</v>
      </c>
      <c r="K25" s="216">
        <f t="shared" si="10"/>
        <v>2.542076195969507E-3</v>
      </c>
      <c r="L25" s="217">
        <f t="shared" si="3"/>
        <v>2.7102289820257323E-3</v>
      </c>
      <c r="M25" s="217">
        <f t="shared" si="4"/>
        <v>1.5978333983481272E-3</v>
      </c>
      <c r="N25" s="217">
        <f t="shared" si="5"/>
        <v>1.6791066392608778E-3</v>
      </c>
      <c r="O25" s="218">
        <f t="shared" si="6"/>
        <v>9.4052247206646063E-3</v>
      </c>
      <c r="Q25" s="216">
        <f t="shared" si="11"/>
        <v>3.5187769216768805E-2</v>
      </c>
      <c r="R25" s="217">
        <f t="shared" si="7"/>
        <v>-0.52276856355857704</v>
      </c>
      <c r="S25" s="217">
        <f t="shared" si="8"/>
        <v>-0.11015596217610213</v>
      </c>
      <c r="T25" s="218">
        <f t="shared" si="9"/>
        <v>4.9232680099365167</v>
      </c>
    </row>
    <row r="26" spans="2:20" ht="15.75" outlineLevel="1" thickBot="1" x14ac:dyDescent="0.3">
      <c r="B26" s="61" t="s">
        <v>367</v>
      </c>
      <c r="C26" s="64">
        <v>41</v>
      </c>
      <c r="D26" s="46" t="s">
        <v>370</v>
      </c>
      <c r="E26" s="158">
        <v>0</v>
      </c>
      <c r="F26" s="159">
        <v>0</v>
      </c>
      <c r="G26" s="159">
        <v>0</v>
      </c>
      <c r="H26" s="159">
        <v>1020</v>
      </c>
      <c r="I26" s="160">
        <v>1469</v>
      </c>
      <c r="K26" s="216">
        <f t="shared" si="10"/>
        <v>0</v>
      </c>
      <c r="L26" s="217">
        <f t="shared" si="3"/>
        <v>0</v>
      </c>
      <c r="M26" s="217">
        <f t="shared" si="4"/>
        <v>0</v>
      </c>
      <c r="N26" s="217">
        <f t="shared" si="5"/>
        <v>2.3636334143611586E-4</v>
      </c>
      <c r="O26" s="218">
        <f t="shared" si="6"/>
        <v>3.2190762149711806E-4</v>
      </c>
      <c r="Q26" s="216" t="str">
        <f t="shared" si="11"/>
        <v>-</v>
      </c>
      <c r="R26" s="217" t="str">
        <f t="shared" si="7"/>
        <v>-</v>
      </c>
      <c r="S26" s="217" t="str">
        <f t="shared" si="8"/>
        <v>-</v>
      </c>
      <c r="T26" s="218">
        <f t="shared" si="9"/>
        <v>0.44019607843137254</v>
      </c>
    </row>
    <row r="27" spans="2:20" ht="16.5" thickTop="1" thickBot="1" x14ac:dyDescent="0.3">
      <c r="B27" s="150" t="s">
        <v>189</v>
      </c>
      <c r="C27" s="111">
        <v>46</v>
      </c>
      <c r="D27" s="151" t="s">
        <v>195</v>
      </c>
      <c r="E27" s="164">
        <v>16357</v>
      </c>
      <c r="F27" s="165">
        <v>31296</v>
      </c>
      <c r="G27" s="165">
        <v>17042</v>
      </c>
      <c r="H27" s="165">
        <v>20049</v>
      </c>
      <c r="I27" s="166">
        <v>22042</v>
      </c>
      <c r="K27" s="213">
        <f t="shared" si="10"/>
        <v>2.5226439566506838E-3</v>
      </c>
      <c r="L27" s="214">
        <f t="shared" si="3"/>
        <v>4.970950373408973E-3</v>
      </c>
      <c r="M27" s="214">
        <f t="shared" si="4"/>
        <v>3.344010410739136E-3</v>
      </c>
      <c r="N27" s="214">
        <f t="shared" si="5"/>
        <v>4.6459300318163598E-3</v>
      </c>
      <c r="O27" s="215">
        <f t="shared" si="6"/>
        <v>4.8301482593869818E-3</v>
      </c>
      <c r="Q27" s="213">
        <f t="shared" si="11"/>
        <v>0.91330928654398735</v>
      </c>
      <c r="R27" s="214">
        <f t="shared" si="7"/>
        <v>-0.45545756646216773</v>
      </c>
      <c r="S27" s="214">
        <f t="shared" si="8"/>
        <v>0.17644642647576569</v>
      </c>
      <c r="T27" s="215">
        <f t="shared" si="9"/>
        <v>9.9406454187241255E-2</v>
      </c>
    </row>
    <row r="28" spans="2:20" ht="16.5" thickTop="1" thickBot="1" x14ac:dyDescent="0.3">
      <c r="B28" s="198"/>
      <c r="C28" s="199"/>
      <c r="D28" s="203" t="s">
        <v>161</v>
      </c>
      <c r="E28" s="200">
        <v>1000168</v>
      </c>
      <c r="F28" s="201">
        <v>956253</v>
      </c>
      <c r="G28" s="201">
        <v>750440</v>
      </c>
      <c r="H28" s="201">
        <v>512855</v>
      </c>
      <c r="I28" s="202">
        <v>524172</v>
      </c>
      <c r="K28" s="219">
        <f t="shared" si="10"/>
        <v>0.15425003123038461</v>
      </c>
      <c r="L28" s="220">
        <f t="shared" si="3"/>
        <v>0.15188797953167979</v>
      </c>
      <c r="M28" s="220">
        <f t="shared" si="4"/>
        <v>0.14725262132584657</v>
      </c>
      <c r="N28" s="220">
        <f t="shared" si="5"/>
        <v>0.11884325634531294</v>
      </c>
      <c r="O28" s="221">
        <f t="shared" si="6"/>
        <v>0.114863826940359</v>
      </c>
      <c r="Q28" s="225">
        <f t="shared" si="11"/>
        <v>-4.3907623519248817E-2</v>
      </c>
      <c r="R28" s="226">
        <f t="shared" si="7"/>
        <v>-0.21522860581875303</v>
      </c>
      <c r="S28" s="226">
        <f t="shared" si="8"/>
        <v>-0.31659426469804386</v>
      </c>
      <c r="T28" s="227">
        <f t="shared" si="9"/>
        <v>2.2066666016710368E-2</v>
      </c>
    </row>
    <row r="29" spans="2:20" ht="16.5" thickTop="1" thickBot="1" x14ac:dyDescent="0.3"/>
    <row r="30" spans="2:20" ht="15.75" thickBot="1" x14ac:dyDescent="0.3">
      <c r="D30" s="168" t="s">
        <v>390</v>
      </c>
      <c r="E30" s="169">
        <f>SUM(E31,E35,E36,E41,E47,E53,E55,E56,E59,E60)</f>
        <v>6179414</v>
      </c>
      <c r="F30" s="170">
        <f t="shared" ref="F30:I30" si="12">SUM(F31,F35,F36,F41,F47,F53,F55,F56,F59,F60)</f>
        <v>6020630</v>
      </c>
      <c r="G30" s="170">
        <f t="shared" si="12"/>
        <v>4879486</v>
      </c>
      <c r="H30" s="170">
        <f t="shared" si="12"/>
        <v>4129962</v>
      </c>
      <c r="I30" s="171">
        <f t="shared" si="12"/>
        <v>4355622</v>
      </c>
      <c r="K30" s="303" t="s">
        <v>387</v>
      </c>
      <c r="L30" s="304"/>
      <c r="M30" s="304"/>
      <c r="N30" s="304"/>
      <c r="O30" s="308"/>
      <c r="Q30" s="309" t="s">
        <v>388</v>
      </c>
      <c r="R30" s="310"/>
      <c r="S30" s="310"/>
      <c r="T30" s="311"/>
    </row>
    <row r="31" spans="2:20" ht="16.5" thickTop="1" thickBot="1" x14ac:dyDescent="0.3">
      <c r="B31" s="150" t="s">
        <v>2</v>
      </c>
      <c r="C31" s="111">
        <v>3</v>
      </c>
      <c r="D31" s="151" t="s">
        <v>162</v>
      </c>
      <c r="E31" s="152">
        <v>4861445</v>
      </c>
      <c r="F31" s="153">
        <v>4426654</v>
      </c>
      <c r="G31" s="153">
        <v>3533162</v>
      </c>
      <c r="H31" s="153">
        <v>2919048</v>
      </c>
      <c r="I31" s="154">
        <v>3206214</v>
      </c>
      <c r="K31" s="210">
        <f>E31/E$30</f>
        <v>0.78671618376758701</v>
      </c>
      <c r="L31" s="211">
        <f t="shared" ref="L31:L63" si="13">F31/F$30</f>
        <v>0.73524764019712219</v>
      </c>
      <c r="M31" s="211">
        <f t="shared" ref="M31:M63" si="14">G31/G$30</f>
        <v>0.72408487287390522</v>
      </c>
      <c r="N31" s="211">
        <f t="shared" ref="N31:N63" si="15">H31/H$30</f>
        <v>0.70679778651716407</v>
      </c>
      <c r="O31" s="212">
        <f t="shared" ref="O31:O63" si="16">I31/I$30</f>
        <v>0.73610933180151994</v>
      </c>
      <c r="Q31" s="222">
        <f>IFERROR((F31/E31)-1,"-")</f>
        <v>-8.9436576984826544E-2</v>
      </c>
      <c r="R31" s="223">
        <f t="shared" ref="R31:R63" si="17">IFERROR((G31/F31)-1,"-")</f>
        <v>-0.20184364985381731</v>
      </c>
      <c r="S31" s="223">
        <f t="shared" ref="S31:S63" si="18">IFERROR((H31/G31)-1,"-")</f>
        <v>-0.17381427740930078</v>
      </c>
      <c r="T31" s="224">
        <f t="shared" ref="T31:T63" si="19">IFERROR((I31/H31)-1,"-")</f>
        <v>9.8376594012842489E-2</v>
      </c>
    </row>
    <row r="32" spans="2:20" ht="15.75" outlineLevel="1" thickTop="1" x14ac:dyDescent="0.25">
      <c r="B32" s="61" t="s">
        <v>328</v>
      </c>
      <c r="C32" s="62">
        <v>4</v>
      </c>
      <c r="D32" s="46" t="s">
        <v>157</v>
      </c>
      <c r="E32" s="155">
        <v>682513</v>
      </c>
      <c r="F32" s="156">
        <v>466255</v>
      </c>
      <c r="G32" s="156">
        <v>375174</v>
      </c>
      <c r="H32" s="156">
        <v>327118</v>
      </c>
      <c r="I32" s="157">
        <v>340242</v>
      </c>
      <c r="K32" s="228">
        <f t="shared" ref="K32:K63" si="20">E32/E$30</f>
        <v>0.11044946980409469</v>
      </c>
      <c r="L32" s="229">
        <f t="shared" si="13"/>
        <v>7.7442892189023407E-2</v>
      </c>
      <c r="M32" s="229">
        <f t="shared" si="14"/>
        <v>7.68880164837034E-2</v>
      </c>
      <c r="N32" s="229">
        <f t="shared" si="15"/>
        <v>7.9206055648938178E-2</v>
      </c>
      <c r="O32" s="230">
        <f t="shared" si="16"/>
        <v>7.8115594052927464E-2</v>
      </c>
      <c r="Q32" s="228">
        <f t="shared" ref="Q32:Q63" si="21">IFERROR((F32/E32)-1,"-")</f>
        <v>-0.31685550311862187</v>
      </c>
      <c r="R32" s="229">
        <f t="shared" si="17"/>
        <v>-0.19534589441400096</v>
      </c>
      <c r="S32" s="229">
        <f t="shared" si="18"/>
        <v>-0.12808989961990969</v>
      </c>
      <c r="T32" s="230">
        <f t="shared" si="19"/>
        <v>4.0120078992901709E-2</v>
      </c>
    </row>
    <row r="33" spans="2:20" outlineLevel="1" x14ac:dyDescent="0.25">
      <c r="B33" s="61" t="s">
        <v>329</v>
      </c>
      <c r="C33" s="62">
        <v>5</v>
      </c>
      <c r="D33" s="46" t="s">
        <v>163</v>
      </c>
      <c r="E33" s="155">
        <v>3762650</v>
      </c>
      <c r="F33" s="156">
        <v>3577827</v>
      </c>
      <c r="G33" s="156">
        <v>2831200</v>
      </c>
      <c r="H33" s="156">
        <v>2244464</v>
      </c>
      <c r="I33" s="157">
        <v>2561873</v>
      </c>
      <c r="K33" s="228">
        <f t="shared" si="20"/>
        <v>0.60890077926482999</v>
      </c>
      <c r="L33" s="229">
        <f t="shared" si="13"/>
        <v>0.59426123179800117</v>
      </c>
      <c r="M33" s="229">
        <f t="shared" si="14"/>
        <v>0.58022504829402111</v>
      </c>
      <c r="N33" s="229">
        <f t="shared" si="15"/>
        <v>0.54345875337351768</v>
      </c>
      <c r="O33" s="230">
        <f t="shared" si="16"/>
        <v>0.58817615486375996</v>
      </c>
      <c r="Q33" s="228">
        <f t="shared" si="21"/>
        <v>-4.9120433736861036E-2</v>
      </c>
      <c r="R33" s="229">
        <f t="shared" si="17"/>
        <v>-0.20868169422389626</v>
      </c>
      <c r="S33" s="229">
        <f t="shared" si="18"/>
        <v>-0.20723933314495624</v>
      </c>
      <c r="T33" s="230">
        <f t="shared" si="19"/>
        <v>0.14141861932292077</v>
      </c>
    </row>
    <row r="34" spans="2:20" ht="15.75" outlineLevel="1" thickBot="1" x14ac:dyDescent="0.3">
      <c r="B34" s="61" t="s">
        <v>330</v>
      </c>
      <c r="C34" s="62">
        <v>6</v>
      </c>
      <c r="D34" s="46" t="s">
        <v>164</v>
      </c>
      <c r="E34" s="155">
        <v>416282</v>
      </c>
      <c r="F34" s="156">
        <v>382572</v>
      </c>
      <c r="G34" s="156">
        <v>326788</v>
      </c>
      <c r="H34" s="156">
        <v>347466</v>
      </c>
      <c r="I34" s="157">
        <v>304099</v>
      </c>
      <c r="K34" s="228">
        <f t="shared" si="20"/>
        <v>6.7365934698662366E-2</v>
      </c>
      <c r="L34" s="229">
        <f t="shared" si="13"/>
        <v>6.3543516210097614E-2</v>
      </c>
      <c r="M34" s="229">
        <f t="shared" si="14"/>
        <v>6.6971808096180627E-2</v>
      </c>
      <c r="N34" s="229">
        <f t="shared" si="15"/>
        <v>8.4132977494708189E-2</v>
      </c>
      <c r="O34" s="230">
        <f t="shared" si="16"/>
        <v>6.9817582884832516E-2</v>
      </c>
      <c r="Q34" s="228">
        <f t="shared" si="21"/>
        <v>-8.0978759590854321E-2</v>
      </c>
      <c r="R34" s="229">
        <f t="shared" si="17"/>
        <v>-0.14581307570862478</v>
      </c>
      <c r="S34" s="229">
        <f t="shared" si="18"/>
        <v>6.3276497301002488E-2</v>
      </c>
      <c r="T34" s="230">
        <f t="shared" si="19"/>
        <v>-0.12480933386288151</v>
      </c>
    </row>
    <row r="35" spans="2:20" ht="16.5" thickTop="1" thickBot="1" x14ac:dyDescent="0.3">
      <c r="B35" s="150" t="s">
        <v>4</v>
      </c>
      <c r="C35" s="111">
        <v>7</v>
      </c>
      <c r="D35" s="151" t="s">
        <v>160</v>
      </c>
      <c r="E35" s="207">
        <v>-138226</v>
      </c>
      <c r="F35" s="208">
        <v>58658</v>
      </c>
      <c r="G35" s="208">
        <v>6075</v>
      </c>
      <c r="H35" s="208">
        <v>106207</v>
      </c>
      <c r="I35" s="209">
        <v>-102643</v>
      </c>
      <c r="K35" s="231">
        <f t="shared" si="20"/>
        <v>-2.2368787720000633E-2</v>
      </c>
      <c r="L35" s="232">
        <f t="shared" si="13"/>
        <v>9.7428342216678322E-3</v>
      </c>
      <c r="M35" s="232">
        <f t="shared" si="14"/>
        <v>1.2450081832389723E-3</v>
      </c>
      <c r="N35" s="232">
        <f t="shared" si="15"/>
        <v>2.571621724364534E-2</v>
      </c>
      <c r="O35" s="233">
        <f t="shared" si="16"/>
        <v>-2.3565635401786474E-2</v>
      </c>
      <c r="Q35" s="231">
        <f t="shared" si="21"/>
        <v>-1.424362999725088</v>
      </c>
      <c r="R35" s="232">
        <f t="shared" si="17"/>
        <v>-0.89643356404923458</v>
      </c>
      <c r="S35" s="232">
        <f t="shared" si="18"/>
        <v>16.482633744855967</v>
      </c>
      <c r="T35" s="233">
        <f t="shared" si="19"/>
        <v>-1.9664428898283539</v>
      </c>
    </row>
    <row r="36" spans="2:20" ht="16.5" thickTop="1" thickBot="1" x14ac:dyDescent="0.3">
      <c r="B36" s="150" t="s">
        <v>168</v>
      </c>
      <c r="C36" s="111">
        <v>9</v>
      </c>
      <c r="D36" s="151" t="s">
        <v>165</v>
      </c>
      <c r="E36" s="152">
        <v>900461</v>
      </c>
      <c r="F36" s="153">
        <v>945163</v>
      </c>
      <c r="G36" s="153">
        <v>845805</v>
      </c>
      <c r="H36" s="153">
        <v>812058</v>
      </c>
      <c r="I36" s="154">
        <v>870715</v>
      </c>
      <c r="K36" s="210">
        <f t="shared" si="20"/>
        <v>0.14571948084397646</v>
      </c>
      <c r="L36" s="211">
        <f t="shared" si="13"/>
        <v>0.15698739168492334</v>
      </c>
      <c r="M36" s="211">
        <f t="shared" si="14"/>
        <v>0.17333895414394057</v>
      </c>
      <c r="N36" s="211">
        <f t="shared" si="15"/>
        <v>0.19662602222490183</v>
      </c>
      <c r="O36" s="212">
        <f t="shared" si="16"/>
        <v>0.19990600653592069</v>
      </c>
      <c r="Q36" s="210">
        <f t="shared" si="21"/>
        <v>4.9643460405281337E-2</v>
      </c>
      <c r="R36" s="211">
        <f t="shared" si="17"/>
        <v>-0.1051226084812884</v>
      </c>
      <c r="S36" s="211">
        <f t="shared" si="18"/>
        <v>-3.9899267561672058E-2</v>
      </c>
      <c r="T36" s="212">
        <f t="shared" si="19"/>
        <v>7.2232525262973857E-2</v>
      </c>
    </row>
    <row r="37" spans="2:20" ht="15.75" outlineLevel="1" thickTop="1" x14ac:dyDescent="0.25">
      <c r="B37" s="61" t="s">
        <v>331</v>
      </c>
      <c r="C37" s="62">
        <v>10</v>
      </c>
      <c r="D37" s="46" t="s">
        <v>166</v>
      </c>
      <c r="E37" s="158">
        <v>667085</v>
      </c>
      <c r="F37" s="159">
        <v>707814</v>
      </c>
      <c r="G37" s="159">
        <v>631202</v>
      </c>
      <c r="H37" s="159">
        <v>601420</v>
      </c>
      <c r="I37" s="160">
        <v>644405</v>
      </c>
      <c r="K37" s="216">
        <f t="shared" si="20"/>
        <v>0.10795279293473459</v>
      </c>
      <c r="L37" s="217">
        <f t="shared" si="13"/>
        <v>0.11756477312174972</v>
      </c>
      <c r="M37" s="217">
        <f t="shared" si="14"/>
        <v>0.12935829716490629</v>
      </c>
      <c r="N37" s="217">
        <f t="shared" si="15"/>
        <v>0.14562361590736186</v>
      </c>
      <c r="O37" s="218">
        <f t="shared" si="16"/>
        <v>0.14794787059115783</v>
      </c>
      <c r="Q37" s="216">
        <f t="shared" si="21"/>
        <v>6.1055187869611727E-2</v>
      </c>
      <c r="R37" s="217">
        <f t="shared" si="17"/>
        <v>-0.10823747481683044</v>
      </c>
      <c r="S37" s="217">
        <f t="shared" si="18"/>
        <v>-4.7182993716749944E-2</v>
      </c>
      <c r="T37" s="218">
        <f t="shared" si="19"/>
        <v>7.1472515047720453E-2</v>
      </c>
    </row>
    <row r="38" spans="2:20" ht="25.5" outlineLevel="1" x14ac:dyDescent="0.25">
      <c r="B38" s="61" t="s">
        <v>332</v>
      </c>
      <c r="C38" s="62">
        <v>11</v>
      </c>
      <c r="D38" s="46" t="s">
        <v>335</v>
      </c>
      <c r="E38" s="158">
        <v>233376</v>
      </c>
      <c r="F38" s="159">
        <v>237349</v>
      </c>
      <c r="G38" s="159">
        <v>214603</v>
      </c>
      <c r="H38" s="159">
        <v>210638</v>
      </c>
      <c r="I38" s="160">
        <v>226310</v>
      </c>
      <c r="K38" s="216">
        <f t="shared" si="20"/>
        <v>3.7766687909241876E-2</v>
      </c>
      <c r="L38" s="217">
        <f t="shared" si="13"/>
        <v>3.9422618563173618E-2</v>
      </c>
      <c r="M38" s="217">
        <f t="shared" si="14"/>
        <v>4.398065697903427E-2</v>
      </c>
      <c r="N38" s="217">
        <f t="shared" si="15"/>
        <v>5.1002406317539967E-2</v>
      </c>
      <c r="O38" s="218">
        <f t="shared" si="16"/>
        <v>5.1958135944762882E-2</v>
      </c>
      <c r="Q38" s="216">
        <f t="shared" si="21"/>
        <v>1.702402989167684E-2</v>
      </c>
      <c r="R38" s="217">
        <f t="shared" si="17"/>
        <v>-9.5833561548605672E-2</v>
      </c>
      <c r="S38" s="217">
        <f t="shared" si="18"/>
        <v>-1.8475976570691E-2</v>
      </c>
      <c r="T38" s="218">
        <f t="shared" si="19"/>
        <v>7.4402529458122535E-2</v>
      </c>
    </row>
    <row r="39" spans="2:20" ht="25.5" outlineLevel="1" x14ac:dyDescent="0.25">
      <c r="B39" s="107" t="s">
        <v>333</v>
      </c>
      <c r="C39" s="108">
        <v>12</v>
      </c>
      <c r="D39" s="83" t="s">
        <v>167</v>
      </c>
      <c r="E39" s="161">
        <v>230318</v>
      </c>
      <c r="F39" s="162">
        <v>234106</v>
      </c>
      <c r="G39" s="162">
        <v>211610</v>
      </c>
      <c r="H39" s="162">
        <v>207986</v>
      </c>
      <c r="I39" s="163">
        <v>215151</v>
      </c>
      <c r="K39" s="234">
        <f t="shared" si="20"/>
        <v>3.7271818978304415E-2</v>
      </c>
      <c r="L39" s="235">
        <f t="shared" si="13"/>
        <v>3.8883970614370919E-2</v>
      </c>
      <c r="M39" s="235">
        <f t="shared" si="14"/>
        <v>4.336727270044427E-2</v>
      </c>
      <c r="N39" s="235">
        <f t="shared" si="15"/>
        <v>5.0360269658655456E-2</v>
      </c>
      <c r="O39" s="236">
        <f t="shared" si="16"/>
        <v>4.9396159721849138E-2</v>
      </c>
      <c r="Q39" s="234">
        <f t="shared" si="21"/>
        <v>1.6446825693172018E-2</v>
      </c>
      <c r="R39" s="235">
        <f t="shared" si="17"/>
        <v>-9.6093222728165895E-2</v>
      </c>
      <c r="S39" s="235">
        <f t="shared" si="18"/>
        <v>-1.7125844714332983E-2</v>
      </c>
      <c r="T39" s="236">
        <f t="shared" si="19"/>
        <v>3.4449434096525788E-2</v>
      </c>
    </row>
    <row r="40" spans="2:20" ht="15.75" outlineLevel="1" thickBot="1" x14ac:dyDescent="0.3">
      <c r="B40" s="107" t="s">
        <v>334</v>
      </c>
      <c r="C40" s="108">
        <v>13</v>
      </c>
      <c r="D40" s="83" t="s">
        <v>336</v>
      </c>
      <c r="E40" s="161">
        <v>3058</v>
      </c>
      <c r="F40" s="162">
        <v>3243</v>
      </c>
      <c r="G40" s="162">
        <v>2993</v>
      </c>
      <c r="H40" s="162">
        <v>2652</v>
      </c>
      <c r="I40" s="163">
        <v>11159</v>
      </c>
      <c r="K40" s="234">
        <f t="shared" si="20"/>
        <v>4.9486893093746425E-4</v>
      </c>
      <c r="L40" s="235">
        <f t="shared" si="13"/>
        <v>5.386479488027001E-4</v>
      </c>
      <c r="M40" s="235">
        <f t="shared" si="14"/>
        <v>6.1338427858999907E-4</v>
      </c>
      <c r="N40" s="235">
        <f t="shared" si="15"/>
        <v>6.4213665888451278E-4</v>
      </c>
      <c r="O40" s="236">
        <f t="shared" si="16"/>
        <v>2.5619762229137422E-3</v>
      </c>
      <c r="Q40" s="234">
        <f t="shared" si="21"/>
        <v>6.0497056899934565E-2</v>
      </c>
      <c r="R40" s="235">
        <f t="shared" si="17"/>
        <v>-7.7089115016959586E-2</v>
      </c>
      <c r="S40" s="235">
        <f t="shared" si="18"/>
        <v>-0.1139325091881056</v>
      </c>
      <c r="T40" s="236">
        <f t="shared" si="19"/>
        <v>3.207767722473605</v>
      </c>
    </row>
    <row r="41" spans="2:20" ht="16.5" thickTop="1" thickBot="1" x14ac:dyDescent="0.3">
      <c r="B41" s="150" t="s">
        <v>170</v>
      </c>
      <c r="C41" s="111">
        <v>14</v>
      </c>
      <c r="D41" s="151" t="s">
        <v>337</v>
      </c>
      <c r="E41" s="164">
        <v>100545</v>
      </c>
      <c r="F41" s="165">
        <v>100636</v>
      </c>
      <c r="G41" s="165">
        <v>89941</v>
      </c>
      <c r="H41" s="165">
        <v>76819</v>
      </c>
      <c r="I41" s="166">
        <v>63150</v>
      </c>
      <c r="K41" s="213">
        <f t="shared" si="20"/>
        <v>1.627096032083301E-2</v>
      </c>
      <c r="L41" s="214">
        <f t="shared" si="13"/>
        <v>1.6715194257079409E-2</v>
      </c>
      <c r="M41" s="214">
        <f t="shared" si="14"/>
        <v>1.8432474240114634E-2</v>
      </c>
      <c r="N41" s="214">
        <f t="shared" si="15"/>
        <v>1.8600413272567642E-2</v>
      </c>
      <c r="O41" s="215">
        <f t="shared" si="16"/>
        <v>1.449850331364843E-2</v>
      </c>
      <c r="Q41" s="213">
        <f t="shared" si="21"/>
        <v>9.0506738276396881E-4</v>
      </c>
      <c r="R41" s="214">
        <f t="shared" si="17"/>
        <v>-0.10627409674470367</v>
      </c>
      <c r="S41" s="214">
        <f t="shared" si="18"/>
        <v>-0.14589564269910271</v>
      </c>
      <c r="T41" s="215">
        <f t="shared" si="19"/>
        <v>-0.17793774977544619</v>
      </c>
    </row>
    <row r="42" spans="2:20" ht="26.25" outlineLevel="1" thickTop="1" x14ac:dyDescent="0.25">
      <c r="B42" s="61" t="s">
        <v>338</v>
      </c>
      <c r="C42" s="62">
        <v>15</v>
      </c>
      <c r="D42" s="46" t="s">
        <v>343</v>
      </c>
      <c r="E42" s="158">
        <v>100545</v>
      </c>
      <c r="F42" s="159">
        <v>100636</v>
      </c>
      <c r="G42" s="159">
        <v>89941</v>
      </c>
      <c r="H42" s="159">
        <v>76819</v>
      </c>
      <c r="I42" s="160">
        <v>63150</v>
      </c>
      <c r="K42" s="216">
        <f t="shared" si="20"/>
        <v>1.627096032083301E-2</v>
      </c>
      <c r="L42" s="217">
        <f t="shared" si="13"/>
        <v>1.6715194257079409E-2</v>
      </c>
      <c r="M42" s="217">
        <f t="shared" si="14"/>
        <v>1.8432474240114634E-2</v>
      </c>
      <c r="N42" s="217">
        <f t="shared" si="15"/>
        <v>1.8600413272567642E-2</v>
      </c>
      <c r="O42" s="218">
        <f t="shared" si="16"/>
        <v>1.449850331364843E-2</v>
      </c>
      <c r="Q42" s="216">
        <f t="shared" si="21"/>
        <v>9.0506738276396881E-4</v>
      </c>
      <c r="R42" s="217">
        <f t="shared" si="17"/>
        <v>-0.10627409674470367</v>
      </c>
      <c r="S42" s="217">
        <f t="shared" si="18"/>
        <v>-0.14589564269910271</v>
      </c>
      <c r="T42" s="218">
        <f t="shared" si="19"/>
        <v>-0.17793774977544619</v>
      </c>
    </row>
    <row r="43" spans="2:20" ht="25.5" outlineLevel="1" x14ac:dyDescent="0.25">
      <c r="B43" s="107" t="s">
        <v>339</v>
      </c>
      <c r="C43" s="108">
        <v>16</v>
      </c>
      <c r="D43" s="83" t="s">
        <v>344</v>
      </c>
      <c r="E43" s="161">
        <v>100545</v>
      </c>
      <c r="F43" s="162">
        <v>100636</v>
      </c>
      <c r="G43" s="162">
        <v>89941</v>
      </c>
      <c r="H43" s="162">
        <v>76819</v>
      </c>
      <c r="I43" s="163">
        <v>63150</v>
      </c>
      <c r="K43" s="234">
        <f t="shared" si="20"/>
        <v>1.627096032083301E-2</v>
      </c>
      <c r="L43" s="235">
        <f t="shared" si="13"/>
        <v>1.6715194257079409E-2</v>
      </c>
      <c r="M43" s="235">
        <f t="shared" si="14"/>
        <v>1.8432474240114634E-2</v>
      </c>
      <c r="N43" s="235">
        <f t="shared" si="15"/>
        <v>1.8600413272567642E-2</v>
      </c>
      <c r="O43" s="236">
        <f t="shared" si="16"/>
        <v>1.449850331364843E-2</v>
      </c>
      <c r="Q43" s="234">
        <f t="shared" si="21"/>
        <v>9.0506738276396881E-4</v>
      </c>
      <c r="R43" s="235">
        <f t="shared" si="17"/>
        <v>-0.10627409674470367</v>
      </c>
      <c r="S43" s="235">
        <f t="shared" si="18"/>
        <v>-0.14589564269910271</v>
      </c>
      <c r="T43" s="236">
        <f t="shared" si="19"/>
        <v>-0.17793774977544619</v>
      </c>
    </row>
    <row r="44" spans="2:20" ht="25.5" outlineLevel="1" x14ac:dyDescent="0.25">
      <c r="B44" s="107" t="s">
        <v>340</v>
      </c>
      <c r="C44" s="108">
        <v>17</v>
      </c>
      <c r="D44" s="83" t="s">
        <v>345</v>
      </c>
      <c r="E44" s="161">
        <v>0</v>
      </c>
      <c r="F44" s="162">
        <v>0</v>
      </c>
      <c r="G44" s="162">
        <v>0</v>
      </c>
      <c r="H44" s="162">
        <v>0</v>
      </c>
      <c r="I44" s="163">
        <v>0</v>
      </c>
      <c r="K44" s="234">
        <f t="shared" si="20"/>
        <v>0</v>
      </c>
      <c r="L44" s="235">
        <f t="shared" si="13"/>
        <v>0</v>
      </c>
      <c r="M44" s="235">
        <f t="shared" si="14"/>
        <v>0</v>
      </c>
      <c r="N44" s="235">
        <f t="shared" si="15"/>
        <v>0</v>
      </c>
      <c r="O44" s="236">
        <f t="shared" si="16"/>
        <v>0</v>
      </c>
      <c r="Q44" s="234" t="str">
        <f t="shared" si="21"/>
        <v>-</v>
      </c>
      <c r="R44" s="235" t="str">
        <f t="shared" si="17"/>
        <v>-</v>
      </c>
      <c r="S44" s="235" t="str">
        <f t="shared" si="18"/>
        <v>-</v>
      </c>
      <c r="T44" s="236" t="str">
        <f t="shared" si="19"/>
        <v>-</v>
      </c>
    </row>
    <row r="45" spans="2:20" outlineLevel="1" x14ac:dyDescent="0.25">
      <c r="B45" s="61" t="s">
        <v>341</v>
      </c>
      <c r="C45" s="62">
        <v>18</v>
      </c>
      <c r="D45" s="46" t="s">
        <v>346</v>
      </c>
      <c r="E45" s="158">
        <v>0</v>
      </c>
      <c r="F45" s="159">
        <v>0</v>
      </c>
      <c r="G45" s="159">
        <v>0</v>
      </c>
      <c r="H45" s="159">
        <v>0</v>
      </c>
      <c r="I45" s="160">
        <v>0</v>
      </c>
      <c r="K45" s="216">
        <f t="shared" si="20"/>
        <v>0</v>
      </c>
      <c r="L45" s="217">
        <f t="shared" si="13"/>
        <v>0</v>
      </c>
      <c r="M45" s="217">
        <f t="shared" si="14"/>
        <v>0</v>
      </c>
      <c r="N45" s="217">
        <f t="shared" si="15"/>
        <v>0</v>
      </c>
      <c r="O45" s="218">
        <f t="shared" si="16"/>
        <v>0</v>
      </c>
      <c r="Q45" s="216" t="str">
        <f t="shared" si="21"/>
        <v>-</v>
      </c>
      <c r="R45" s="217" t="str">
        <f t="shared" si="17"/>
        <v>-</v>
      </c>
      <c r="S45" s="217" t="str">
        <f t="shared" si="18"/>
        <v>-</v>
      </c>
      <c r="T45" s="218" t="str">
        <f t="shared" si="19"/>
        <v>-</v>
      </c>
    </row>
    <row r="46" spans="2:20" ht="15.75" outlineLevel="1" thickBot="1" x14ac:dyDescent="0.3">
      <c r="B46" s="61" t="s">
        <v>342</v>
      </c>
      <c r="C46" s="62">
        <v>19</v>
      </c>
      <c r="D46" s="46" t="s">
        <v>347</v>
      </c>
      <c r="E46" s="158">
        <v>0</v>
      </c>
      <c r="F46" s="159">
        <v>0</v>
      </c>
      <c r="G46" s="159">
        <v>0</v>
      </c>
      <c r="H46" s="159">
        <v>0</v>
      </c>
      <c r="I46" s="160">
        <v>0</v>
      </c>
      <c r="K46" s="216">
        <f t="shared" si="20"/>
        <v>0</v>
      </c>
      <c r="L46" s="217">
        <f t="shared" si="13"/>
        <v>0</v>
      </c>
      <c r="M46" s="217">
        <f t="shared" si="14"/>
        <v>0</v>
      </c>
      <c r="N46" s="217">
        <f t="shared" si="15"/>
        <v>0</v>
      </c>
      <c r="O46" s="218">
        <f t="shared" si="16"/>
        <v>0</v>
      </c>
      <c r="Q46" s="216" t="str">
        <f t="shared" si="21"/>
        <v>-</v>
      </c>
      <c r="R46" s="217" t="str">
        <f t="shared" si="17"/>
        <v>-</v>
      </c>
      <c r="S46" s="217" t="str">
        <f t="shared" si="18"/>
        <v>-</v>
      </c>
      <c r="T46" s="218" t="str">
        <f t="shared" si="19"/>
        <v>-</v>
      </c>
    </row>
    <row r="47" spans="2:20" ht="16.5" thickTop="1" thickBot="1" x14ac:dyDescent="0.3">
      <c r="B47" s="150" t="s">
        <v>176</v>
      </c>
      <c r="C47" s="111">
        <v>24</v>
      </c>
      <c r="D47" s="151" t="s">
        <v>183</v>
      </c>
      <c r="E47" s="164">
        <v>264411</v>
      </c>
      <c r="F47" s="165">
        <v>306519</v>
      </c>
      <c r="G47" s="165">
        <v>255685</v>
      </c>
      <c r="H47" s="165">
        <v>126441</v>
      </c>
      <c r="I47" s="166">
        <v>212717</v>
      </c>
      <c r="K47" s="213">
        <f t="shared" si="20"/>
        <v>4.2789008795979681E-2</v>
      </c>
      <c r="L47" s="214">
        <f t="shared" si="13"/>
        <v>5.0911449466251868E-2</v>
      </c>
      <c r="M47" s="214">
        <f t="shared" si="14"/>
        <v>5.2399986392009323E-2</v>
      </c>
      <c r="N47" s="214">
        <f t="shared" si="15"/>
        <v>3.0615535929870541E-2</v>
      </c>
      <c r="O47" s="215">
        <f t="shared" si="16"/>
        <v>4.8837341716062597E-2</v>
      </c>
      <c r="Q47" s="213">
        <f t="shared" si="21"/>
        <v>0.15925207347651948</v>
      </c>
      <c r="R47" s="214">
        <f t="shared" si="17"/>
        <v>-0.16584290044010319</v>
      </c>
      <c r="S47" s="214">
        <f t="shared" si="18"/>
        <v>-0.50548135400981675</v>
      </c>
      <c r="T47" s="215">
        <f t="shared" si="19"/>
        <v>0.68234196186363594</v>
      </c>
    </row>
    <row r="48" spans="2:20" ht="26.25" outlineLevel="1" thickTop="1" x14ac:dyDescent="0.25">
      <c r="B48" s="61" t="s">
        <v>177</v>
      </c>
      <c r="C48" s="62">
        <v>25</v>
      </c>
      <c r="D48" s="46" t="s">
        <v>178</v>
      </c>
      <c r="E48" s="158">
        <v>1069</v>
      </c>
      <c r="F48" s="159">
        <v>3406</v>
      </c>
      <c r="G48" s="159">
        <v>3452</v>
      </c>
      <c r="H48" s="159">
        <v>9525</v>
      </c>
      <c r="I48" s="160">
        <v>63</v>
      </c>
      <c r="K48" s="216">
        <f t="shared" si="20"/>
        <v>1.729937498927892E-4</v>
      </c>
      <c r="L48" s="217">
        <f t="shared" si="13"/>
        <v>5.6572152748134337E-4</v>
      </c>
      <c r="M48" s="217">
        <f t="shared" si="14"/>
        <v>7.074515635458325E-4</v>
      </c>
      <c r="N48" s="217">
        <f t="shared" si="15"/>
        <v>2.3063166198623621E-3</v>
      </c>
      <c r="O48" s="218">
        <f t="shared" si="16"/>
        <v>1.4464065063497246E-5</v>
      </c>
      <c r="Q48" s="216">
        <f t="shared" si="21"/>
        <v>2.1861552853133768</v>
      </c>
      <c r="R48" s="217">
        <f t="shared" si="17"/>
        <v>1.3505578391074469E-2</v>
      </c>
      <c r="S48" s="217">
        <f t="shared" si="18"/>
        <v>1.7592699884125147</v>
      </c>
      <c r="T48" s="218">
        <f t="shared" si="19"/>
        <v>-0.99338582677165355</v>
      </c>
    </row>
    <row r="49" spans="2:20" outlineLevel="1" x14ac:dyDescent="0.25">
      <c r="B49" s="61" t="s">
        <v>179</v>
      </c>
      <c r="C49" s="62">
        <v>26</v>
      </c>
      <c r="D49" s="46" t="s">
        <v>353</v>
      </c>
      <c r="E49" s="158">
        <v>225242</v>
      </c>
      <c r="F49" s="159">
        <v>190185</v>
      </c>
      <c r="G49" s="159">
        <v>159344</v>
      </c>
      <c r="H49" s="159">
        <v>132040</v>
      </c>
      <c r="I49" s="160">
        <v>180514</v>
      </c>
      <c r="K49" s="216">
        <f t="shared" si="20"/>
        <v>3.6450381864688138E-2</v>
      </c>
      <c r="L49" s="217">
        <f t="shared" si="13"/>
        <v>3.1588886877286927E-2</v>
      </c>
      <c r="M49" s="217">
        <f t="shared" si="14"/>
        <v>3.2655898592597661E-2</v>
      </c>
      <c r="N49" s="217">
        <f t="shared" si="15"/>
        <v>3.1971238476286225E-2</v>
      </c>
      <c r="O49" s="218">
        <f t="shared" si="16"/>
        <v>4.1443908585272089E-2</v>
      </c>
      <c r="Q49" s="216">
        <f t="shared" si="21"/>
        <v>-0.15564148782198706</v>
      </c>
      <c r="R49" s="217">
        <f t="shared" si="17"/>
        <v>-0.1621631569261508</v>
      </c>
      <c r="S49" s="217">
        <f t="shared" si="18"/>
        <v>-0.17135254543628875</v>
      </c>
      <c r="T49" s="218">
        <f t="shared" si="19"/>
        <v>0.36711602544683419</v>
      </c>
    </row>
    <row r="50" spans="2:20" outlineLevel="1" x14ac:dyDescent="0.25">
      <c r="B50" s="61" t="s">
        <v>350</v>
      </c>
      <c r="C50" s="62">
        <v>27</v>
      </c>
      <c r="D50" s="46" t="s">
        <v>169</v>
      </c>
      <c r="E50" s="158">
        <v>3182</v>
      </c>
      <c r="F50" s="159">
        <v>3508</v>
      </c>
      <c r="G50" s="159">
        <v>4508</v>
      </c>
      <c r="H50" s="159">
        <v>4273</v>
      </c>
      <c r="I50" s="160">
        <v>4278</v>
      </c>
      <c r="K50" s="216">
        <f t="shared" si="20"/>
        <v>5.1493555861445764E-4</v>
      </c>
      <c r="L50" s="217">
        <f t="shared" si="13"/>
        <v>5.8266327610233476E-4</v>
      </c>
      <c r="M50" s="217">
        <f t="shared" si="14"/>
        <v>9.2386780082984155E-4</v>
      </c>
      <c r="N50" s="217">
        <f t="shared" si="15"/>
        <v>1.0346342169734249E-3</v>
      </c>
      <c r="O50" s="218">
        <f t="shared" si="16"/>
        <v>9.8217889431176527E-4</v>
      </c>
      <c r="Q50" s="216">
        <f t="shared" si="21"/>
        <v>0.10245128849780016</v>
      </c>
      <c r="R50" s="217">
        <f t="shared" si="17"/>
        <v>0.28506271379703541</v>
      </c>
      <c r="S50" s="217">
        <f t="shared" si="18"/>
        <v>-5.2129547471162385E-2</v>
      </c>
      <c r="T50" s="218">
        <f t="shared" si="19"/>
        <v>1.1701380762929592E-3</v>
      </c>
    </row>
    <row r="51" spans="2:20" ht="25.5" outlineLevel="1" x14ac:dyDescent="0.25">
      <c r="B51" s="61" t="s">
        <v>351</v>
      </c>
      <c r="C51" s="62">
        <v>28</v>
      </c>
      <c r="D51" s="46" t="s">
        <v>354</v>
      </c>
      <c r="E51" s="158">
        <v>-5775</v>
      </c>
      <c r="F51" s="159">
        <v>18942</v>
      </c>
      <c r="G51" s="159">
        <v>-22172</v>
      </c>
      <c r="H51" s="159">
        <v>-56029</v>
      </c>
      <c r="I51" s="160">
        <v>-9323</v>
      </c>
      <c r="K51" s="216">
        <f t="shared" si="20"/>
        <v>-9.3455463576319695E-4</v>
      </c>
      <c r="L51" s="217">
        <f t="shared" si="13"/>
        <v>3.1461823762629492E-3</v>
      </c>
      <c r="M51" s="217">
        <f t="shared" si="14"/>
        <v>-4.5439212244896285E-3</v>
      </c>
      <c r="N51" s="217">
        <f t="shared" si="15"/>
        <v>-1.356646865031688E-2</v>
      </c>
      <c r="O51" s="218">
        <f t="shared" si="16"/>
        <v>-2.140452041063251E-3</v>
      </c>
      <c r="Q51" s="216">
        <f t="shared" si="21"/>
        <v>-4.2799999999999994</v>
      </c>
      <c r="R51" s="217">
        <f t="shared" si="17"/>
        <v>-2.1705205363741946</v>
      </c>
      <c r="S51" s="217">
        <f t="shared" si="18"/>
        <v>1.5270160562872093</v>
      </c>
      <c r="T51" s="218">
        <f t="shared" si="19"/>
        <v>-0.83360402648628384</v>
      </c>
    </row>
    <row r="52" spans="2:20" ht="15.75" outlineLevel="1" thickBot="1" x14ac:dyDescent="0.3">
      <c r="B52" s="61" t="s">
        <v>352</v>
      </c>
      <c r="C52" s="62">
        <v>29</v>
      </c>
      <c r="D52" s="46" t="s">
        <v>355</v>
      </c>
      <c r="E52" s="158">
        <v>40693</v>
      </c>
      <c r="F52" s="159">
        <v>90478</v>
      </c>
      <c r="G52" s="159">
        <v>110553</v>
      </c>
      <c r="H52" s="159">
        <v>36632</v>
      </c>
      <c r="I52" s="160">
        <v>37185</v>
      </c>
      <c r="K52" s="216">
        <f t="shared" si="20"/>
        <v>6.5852522585474931E-3</v>
      </c>
      <c r="L52" s="217">
        <f t="shared" si="13"/>
        <v>1.5027995409118314E-2</v>
      </c>
      <c r="M52" s="217">
        <f t="shared" si="14"/>
        <v>2.2656689659525615E-2</v>
      </c>
      <c r="N52" s="217">
        <f t="shared" si="15"/>
        <v>8.8698152670654111E-3</v>
      </c>
      <c r="O52" s="218">
        <f t="shared" si="16"/>
        <v>8.5372422124784936E-3</v>
      </c>
      <c r="Q52" s="216">
        <f t="shared" si="21"/>
        <v>1.2234290909984518</v>
      </c>
      <c r="R52" s="217">
        <f t="shared" si="17"/>
        <v>0.2218771414045404</v>
      </c>
      <c r="S52" s="217">
        <f t="shared" si="18"/>
        <v>-0.66864761698009101</v>
      </c>
      <c r="T52" s="218">
        <f t="shared" si="19"/>
        <v>1.5096090849530563E-2</v>
      </c>
    </row>
    <row r="53" spans="2:20" ht="16.5" thickTop="1" thickBot="1" x14ac:dyDescent="0.3">
      <c r="B53" s="150" t="s">
        <v>180</v>
      </c>
      <c r="C53" s="111">
        <v>34</v>
      </c>
      <c r="D53" s="151" t="s">
        <v>360</v>
      </c>
      <c r="E53" s="164">
        <v>300</v>
      </c>
      <c r="F53" s="165">
        <v>0</v>
      </c>
      <c r="G53" s="165">
        <v>0</v>
      </c>
      <c r="H53" s="165">
        <v>0</v>
      </c>
      <c r="I53" s="166">
        <v>0</v>
      </c>
      <c r="K53" s="213">
        <f t="shared" si="20"/>
        <v>4.854829276691932E-5</v>
      </c>
      <c r="L53" s="214">
        <f t="shared" si="13"/>
        <v>0</v>
      </c>
      <c r="M53" s="214">
        <f t="shared" si="14"/>
        <v>0</v>
      </c>
      <c r="N53" s="214">
        <f t="shared" si="15"/>
        <v>0</v>
      </c>
      <c r="O53" s="215">
        <f t="shared" si="16"/>
        <v>0</v>
      </c>
      <c r="Q53" s="213">
        <f t="shared" si="21"/>
        <v>-1</v>
      </c>
      <c r="R53" s="214" t="str">
        <f t="shared" si="17"/>
        <v>-</v>
      </c>
      <c r="S53" s="214" t="str">
        <f t="shared" si="18"/>
        <v>-</v>
      </c>
      <c r="T53" s="215" t="str">
        <f t="shared" si="19"/>
        <v>-</v>
      </c>
    </row>
    <row r="54" spans="2:20" ht="27" thickTop="1" thickBot="1" x14ac:dyDescent="0.3">
      <c r="B54" s="150" t="s">
        <v>364</v>
      </c>
      <c r="C54" s="111">
        <v>38</v>
      </c>
      <c r="D54" s="172" t="s">
        <v>365</v>
      </c>
      <c r="E54" s="164"/>
      <c r="F54" s="165"/>
      <c r="G54" s="165"/>
      <c r="H54" s="165"/>
      <c r="I54" s="166"/>
      <c r="K54" s="213">
        <f t="shared" si="20"/>
        <v>0</v>
      </c>
      <c r="L54" s="214">
        <f t="shared" si="13"/>
        <v>0</v>
      </c>
      <c r="M54" s="214">
        <f t="shared" si="14"/>
        <v>0</v>
      </c>
      <c r="N54" s="214">
        <f t="shared" si="15"/>
        <v>0</v>
      </c>
      <c r="O54" s="215">
        <f t="shared" si="16"/>
        <v>0</v>
      </c>
      <c r="Q54" s="213" t="str">
        <f t="shared" si="21"/>
        <v>-</v>
      </c>
      <c r="R54" s="214" t="str">
        <f t="shared" si="17"/>
        <v>-</v>
      </c>
      <c r="S54" s="214" t="str">
        <f t="shared" si="18"/>
        <v>-</v>
      </c>
      <c r="T54" s="215" t="str">
        <f t="shared" si="19"/>
        <v>-</v>
      </c>
    </row>
    <row r="55" spans="2:20" ht="16.5" thickTop="1" thickBot="1" x14ac:dyDescent="0.3">
      <c r="B55" s="150" t="s">
        <v>155</v>
      </c>
      <c r="C55" s="111">
        <v>42</v>
      </c>
      <c r="D55" s="151" t="s">
        <v>371</v>
      </c>
      <c r="E55" s="152">
        <v>-10721</v>
      </c>
      <c r="F55" s="153">
        <v>2861</v>
      </c>
      <c r="G55" s="153">
        <v>14367</v>
      </c>
      <c r="H55" s="153">
        <v>1879</v>
      </c>
      <c r="I55" s="154">
        <v>-800</v>
      </c>
      <c r="K55" s="210">
        <f t="shared" si="20"/>
        <v>-1.7349541558471402E-3</v>
      </c>
      <c r="L55" s="211">
        <f t="shared" si="13"/>
        <v>4.7519943926133975E-4</v>
      </c>
      <c r="M55" s="211">
        <f t="shared" si="14"/>
        <v>2.9443675010031793E-3</v>
      </c>
      <c r="N55" s="211">
        <f t="shared" si="15"/>
        <v>4.5496786653242814E-4</v>
      </c>
      <c r="O55" s="212">
        <f t="shared" si="16"/>
        <v>-1.8367066747298089E-4</v>
      </c>
      <c r="Q55" s="210">
        <f t="shared" si="21"/>
        <v>-1.2668594347542208</v>
      </c>
      <c r="R55" s="211">
        <f t="shared" si="17"/>
        <v>4.0216707444949318</v>
      </c>
      <c r="S55" s="211">
        <f t="shared" si="18"/>
        <v>-0.86921417136493351</v>
      </c>
      <c r="T55" s="212">
        <f t="shared" si="19"/>
        <v>-1.4257583821181479</v>
      </c>
    </row>
    <row r="56" spans="2:20" ht="16.5" thickTop="1" thickBot="1" x14ac:dyDescent="0.3">
      <c r="B56" s="150" t="s">
        <v>188</v>
      </c>
      <c r="C56" s="111">
        <v>43</v>
      </c>
      <c r="D56" s="151" t="s">
        <v>374</v>
      </c>
      <c r="E56" s="164">
        <v>60920</v>
      </c>
      <c r="F56" s="165">
        <v>59952</v>
      </c>
      <c r="G56" s="165">
        <v>22426</v>
      </c>
      <c r="H56" s="165">
        <v>13625</v>
      </c>
      <c r="I56" s="166">
        <v>15434</v>
      </c>
      <c r="K56" s="213">
        <f t="shared" si="20"/>
        <v>9.858539984535751E-3</v>
      </c>
      <c r="L56" s="214">
        <f t="shared" si="13"/>
        <v>9.9577618953498228E-3</v>
      </c>
      <c r="M56" s="214">
        <f t="shared" si="14"/>
        <v>4.5959758876242289E-3</v>
      </c>
      <c r="N56" s="214">
        <f t="shared" si="15"/>
        <v>3.2990618315616462E-3</v>
      </c>
      <c r="O56" s="215">
        <f t="shared" si="16"/>
        <v>3.5434663522224841E-3</v>
      </c>
      <c r="Q56" s="213">
        <f t="shared" si="21"/>
        <v>-1.588969139855545E-2</v>
      </c>
      <c r="R56" s="214">
        <f t="shared" si="17"/>
        <v>-0.62593408059781153</v>
      </c>
      <c r="S56" s="214">
        <f t="shared" si="18"/>
        <v>-0.39244626772496205</v>
      </c>
      <c r="T56" s="215">
        <f t="shared" si="19"/>
        <v>0.13277064220183488</v>
      </c>
    </row>
    <row r="57" spans="2:20" ht="26.25" outlineLevel="1" thickTop="1" x14ac:dyDescent="0.25">
      <c r="B57" s="61" t="s">
        <v>372</v>
      </c>
      <c r="C57" s="64">
        <v>44</v>
      </c>
      <c r="D57" s="46" t="s">
        <v>375</v>
      </c>
      <c r="E57" s="158">
        <v>60920</v>
      </c>
      <c r="F57" s="159">
        <v>59952</v>
      </c>
      <c r="G57" s="159">
        <v>22426</v>
      </c>
      <c r="H57" s="159">
        <v>13625</v>
      </c>
      <c r="I57" s="160">
        <v>15434</v>
      </c>
      <c r="K57" s="216">
        <f t="shared" si="20"/>
        <v>9.858539984535751E-3</v>
      </c>
      <c r="L57" s="217">
        <f t="shared" si="13"/>
        <v>9.9577618953498228E-3</v>
      </c>
      <c r="M57" s="217">
        <f t="shared" si="14"/>
        <v>4.5959758876242289E-3</v>
      </c>
      <c r="N57" s="217">
        <f t="shared" si="15"/>
        <v>3.2990618315616462E-3</v>
      </c>
      <c r="O57" s="218">
        <f t="shared" si="16"/>
        <v>3.5434663522224841E-3</v>
      </c>
      <c r="Q57" s="216">
        <f t="shared" si="21"/>
        <v>-1.588969139855545E-2</v>
      </c>
      <c r="R57" s="217">
        <f t="shared" si="17"/>
        <v>-0.62593408059781153</v>
      </c>
      <c r="S57" s="217">
        <f t="shared" si="18"/>
        <v>-0.39244626772496205</v>
      </c>
      <c r="T57" s="218">
        <f t="shared" si="19"/>
        <v>0.13277064220183488</v>
      </c>
    </row>
    <row r="58" spans="2:20" ht="15.75" outlineLevel="1" thickBot="1" x14ac:dyDescent="0.3">
      <c r="B58" s="61" t="s">
        <v>373</v>
      </c>
      <c r="C58" s="64">
        <v>45</v>
      </c>
      <c r="D58" s="46" t="s">
        <v>376</v>
      </c>
      <c r="E58" s="158"/>
      <c r="F58" s="159"/>
      <c r="G58" s="159"/>
      <c r="H58" s="159"/>
      <c r="I58" s="160"/>
      <c r="K58" s="216">
        <f t="shared" si="20"/>
        <v>0</v>
      </c>
      <c r="L58" s="217">
        <f t="shared" si="13"/>
        <v>0</v>
      </c>
      <c r="M58" s="217">
        <f t="shared" si="14"/>
        <v>0</v>
      </c>
      <c r="N58" s="217">
        <f t="shared" si="15"/>
        <v>0</v>
      </c>
      <c r="O58" s="218">
        <f t="shared" si="16"/>
        <v>0</v>
      </c>
      <c r="Q58" s="216" t="str">
        <f t="shared" si="21"/>
        <v>-</v>
      </c>
      <c r="R58" s="217" t="str">
        <f t="shared" si="17"/>
        <v>-</v>
      </c>
      <c r="S58" s="217" t="str">
        <f t="shared" si="18"/>
        <v>-</v>
      </c>
      <c r="T58" s="218" t="str">
        <f t="shared" si="19"/>
        <v>-</v>
      </c>
    </row>
    <row r="59" spans="2:20" ht="16.5" thickTop="1" thickBot="1" x14ac:dyDescent="0.3">
      <c r="B59" s="150" t="s">
        <v>192</v>
      </c>
      <c r="C59" s="111">
        <v>47</v>
      </c>
      <c r="D59" s="151" t="s">
        <v>196</v>
      </c>
      <c r="E59" s="164">
        <v>84824</v>
      </c>
      <c r="F59" s="165">
        <v>53767</v>
      </c>
      <c r="G59" s="165">
        <v>60917</v>
      </c>
      <c r="H59" s="165">
        <v>53918</v>
      </c>
      <c r="I59" s="166">
        <v>62329</v>
      </c>
      <c r="K59" s="213">
        <f t="shared" si="20"/>
        <v>1.3726867952203882E-2</v>
      </c>
      <c r="L59" s="214">
        <f t="shared" si="13"/>
        <v>8.9304607657338178E-3</v>
      </c>
      <c r="M59" s="214">
        <f t="shared" si="14"/>
        <v>1.248430674870263E-2</v>
      </c>
      <c r="N59" s="214">
        <f t="shared" si="15"/>
        <v>1.3055325932780979E-2</v>
      </c>
      <c r="O59" s="215">
        <f t="shared" si="16"/>
        <v>1.4310011291154282E-2</v>
      </c>
      <c r="Q59" s="213">
        <f t="shared" si="21"/>
        <v>-0.36613458455154202</v>
      </c>
      <c r="R59" s="214">
        <f t="shared" si="17"/>
        <v>0.13298119664478203</v>
      </c>
      <c r="S59" s="214">
        <f t="shared" si="18"/>
        <v>-0.11489403614754501</v>
      </c>
      <c r="T59" s="215">
        <f t="shared" si="19"/>
        <v>0.15599614229014436</v>
      </c>
    </row>
    <row r="60" spans="2:20" ht="16.5" thickTop="1" thickBot="1" x14ac:dyDescent="0.3">
      <c r="B60" s="150" t="s">
        <v>193</v>
      </c>
      <c r="C60" s="111">
        <v>50</v>
      </c>
      <c r="D60" s="151" t="s">
        <v>198</v>
      </c>
      <c r="E60" s="164">
        <v>55455</v>
      </c>
      <c r="F60" s="165">
        <v>66420</v>
      </c>
      <c r="G60" s="165">
        <v>51108</v>
      </c>
      <c r="H60" s="165">
        <v>19967</v>
      </c>
      <c r="I60" s="166">
        <v>28506</v>
      </c>
      <c r="K60" s="213">
        <f t="shared" si="20"/>
        <v>8.974151917965037E-3</v>
      </c>
      <c r="L60" s="214">
        <f t="shared" si="13"/>
        <v>1.1032068072610342E-2</v>
      </c>
      <c r="M60" s="214">
        <f t="shared" si="14"/>
        <v>1.04740540294613E-2</v>
      </c>
      <c r="N60" s="214">
        <f t="shared" si="15"/>
        <v>4.8346691809755147E-3</v>
      </c>
      <c r="O60" s="215">
        <f t="shared" si="16"/>
        <v>6.5446450587309914E-3</v>
      </c>
      <c r="Q60" s="213">
        <f t="shared" si="21"/>
        <v>0.19772788747633219</v>
      </c>
      <c r="R60" s="214">
        <f t="shared" si="17"/>
        <v>-0.23053297199638667</v>
      </c>
      <c r="S60" s="214">
        <f t="shared" si="18"/>
        <v>-0.60931752367535408</v>
      </c>
      <c r="T60" s="215">
        <f t="shared" si="19"/>
        <v>0.42765563179245758</v>
      </c>
    </row>
    <row r="61" spans="2:20" ht="15.75" outlineLevel="1" thickTop="1" x14ac:dyDescent="0.25">
      <c r="B61" s="61" t="s">
        <v>378</v>
      </c>
      <c r="C61" s="64">
        <v>51</v>
      </c>
      <c r="D61" s="46" t="s">
        <v>380</v>
      </c>
      <c r="E61" s="158">
        <v>53159</v>
      </c>
      <c r="F61" s="159">
        <v>65995</v>
      </c>
      <c r="G61" s="159">
        <v>39308</v>
      </c>
      <c r="H61" s="159">
        <v>17690</v>
      </c>
      <c r="I61" s="160">
        <v>25404</v>
      </c>
      <c r="K61" s="216">
        <f t="shared" si="20"/>
        <v>8.6025956506555479E-3</v>
      </c>
      <c r="L61" s="217">
        <f t="shared" si="13"/>
        <v>1.0961477453356211E-2</v>
      </c>
      <c r="M61" s="217">
        <f t="shared" si="14"/>
        <v>8.0557665295074108E-3</v>
      </c>
      <c r="N61" s="217">
        <f t="shared" si="15"/>
        <v>4.2833323890147171E-3</v>
      </c>
      <c r="O61" s="218">
        <f t="shared" si="16"/>
        <v>5.8324620456045081E-3</v>
      </c>
      <c r="Q61" s="216">
        <f t="shared" si="21"/>
        <v>0.24146428638612472</v>
      </c>
      <c r="R61" s="217">
        <f t="shared" si="17"/>
        <v>-0.40437911963027506</v>
      </c>
      <c r="S61" s="217">
        <f t="shared" si="18"/>
        <v>-0.54996438384043955</v>
      </c>
      <c r="T61" s="218">
        <f t="shared" si="19"/>
        <v>0.43606557377049171</v>
      </c>
    </row>
    <row r="62" spans="2:20" outlineLevel="1" x14ac:dyDescent="0.25">
      <c r="B62" s="61" t="s">
        <v>379</v>
      </c>
      <c r="C62" s="64">
        <v>52</v>
      </c>
      <c r="D62" s="46" t="s">
        <v>381</v>
      </c>
      <c r="E62" s="158">
        <v>2296</v>
      </c>
      <c r="F62" s="159">
        <v>425</v>
      </c>
      <c r="G62" s="159">
        <v>11800</v>
      </c>
      <c r="H62" s="159">
        <v>2277</v>
      </c>
      <c r="I62" s="160">
        <v>3102</v>
      </c>
      <c r="K62" s="216">
        <f t="shared" si="20"/>
        <v>3.7155626730948921E-4</v>
      </c>
      <c r="L62" s="217">
        <f t="shared" si="13"/>
        <v>7.0590619254131209E-5</v>
      </c>
      <c r="M62" s="217">
        <f t="shared" si="14"/>
        <v>2.4182874999538885E-3</v>
      </c>
      <c r="N62" s="217">
        <f t="shared" si="15"/>
        <v>5.5133679196079765E-4</v>
      </c>
      <c r="O62" s="218">
        <f t="shared" si="16"/>
        <v>7.1218301312648343E-4</v>
      </c>
      <c r="Q62" s="216">
        <f t="shared" si="21"/>
        <v>-0.81489547038327526</v>
      </c>
      <c r="R62" s="217">
        <f t="shared" si="17"/>
        <v>26.764705882352942</v>
      </c>
      <c r="S62" s="217">
        <f t="shared" si="18"/>
        <v>-0.80703389830508476</v>
      </c>
      <c r="T62" s="218">
        <f t="shared" si="19"/>
        <v>0.3623188405797102</v>
      </c>
    </row>
    <row r="63" spans="2:20" ht="26.25" outlineLevel="1" thickBot="1" x14ac:dyDescent="0.3">
      <c r="B63" s="61" t="s">
        <v>194</v>
      </c>
      <c r="C63" s="64">
        <v>54</v>
      </c>
      <c r="D63" s="53" t="s">
        <v>383</v>
      </c>
      <c r="E63" s="204">
        <v>0</v>
      </c>
      <c r="F63" s="205">
        <v>0</v>
      </c>
      <c r="G63" s="205">
        <v>0</v>
      </c>
      <c r="H63" s="205">
        <v>0</v>
      </c>
      <c r="I63" s="206">
        <v>0</v>
      </c>
      <c r="K63" s="237">
        <f t="shared" si="20"/>
        <v>0</v>
      </c>
      <c r="L63" s="238">
        <f t="shared" si="13"/>
        <v>0</v>
      </c>
      <c r="M63" s="238">
        <f t="shared" si="14"/>
        <v>0</v>
      </c>
      <c r="N63" s="238">
        <f t="shared" si="15"/>
        <v>0</v>
      </c>
      <c r="O63" s="239">
        <f t="shared" si="16"/>
        <v>0</v>
      </c>
      <c r="Q63" s="237" t="str">
        <f t="shared" si="21"/>
        <v>-</v>
      </c>
      <c r="R63" s="238" t="str">
        <f t="shared" si="17"/>
        <v>-</v>
      </c>
      <c r="S63" s="238" t="str">
        <f t="shared" si="18"/>
        <v>-</v>
      </c>
      <c r="T63" s="239" t="str">
        <f t="shared" si="19"/>
        <v>-</v>
      </c>
    </row>
  </sheetData>
  <mergeCells count="6">
    <mergeCell ref="B1:I1"/>
    <mergeCell ref="K11:O11"/>
    <mergeCell ref="K30:O30"/>
    <mergeCell ref="Q30:T30"/>
    <mergeCell ref="Q11:T11"/>
    <mergeCell ref="Q3:T3"/>
  </mergeCells>
  <conditionalFormatting sqref="E31:I63">
    <cfRule type="cellIs" dxfId="5" priority="6" operator="lessThan">
      <formula>0</formula>
    </cfRule>
  </conditionalFormatting>
  <conditionalFormatting sqref="K31:O63">
    <cfRule type="cellIs" dxfId="4" priority="5" operator="lessThan">
      <formula>0</formula>
    </cfRule>
  </conditionalFormatting>
  <conditionalFormatting sqref="Q4:T9">
    <cfRule type="cellIs" dxfId="3" priority="3" operator="lessThan">
      <formula>0</formula>
    </cfRule>
  </conditionalFormatting>
  <conditionalFormatting sqref="Q12:T28">
    <cfRule type="cellIs" dxfId="2" priority="2" operator="lessThan">
      <formula>0</formula>
    </cfRule>
  </conditionalFormatting>
  <conditionalFormatting sqref="Q31:T63">
    <cfRule type="cellIs" dxfId="1" priority="1" operator="lessThan">
      <formula>0</formula>
    </cfRule>
  </conditionalFormatting>
  <pageMargins left="0.7" right="0.7" top="0.78740157499999996" bottom="0.78740157499999996" header="0.3" footer="0.3"/>
  <pageSetup paperSize="9" orientation="portrait" r:id="rId1"/>
  <ignoredErrors>
    <ignoredError sqref="Q4:T9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H24"/>
  <sheetViews>
    <sheetView showGridLines="0" zoomScale="115" zoomScaleNormal="115" workbookViewId="0">
      <pane ySplit="2" topLeftCell="A3" activePane="bottomLeft" state="frozenSplit"/>
      <selection activeCell="B3" sqref="B3:H3"/>
      <selection pane="bottomLeft" activeCell="D8" sqref="D8"/>
    </sheetView>
  </sheetViews>
  <sheetFormatPr defaultRowHeight="15" outlineLevelRow="1" x14ac:dyDescent="0.25"/>
  <cols>
    <col min="1" max="1" width="3.5703125" style="32" customWidth="1"/>
    <col min="2" max="2" width="20.5703125" style="14" customWidth="1"/>
    <col min="3" max="3" width="20.42578125" style="14" customWidth="1"/>
    <col min="4" max="8" width="14.85546875" style="15" bestFit="1" customWidth="1"/>
    <col min="9" max="9" width="4.42578125" customWidth="1"/>
  </cols>
  <sheetData>
    <row r="1" spans="1:8" ht="15.75" thickBot="1" x14ac:dyDescent="0.3"/>
    <row r="2" spans="1:8" ht="16.5" thickBot="1" x14ac:dyDescent="0.3">
      <c r="B2" s="322" t="s">
        <v>202</v>
      </c>
      <c r="C2" s="323"/>
      <c r="D2" s="323"/>
      <c r="E2" s="323"/>
      <c r="F2" s="323"/>
      <c r="G2" s="323"/>
      <c r="H2" s="324"/>
    </row>
    <row r="3" spans="1:8" ht="5.0999999999999996" customHeight="1" thickBot="1" x14ac:dyDescent="0.3"/>
    <row r="4" spans="1:8" x14ac:dyDescent="0.25">
      <c r="B4" s="318" t="s">
        <v>214</v>
      </c>
      <c r="C4" s="319"/>
      <c r="D4" s="30">
        <v>2015</v>
      </c>
      <c r="E4" s="30">
        <v>2016</v>
      </c>
      <c r="F4" s="30">
        <v>2017</v>
      </c>
      <c r="G4" s="30">
        <v>2018</v>
      </c>
      <c r="H4" s="31">
        <v>2019</v>
      </c>
    </row>
    <row r="5" spans="1:8" outlineLevel="1" x14ac:dyDescent="0.25">
      <c r="A5" s="32" t="s">
        <v>229</v>
      </c>
      <c r="B5" s="314" t="s">
        <v>203</v>
      </c>
      <c r="C5" s="315"/>
      <c r="D5" s="26">
        <f>'Výkazy ZZ'!E58/Rozvahy!E82</f>
        <v>0.22588394398277489</v>
      </c>
      <c r="E5" s="26">
        <f>'Výkazy ZZ'!F58/Rozvahy!F82</f>
        <v>0.19111348813302678</v>
      </c>
      <c r="F5" s="26">
        <f>'Výkazy ZZ'!G58/Rozvahy!G82</f>
        <v>0.14746535628674901</v>
      </c>
      <c r="G5" s="26">
        <f>'Výkazy ZZ'!H58/Rozvahy!H82</f>
        <v>0.12590253871902987</v>
      </c>
      <c r="H5" s="27">
        <f>'Výkazy ZZ'!I58/Rozvahy!I82</f>
        <v>0.13891626076806757</v>
      </c>
    </row>
    <row r="6" spans="1:8" outlineLevel="1" x14ac:dyDescent="0.25">
      <c r="A6" s="32" t="s">
        <v>230</v>
      </c>
      <c r="B6" s="314" t="s">
        <v>391</v>
      </c>
      <c r="C6" s="315"/>
      <c r="D6" s="26">
        <f>'Pomocná data'!C5/Rozvahy!E4</f>
        <v>8.3435373954186848E-2</v>
      </c>
      <c r="E6" s="26">
        <f>'Pomocná data'!D5/Rozvahy!F4</f>
        <v>8.9889049081677427E-2</v>
      </c>
      <c r="F6" s="26">
        <f>'Pomocná data'!E5/Rozvahy!G4</f>
        <v>7.2534795335371369E-2</v>
      </c>
      <c r="G6" s="26">
        <f>'Pomocná data'!F5/Rozvahy!H4</f>
        <v>5.9156702328508497E-2</v>
      </c>
      <c r="H6" s="27">
        <f>'Pomocná data'!G5/Rozvahy!I4</f>
        <v>6.810777379709787E-2</v>
      </c>
    </row>
    <row r="7" spans="1:8" outlineLevel="1" x14ac:dyDescent="0.25">
      <c r="A7" s="32" t="s">
        <v>231</v>
      </c>
      <c r="B7" s="314" t="s">
        <v>204</v>
      </c>
      <c r="C7" s="315"/>
      <c r="D7" s="26">
        <f>'Výkazy ZZ'!E58/'Pomocná data'!C6</f>
        <v>6.0695132352229238E-2</v>
      </c>
      <c r="E7" s="26">
        <f>'Výkazy ZZ'!F58/'Pomocná data'!D6</f>
        <v>5.6068664490334888E-2</v>
      </c>
      <c r="F7" s="26">
        <f>'Výkazy ZZ'!G58/'Pomocná data'!E6</f>
        <v>5.4519574385683424E-2</v>
      </c>
      <c r="G7" s="26">
        <f>'Výkazy ZZ'!H58/'Pomocná data'!F6</f>
        <v>5.290416861270781E-2</v>
      </c>
      <c r="H7" s="27">
        <f>'Výkazy ZZ'!I58/'Pomocná data'!G6</f>
        <v>5.7363723922913605E-2</v>
      </c>
    </row>
    <row r="8" spans="1:8" ht="15.75" outlineLevel="1" thickBot="1" x14ac:dyDescent="0.3">
      <c r="A8" s="32" t="s">
        <v>232</v>
      </c>
      <c r="B8" s="37" t="s">
        <v>392</v>
      </c>
      <c r="C8" s="106"/>
      <c r="D8" s="28">
        <f>('Pomocná data'!C5+'Výkazy ZZ'!E19)/(Rozvahy!E82+Rozvahy!E105+Rozvahy!E111)</f>
        <v>0.23339396664943876</v>
      </c>
      <c r="E8" s="28">
        <f>('Pomocná data'!D5+'Výkazy ZZ'!F19)/(Rozvahy!F82+Rozvahy!F105+Rozvahy!F111)</f>
        <v>0.2190702006574427</v>
      </c>
      <c r="F8" s="28">
        <f>('Pomocná data'!E5+'Výkazy ZZ'!G19)/(Rozvahy!G82+Rozvahy!G105+Rozvahy!G111)</f>
        <v>0.16421026721710741</v>
      </c>
      <c r="G8" s="28">
        <f>('Pomocná data'!F5+'Výkazy ZZ'!H19)/(Rozvahy!H82+Rozvahy!H105+Rozvahy!H111)</f>
        <v>0.12818436356924293</v>
      </c>
      <c r="H8" s="29">
        <f>('Pomocná data'!G5+'Výkazy ZZ'!I19)/(Rozvahy!I82+Rozvahy!I105+Rozvahy!I111)</f>
        <v>0.13643814248729919</v>
      </c>
    </row>
    <row r="9" spans="1:8" ht="15.75" thickBot="1" x14ac:dyDescent="0.3"/>
    <row r="10" spans="1:8" ht="15.75" customHeight="1" collapsed="1" x14ac:dyDescent="0.25">
      <c r="B10" s="318" t="s">
        <v>205</v>
      </c>
      <c r="C10" s="319"/>
      <c r="D10" s="30">
        <v>2015</v>
      </c>
      <c r="E10" s="30">
        <v>2016</v>
      </c>
      <c r="F10" s="30">
        <v>2017</v>
      </c>
      <c r="G10" s="30">
        <v>2018</v>
      </c>
      <c r="H10" s="31">
        <v>2019</v>
      </c>
    </row>
    <row r="11" spans="1:8" ht="15" hidden="1" customHeight="1" outlineLevel="1" x14ac:dyDescent="0.25">
      <c r="A11" s="32" t="s">
        <v>233</v>
      </c>
      <c r="B11" s="320" t="s">
        <v>206</v>
      </c>
      <c r="C11" s="321"/>
      <c r="D11" s="16">
        <f>'Pomocná data'!C6/Rozvahy!E4</f>
        <v>0.99469976673504168</v>
      </c>
      <c r="E11" s="16">
        <f>'Pomocná data'!D6/Rozvahy!F4</f>
        <v>1.0986155761119718</v>
      </c>
      <c r="F11" s="16">
        <f>'Pomocná data'!E6/Rozvahy!G4</f>
        <v>0.99345966619263526</v>
      </c>
      <c r="G11" s="16">
        <f>'Pomocná data'!F6/Rozvahy!H4</f>
        <v>0.94668523135180982</v>
      </c>
      <c r="H11" s="17">
        <f>'Pomocná data'!G6/Rozvahy!I4</f>
        <v>0.98005917451123947</v>
      </c>
    </row>
    <row r="12" spans="1:8" ht="15" hidden="1" customHeight="1" outlineLevel="1" x14ac:dyDescent="0.25">
      <c r="B12" s="314" t="s">
        <v>207</v>
      </c>
      <c r="C12" s="315"/>
      <c r="D12" s="33">
        <f>365*(Rozvahy!E41/'Pomocná data'!C6)</f>
        <v>45.741283850591515</v>
      </c>
      <c r="E12" s="33">
        <f>365*(Rozvahy!F41/'Pomocná data'!D6)</f>
        <v>40.886167455281274</v>
      </c>
      <c r="F12" s="33">
        <f>365*(Rozvahy!G41/'Pomocná data'!E6)</f>
        <v>53.912900459464282</v>
      </c>
      <c r="G12" s="33">
        <f>365*(Rozvahy!H41/'Pomocná data'!F6)</f>
        <v>50.456111149310743</v>
      </c>
      <c r="H12" s="34">
        <f>365*(Rozvahy!I41/'Pomocná data'!G6)</f>
        <v>60.224257905010411</v>
      </c>
    </row>
    <row r="13" spans="1:8" ht="14.45" hidden="1" customHeight="1" outlineLevel="1" x14ac:dyDescent="0.25">
      <c r="B13" s="314" t="s">
        <v>209</v>
      </c>
      <c r="C13" s="315"/>
      <c r="D13" s="33">
        <f>365*(Rozvahy!E61/'Pomocná data'!C6)</f>
        <v>188.16230453275031</v>
      </c>
      <c r="E13" s="33">
        <f>365*(Rozvahy!F61/'Pomocná data'!D6)</f>
        <v>156.05461818418939</v>
      </c>
      <c r="F13" s="33">
        <f>365*(Rozvahy!G61/'Pomocná data'!E6)</f>
        <v>136.70199453270195</v>
      </c>
      <c r="G13" s="33">
        <f>365*(Rozvahy!H61/'Pomocná data'!F6)</f>
        <v>131.1608543161029</v>
      </c>
      <c r="H13" s="34">
        <f>365*(Rozvahy!I61/'Pomocná data'!G6)</f>
        <v>114.2880694198258</v>
      </c>
    </row>
    <row r="14" spans="1:8" ht="15" hidden="1" customHeight="1" outlineLevel="1" thickBot="1" x14ac:dyDescent="0.3">
      <c r="B14" s="312" t="s">
        <v>208</v>
      </c>
      <c r="C14" s="313"/>
      <c r="D14" s="35">
        <f>365*(Rozvahy!E132/'Pomocná data'!C6)</f>
        <v>65.536498343343396</v>
      </c>
      <c r="E14" s="35">
        <f>365*(Rozvahy!F132/'Pomocná data'!D6)</f>
        <v>54.373347882967153</v>
      </c>
      <c r="F14" s="35">
        <f>365*(Rozvahy!G132/'Pomocná data'!E6)</f>
        <v>53.423464114254962</v>
      </c>
      <c r="G14" s="35">
        <f>365*(Rozvahy!H132/'Pomocná data'!F6)</f>
        <v>42.042628500769908</v>
      </c>
      <c r="H14" s="36">
        <f>365*(Rozvahy!I132/'Pomocná data'!G6)</f>
        <v>46.168283560355455</v>
      </c>
    </row>
    <row r="15" spans="1:8" ht="15" customHeight="1" thickBot="1" x14ac:dyDescent="0.3"/>
    <row r="16" spans="1:8" ht="16.5" customHeight="1" collapsed="1" x14ac:dyDescent="0.25">
      <c r="B16" s="318" t="s">
        <v>210</v>
      </c>
      <c r="C16" s="319"/>
      <c r="D16" s="30">
        <v>2015</v>
      </c>
      <c r="E16" s="30">
        <v>2016</v>
      </c>
      <c r="F16" s="30">
        <v>2017</v>
      </c>
      <c r="G16" s="30">
        <v>2018</v>
      </c>
      <c r="H16" s="31">
        <v>2019</v>
      </c>
    </row>
    <row r="17" spans="1:8" ht="28.35" hidden="1" customHeight="1" outlineLevel="1" x14ac:dyDescent="0.25">
      <c r="A17" s="32" t="s">
        <v>234</v>
      </c>
      <c r="B17" s="314" t="s">
        <v>212</v>
      </c>
      <c r="C17" s="315"/>
      <c r="D17" s="240">
        <f>Rozvahy!E104/Rozvahy!E82</f>
        <v>2.7153948016204899</v>
      </c>
      <c r="E17" s="240">
        <f>Rozvahy!F104/Rozvahy!F82</f>
        <v>2.0785213688867898</v>
      </c>
      <c r="F17" s="240">
        <f>Rozvahy!G104/Rozvahy!G82</f>
        <v>1.6865652047332578</v>
      </c>
      <c r="G17" s="240">
        <f>Rozvahy!H104/Rozvahy!H82</f>
        <v>1.5140047121449765</v>
      </c>
      <c r="H17" s="241">
        <f>Rozvahy!I104/Rozvahy!I82</f>
        <v>1.4751473736143403</v>
      </c>
    </row>
    <row r="18" spans="1:8" hidden="1" outlineLevel="1" x14ac:dyDescent="0.25">
      <c r="A18" s="32" t="s">
        <v>235</v>
      </c>
      <c r="B18" s="314" t="s">
        <v>211</v>
      </c>
      <c r="C18" s="315"/>
      <c r="D18" s="240">
        <f>Rozvahy!E104/Rozvahy!E81</f>
        <v>0.72248695467935964</v>
      </c>
      <c r="E18" s="240">
        <f>Rozvahy!F104/Rozvahy!F81</f>
        <v>0.66835695221503788</v>
      </c>
      <c r="F18" s="240">
        <f>Rozvahy!G104/Rozvahy!G81</f>
        <v>0.6187845041891058</v>
      </c>
      <c r="G18" s="240">
        <f>Rozvahy!H104/Rozvahy!H81</f>
        <v>0.6007775205022603</v>
      </c>
      <c r="H18" s="241">
        <f>Rozvahy!I104/Rozvahy!I81</f>
        <v>0.59583511548331902</v>
      </c>
    </row>
    <row r="19" spans="1:8" ht="15.75" hidden="1" outlineLevel="1" thickBot="1" x14ac:dyDescent="0.3">
      <c r="A19" s="32" t="s">
        <v>236</v>
      </c>
      <c r="B19" s="312" t="s">
        <v>393</v>
      </c>
      <c r="C19" s="313"/>
      <c r="D19" s="24">
        <f>'Pomocná data'!C5/'Výkazy ZZ'!E46</f>
        <v>6.9112114248194354</v>
      </c>
      <c r="E19" s="24">
        <f>'Pomocná data'!D5/'Výkazy ZZ'!F46</f>
        <v>6.6973578863090468</v>
      </c>
      <c r="F19" s="24">
        <f>'Pomocná data'!E5/'Výkazy ZZ'!G46</f>
        <v>12.94586640506555</v>
      </c>
      <c r="G19" s="24">
        <f>'Pomocná data'!F5/'Výkazy ZZ'!H46</f>
        <v>16.074862385321101</v>
      </c>
      <c r="H19" s="25">
        <f>'Pomocná data'!G5/'Výkazy ZZ'!I46</f>
        <v>16.310677724504341</v>
      </c>
    </row>
    <row r="20" spans="1:8" ht="15.75" thickBot="1" x14ac:dyDescent="0.3"/>
    <row r="21" spans="1:8" ht="16.5" customHeight="1" collapsed="1" x14ac:dyDescent="0.25">
      <c r="B21" s="318" t="s">
        <v>213</v>
      </c>
      <c r="C21" s="319"/>
      <c r="D21" s="30">
        <v>2015</v>
      </c>
      <c r="E21" s="30">
        <v>2016</v>
      </c>
      <c r="F21" s="30">
        <v>2017</v>
      </c>
      <c r="G21" s="30">
        <v>2018</v>
      </c>
      <c r="H21" s="31">
        <v>2019</v>
      </c>
    </row>
    <row r="22" spans="1:8" hidden="1" outlineLevel="1" x14ac:dyDescent="0.25">
      <c r="A22" s="32" t="s">
        <v>237</v>
      </c>
      <c r="B22" s="320" t="s">
        <v>394</v>
      </c>
      <c r="C22" s="321"/>
      <c r="D22" s="16">
        <f>Rozvahy!E74/SUM(Rozvahy!E132,Rozvahy!E130)</f>
        <v>3.6565647029456215E-2</v>
      </c>
      <c r="E22" s="16">
        <f>Rozvahy!F74/SUM(Rozvahy!F132,Rozvahy!F130)</f>
        <v>9.3722412466459015E-2</v>
      </c>
      <c r="F22" s="16">
        <f>Rozvahy!G74/SUM(Rozvahy!G132,Rozvahy!G130)</f>
        <v>0.14373328535966387</v>
      </c>
      <c r="G22" s="16">
        <f>Rozvahy!H74/SUM(Rozvahy!H132,Rozvahy!H130)</f>
        <v>0.28939741577104217</v>
      </c>
      <c r="H22" s="17">
        <f>Rozvahy!I74/SUM(Rozvahy!I132,Rozvahy!I130)</f>
        <v>0.27204240325356127</v>
      </c>
    </row>
    <row r="23" spans="1:8" hidden="1" outlineLevel="1" x14ac:dyDescent="0.25">
      <c r="A23" s="32" t="s">
        <v>238</v>
      </c>
      <c r="B23" s="316" t="s">
        <v>395</v>
      </c>
      <c r="C23" s="317"/>
      <c r="D23" s="22">
        <f>SUM(Rozvahy!E74,Rozvahy!E60)/SUM(Rozvahy!E132,Rozvahy!E130)</f>
        <v>1.1377070283841204</v>
      </c>
      <c r="E23" s="22">
        <f>SUM(Rozvahy!F74,Rozvahy!F60)/SUM(Rozvahy!F132,Rozvahy!F130)</f>
        <v>1.3474650530661534</v>
      </c>
      <c r="F23" s="22">
        <f>SUM(Rozvahy!G74,Rozvahy!G60)/SUM(Rozvahy!G132,Rozvahy!G130)</f>
        <v>1.2582059506786116</v>
      </c>
      <c r="G23" s="22">
        <f>SUM(Rozvahy!H74,Rozvahy!H60)/SUM(Rozvahy!H132,Rozvahy!H130)</f>
        <v>1.715667004170808</v>
      </c>
      <c r="H23" s="23">
        <f>SUM(Rozvahy!I74,Rozvahy!I60)/SUM(Rozvahy!I132,Rozvahy!I130)</f>
        <v>1.4820592662236003</v>
      </c>
    </row>
    <row r="24" spans="1:8" ht="27" hidden="1" customHeight="1" outlineLevel="1" thickBot="1" x14ac:dyDescent="0.3">
      <c r="A24" s="32" t="s">
        <v>239</v>
      </c>
      <c r="B24" s="312" t="s">
        <v>396</v>
      </c>
      <c r="C24" s="313"/>
      <c r="D24" s="24">
        <f>SUM(Rozvahy!E74,Rozvahy!E60,Rozvahy!E41)/SUM(Rozvahy!E132,Rozvahy!E130)</f>
        <v>1.3893413735139681</v>
      </c>
      <c r="E24" s="24">
        <f>SUM(Rozvahy!F74,Rozvahy!F60,Rozvahy!F41)/SUM(Rozvahy!F132,Rozvahy!F130)</f>
        <v>1.6470207098592531</v>
      </c>
      <c r="F24" s="24">
        <f>SUM(Rozvahy!G74,Rozvahy!G60,Rozvahy!G41)/SUM(Rozvahy!G132,Rozvahy!G130)</f>
        <v>1.6758442382177119</v>
      </c>
      <c r="G24" s="24">
        <f>SUM(Rozvahy!H74,Rozvahy!H60,Rozvahy!H41)/SUM(Rozvahy!H132,Rozvahy!H130)</f>
        <v>2.1657371369121159</v>
      </c>
      <c r="H24" s="25">
        <f>SUM(Rozvahy!I74,Rozvahy!I60,Rozvahy!I41)/SUM(Rozvahy!I132,Rozvahy!I130)</f>
        <v>1.9976107198461199</v>
      </c>
    </row>
  </sheetData>
  <sheetProtection selectLockedCells="1" selectUnlockedCells="1"/>
  <mergeCells count="18">
    <mergeCell ref="B10:C10"/>
    <mergeCell ref="B11:C11"/>
    <mergeCell ref="B2:H2"/>
    <mergeCell ref="B4:C4"/>
    <mergeCell ref="B5:C5"/>
    <mergeCell ref="B6:C6"/>
    <mergeCell ref="B7:C7"/>
    <mergeCell ref="B12:C12"/>
    <mergeCell ref="B13:C13"/>
    <mergeCell ref="B14:C14"/>
    <mergeCell ref="B21:C21"/>
    <mergeCell ref="B22:C22"/>
    <mergeCell ref="B16:C16"/>
    <mergeCell ref="B24:C24"/>
    <mergeCell ref="B17:C17"/>
    <mergeCell ref="B18:C18"/>
    <mergeCell ref="B19:C19"/>
    <mergeCell ref="B23:C23"/>
  </mergeCells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G15"/>
  <sheetViews>
    <sheetView showGridLines="0" zoomScale="145" zoomScaleNormal="145" workbookViewId="0">
      <selection activeCell="B1" sqref="B1"/>
    </sheetView>
  </sheetViews>
  <sheetFormatPr defaultRowHeight="15" x14ac:dyDescent="0.25"/>
  <cols>
    <col min="1" max="1" width="2.5703125" customWidth="1"/>
    <col min="2" max="2" width="24.42578125" bestFit="1" customWidth="1"/>
    <col min="3" max="7" width="12.5703125" customWidth="1"/>
  </cols>
  <sheetData>
    <row r="1" spans="2:7" ht="15.75" thickBot="1" x14ac:dyDescent="0.3"/>
    <row r="2" spans="2:7" x14ac:dyDescent="0.25">
      <c r="B2" s="243" t="s">
        <v>397</v>
      </c>
      <c r="C2" s="30">
        <v>2015</v>
      </c>
      <c r="D2" s="30">
        <v>2016</v>
      </c>
      <c r="E2" s="30">
        <v>2017</v>
      </c>
      <c r="F2" s="30">
        <v>2018</v>
      </c>
      <c r="G2" s="31">
        <v>2019</v>
      </c>
    </row>
    <row r="3" spans="2:7" x14ac:dyDescent="0.25">
      <c r="B3" s="244" t="s">
        <v>398</v>
      </c>
      <c r="C3" s="245">
        <f>Rozvahy!E4</f>
        <v>5046193</v>
      </c>
      <c r="D3" s="245">
        <f>Rozvahy!F4</f>
        <v>4466840</v>
      </c>
      <c r="E3" s="245">
        <f>Rozvahy!G4</f>
        <v>4002548</v>
      </c>
      <c r="F3" s="245">
        <f>Rozvahy!H4</f>
        <v>3702370</v>
      </c>
      <c r="G3" s="246">
        <f>Rozvahy!I4</f>
        <v>3696186</v>
      </c>
    </row>
    <row r="4" spans="2:7" x14ac:dyDescent="0.25">
      <c r="B4" s="247" t="s">
        <v>399</v>
      </c>
      <c r="C4" s="245">
        <f>Rozvahy!E82</f>
        <v>1348728</v>
      </c>
      <c r="D4" s="245">
        <f>Rozvahy!F82</f>
        <v>1439710</v>
      </c>
      <c r="E4" s="245">
        <f>Rozvahy!G82</f>
        <v>1470108</v>
      </c>
      <c r="F4" s="245">
        <f>Rozvahy!H82</f>
        <v>1472790</v>
      </c>
      <c r="G4" s="246">
        <f>Rozvahy!I82</f>
        <v>1495858</v>
      </c>
    </row>
    <row r="5" spans="2:7" x14ac:dyDescent="0.25">
      <c r="B5" s="247" t="s">
        <v>400</v>
      </c>
      <c r="C5" s="245">
        <f>'Výkazy ZZ'!E58</f>
        <v>304656</v>
      </c>
      <c r="D5" s="245">
        <f>'Výkazy ZZ'!F58</f>
        <v>275148</v>
      </c>
      <c r="E5" s="245">
        <f>'Výkazy ZZ'!G58</f>
        <v>216790</v>
      </c>
      <c r="F5" s="245">
        <f>'Výkazy ZZ'!H58</f>
        <v>185428</v>
      </c>
      <c r="G5" s="246">
        <f>'Výkazy ZZ'!I58</f>
        <v>207799</v>
      </c>
    </row>
    <row r="6" spans="2:7" x14ac:dyDescent="0.25">
      <c r="B6" s="248" t="s">
        <v>401</v>
      </c>
      <c r="C6" s="249">
        <f>'Pomocná data'!C5</f>
        <v>421031</v>
      </c>
      <c r="D6" s="249">
        <f>'Pomocná data'!D5</f>
        <v>401520</v>
      </c>
      <c r="E6" s="249">
        <f>'Pomocná data'!E5</f>
        <v>290324</v>
      </c>
      <c r="F6" s="249">
        <f>'Pomocná data'!F5</f>
        <v>219020</v>
      </c>
      <c r="G6" s="250">
        <f>'Pomocná data'!G5</f>
        <v>251739</v>
      </c>
    </row>
    <row r="7" spans="2:7" x14ac:dyDescent="0.25">
      <c r="B7" s="247" t="s">
        <v>402</v>
      </c>
      <c r="C7" s="20">
        <f>'Poměrové ukazatele'!D6</f>
        <v>8.3435373954186848E-2</v>
      </c>
      <c r="D7" s="20">
        <f>'Poměrové ukazatele'!E6</f>
        <v>8.9889049081677427E-2</v>
      </c>
      <c r="E7" s="20">
        <f>'Poměrové ukazatele'!F6</f>
        <v>7.2534795335371369E-2</v>
      </c>
      <c r="F7" s="20">
        <f>'Poměrové ukazatele'!G6</f>
        <v>5.9156702328508497E-2</v>
      </c>
      <c r="G7" s="21">
        <f>'Poměrové ukazatele'!H6</f>
        <v>6.810777379709787E-2</v>
      </c>
    </row>
    <row r="8" spans="2:7" x14ac:dyDescent="0.25">
      <c r="B8" s="248" t="s">
        <v>229</v>
      </c>
      <c r="C8" s="251">
        <f>'Poměrové ukazatele'!D5</f>
        <v>0.22588394398277489</v>
      </c>
      <c r="D8" s="251">
        <f>'Poměrové ukazatele'!E5</f>
        <v>0.19111348813302678</v>
      </c>
      <c r="E8" s="251">
        <f>'Poměrové ukazatele'!F5</f>
        <v>0.14746535628674901</v>
      </c>
      <c r="F8" s="251">
        <f>'Poměrové ukazatele'!G5</f>
        <v>0.12590253871902987</v>
      </c>
      <c r="G8" s="252">
        <f>'Poměrové ukazatele'!H5</f>
        <v>0.13891626076806757</v>
      </c>
    </row>
    <row r="9" spans="2:7" x14ac:dyDescent="0.25">
      <c r="B9" s="247" t="s">
        <v>397</v>
      </c>
      <c r="C9" s="16">
        <f>C3/C4</f>
        <v>3.7414460143186767</v>
      </c>
      <c r="D9" s="16">
        <f t="shared" ref="D9:G9" si="0">D3/D4</f>
        <v>3.1025970507949516</v>
      </c>
      <c r="E9" s="16">
        <f t="shared" si="0"/>
        <v>2.7226217393552039</v>
      </c>
      <c r="F9" s="16">
        <f t="shared" si="0"/>
        <v>2.5138478669735673</v>
      </c>
      <c r="G9" s="17">
        <f t="shared" si="0"/>
        <v>2.4709471086159249</v>
      </c>
    </row>
    <row r="10" spans="2:7" ht="15.75" thickBot="1" x14ac:dyDescent="0.3">
      <c r="B10" s="253" t="s">
        <v>403</v>
      </c>
      <c r="C10" s="18">
        <f>C8/C7</f>
        <v>2.7072922823694001</v>
      </c>
      <c r="D10" s="18">
        <f t="shared" ref="D10:G10" si="1">D8/D7</f>
        <v>2.1261042372288537</v>
      </c>
      <c r="E10" s="18">
        <f t="shared" si="1"/>
        <v>2.0330291910927607</v>
      </c>
      <c r="F10" s="18">
        <f t="shared" si="1"/>
        <v>2.1282886598355155</v>
      </c>
      <c r="G10" s="19">
        <f t="shared" si="1"/>
        <v>2.0396535229872232</v>
      </c>
    </row>
    <row r="11" spans="2:7" ht="15.75" thickBot="1" x14ac:dyDescent="0.3"/>
    <row r="12" spans="2:7" ht="15.75" thickBot="1" x14ac:dyDescent="0.3">
      <c r="B12" s="254" t="s">
        <v>404</v>
      </c>
      <c r="C12" s="255">
        <v>2008</v>
      </c>
      <c r="D12" s="255">
        <v>2009</v>
      </c>
      <c r="E12" s="255">
        <v>2010</v>
      </c>
      <c r="F12" s="255">
        <v>2011</v>
      </c>
      <c r="G12" s="256">
        <v>2012</v>
      </c>
    </row>
    <row r="13" spans="2:7" x14ac:dyDescent="0.25">
      <c r="B13" s="257" t="s">
        <v>405</v>
      </c>
      <c r="C13" s="258">
        <f>'Výkazy ZZ'!E33</f>
        <v>422376</v>
      </c>
      <c r="D13" s="258">
        <f>'Výkazy ZZ'!F33</f>
        <v>378793</v>
      </c>
      <c r="E13" s="258">
        <f>'Výkazy ZZ'!G33</f>
        <v>314726</v>
      </c>
      <c r="F13" s="258">
        <f>'Výkazy ZZ'!H33</f>
        <v>217708</v>
      </c>
      <c r="G13" s="259">
        <f>'Výkazy ZZ'!I33</f>
        <v>201278</v>
      </c>
    </row>
    <row r="14" spans="2:7" x14ac:dyDescent="0.25">
      <c r="B14" s="260" t="s">
        <v>228</v>
      </c>
      <c r="C14" s="245">
        <f>'Pomocná data'!C6</f>
        <v>5019447</v>
      </c>
      <c r="D14" s="245">
        <f>'Pomocná data'!D6</f>
        <v>4907340</v>
      </c>
      <c r="E14" s="245">
        <f>'Pomocná data'!E6</f>
        <v>3976370</v>
      </c>
      <c r="F14" s="245">
        <f>'Pomocná data'!F6</f>
        <v>3504979</v>
      </c>
      <c r="G14" s="246">
        <f>'Pomocná data'!G6</f>
        <v>3622481</v>
      </c>
    </row>
    <row r="15" spans="2:7" ht="15.75" thickBot="1" x14ac:dyDescent="0.3">
      <c r="B15" s="261" t="s">
        <v>406</v>
      </c>
      <c r="C15" s="262"/>
      <c r="D15" s="263" t="str">
        <f>ROUND((D14*(D13-C13))/(D13*(D14-C14)),2) &amp; "%"</f>
        <v>5,04%</v>
      </c>
      <c r="E15" s="263" t="str">
        <f t="shared" ref="E15:G15" si="2">ROUND((E14*(E13-D13))/(E13*(E14-D14)),2) &amp; "%"</f>
        <v>0,87%</v>
      </c>
      <c r="F15" s="263" t="str">
        <f t="shared" si="2"/>
        <v>3,31%</v>
      </c>
      <c r="G15" s="264" t="str">
        <f t="shared" si="2"/>
        <v>-2,52%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B1:G30"/>
  <sheetViews>
    <sheetView showGridLines="0" zoomScale="85" zoomScaleNormal="85" workbookViewId="0">
      <selection activeCell="B2" sqref="B2"/>
    </sheetView>
  </sheetViews>
  <sheetFormatPr defaultRowHeight="15" outlineLevelRow="3" x14ac:dyDescent="0.25"/>
  <cols>
    <col min="1" max="1" width="2.5703125" customWidth="1"/>
    <col min="2" max="2" width="37.42578125" bestFit="1" customWidth="1"/>
    <col min="3" max="7" width="12.5703125" customWidth="1"/>
  </cols>
  <sheetData>
    <row r="1" spans="2:7" ht="15.75" thickBot="1" x14ac:dyDescent="0.3"/>
    <row r="2" spans="2:7" x14ac:dyDescent="0.25">
      <c r="B2" s="265" t="s">
        <v>407</v>
      </c>
      <c r="C2" s="30">
        <v>2015</v>
      </c>
      <c r="D2" s="30">
        <v>2016</v>
      </c>
      <c r="E2" s="30">
        <v>2017</v>
      </c>
      <c r="F2" s="30">
        <v>2018</v>
      </c>
      <c r="G2" s="31">
        <v>2019</v>
      </c>
    </row>
    <row r="3" spans="2:7" ht="15.75" thickBot="1" x14ac:dyDescent="0.3">
      <c r="B3" s="266" t="s">
        <v>408</v>
      </c>
      <c r="C3" s="281">
        <f>C6/C18</f>
        <v>0.22588394398277489</v>
      </c>
      <c r="D3" s="281">
        <f t="shared" ref="D3:G3" si="0">D6/D18</f>
        <v>0.19111348813302678</v>
      </c>
      <c r="E3" s="281">
        <f t="shared" si="0"/>
        <v>0.14746535628674901</v>
      </c>
      <c r="F3" s="281">
        <f t="shared" si="0"/>
        <v>0.12590253871902987</v>
      </c>
      <c r="G3" s="282">
        <f t="shared" si="0"/>
        <v>0.13891626076806757</v>
      </c>
    </row>
    <row r="4" spans="2:7" ht="16.5" collapsed="1" thickTop="1" thickBot="1" x14ac:dyDescent="0.3">
      <c r="B4" s="267" t="s">
        <v>409</v>
      </c>
      <c r="C4" s="283">
        <f>C6/SUM(C14,C11)</f>
        <v>6.0512634109862087E-2</v>
      </c>
      <c r="D4" s="283">
        <f t="shared" ref="D4:G4" si="1">D6/SUM(D14,D11)</f>
        <v>6.1921235346063794E-2</v>
      </c>
      <c r="E4" s="283">
        <f t="shared" si="1"/>
        <v>5.4425406389255006E-2</v>
      </c>
      <c r="F4" s="283">
        <f t="shared" si="1"/>
        <v>5.0219630310418241E-2</v>
      </c>
      <c r="G4" s="284">
        <f t="shared" si="1"/>
        <v>5.6444618408911448E-2</v>
      </c>
    </row>
    <row r="5" spans="2:7" ht="15.75" hidden="1" outlineLevel="1" thickTop="1" x14ac:dyDescent="0.25">
      <c r="B5" s="270" t="s">
        <v>421</v>
      </c>
      <c r="C5" s="285">
        <f>C6/C7</f>
        <v>6.0695132352229238E-2</v>
      </c>
      <c r="D5" s="285">
        <f t="shared" ref="D5:G5" si="2">D6/D7</f>
        <v>5.6068664490334888E-2</v>
      </c>
      <c r="E5" s="285">
        <f t="shared" si="2"/>
        <v>5.4519574385683424E-2</v>
      </c>
      <c r="F5" s="285">
        <f t="shared" si="2"/>
        <v>5.290416861270781E-2</v>
      </c>
      <c r="G5" s="286">
        <f t="shared" si="2"/>
        <v>5.7363723922913605E-2</v>
      </c>
    </row>
    <row r="6" spans="2:7" hidden="1" outlineLevel="2" x14ac:dyDescent="0.25">
      <c r="B6" s="268" t="s">
        <v>410</v>
      </c>
      <c r="C6" s="245">
        <f>'Výkazy ZZ'!E58</f>
        <v>304656</v>
      </c>
      <c r="D6" s="245">
        <f>'Výkazy ZZ'!F58</f>
        <v>275148</v>
      </c>
      <c r="E6" s="245">
        <f>'Výkazy ZZ'!G58</f>
        <v>216790</v>
      </c>
      <c r="F6" s="245">
        <f>'Výkazy ZZ'!H58</f>
        <v>185428</v>
      </c>
      <c r="G6" s="246">
        <f>'Výkazy ZZ'!I58</f>
        <v>207799</v>
      </c>
    </row>
    <row r="7" spans="2:7" hidden="1" outlineLevel="2" x14ac:dyDescent="0.25">
      <c r="B7" s="268" t="s">
        <v>228</v>
      </c>
      <c r="C7" s="245">
        <f>'Pomocná data'!C6</f>
        <v>5019447</v>
      </c>
      <c r="D7" s="245">
        <f>'Pomocná data'!D6</f>
        <v>4907340</v>
      </c>
      <c r="E7" s="245">
        <f>'Pomocná data'!E6</f>
        <v>3976370</v>
      </c>
      <c r="F7" s="245">
        <f>'Pomocná data'!F6</f>
        <v>3504979</v>
      </c>
      <c r="G7" s="246">
        <f>'Pomocná data'!G6</f>
        <v>3622481</v>
      </c>
    </row>
    <row r="8" spans="2:7" ht="15.75" hidden="1" outlineLevel="1" thickBot="1" x14ac:dyDescent="0.3">
      <c r="B8" s="271" t="s">
        <v>411</v>
      </c>
      <c r="C8" s="287">
        <f>C10/SUM(C11,C14)</f>
        <v>0.99699319804909436</v>
      </c>
      <c r="D8" s="287">
        <f t="shared" ref="D8:G8" si="3">D10/SUM(D11,D14)</f>
        <v>1.104382205442717</v>
      </c>
      <c r="E8" s="287">
        <f t="shared" si="3"/>
        <v>0.99827276721270319</v>
      </c>
      <c r="F8" s="287">
        <f t="shared" si="3"/>
        <v>0.94925658274790981</v>
      </c>
      <c r="G8" s="288">
        <f t="shared" si="3"/>
        <v>0.98397758284944559</v>
      </c>
    </row>
    <row r="9" spans="2:7" ht="16.5" hidden="1" outlineLevel="2" thickTop="1" thickBot="1" x14ac:dyDescent="0.3">
      <c r="B9" s="267" t="s">
        <v>412</v>
      </c>
      <c r="C9" s="289">
        <f>C10/C11</f>
        <v>5.1552941563130039</v>
      </c>
      <c r="D9" s="289">
        <f t="shared" ref="D9:G9" si="4">D10/D11</f>
        <v>5.5212164511174988</v>
      </c>
      <c r="E9" s="289">
        <f t="shared" si="4"/>
        <v>4.0873665253627509</v>
      </c>
      <c r="F9" s="289">
        <f t="shared" si="4"/>
        <v>4.729778893319569</v>
      </c>
      <c r="G9" s="290">
        <f t="shared" si="4"/>
        <v>4.7403256283826929</v>
      </c>
    </row>
    <row r="10" spans="2:7" ht="15.75" hidden="1" outlineLevel="3" thickTop="1" x14ac:dyDescent="0.25">
      <c r="B10" s="268" t="s">
        <v>228</v>
      </c>
      <c r="C10" s="245">
        <f>'Pomocná data'!C6</f>
        <v>5019447</v>
      </c>
      <c r="D10" s="245">
        <f>'Pomocná data'!D6</f>
        <v>4907340</v>
      </c>
      <c r="E10" s="245">
        <f>'Pomocná data'!E6</f>
        <v>3976370</v>
      </c>
      <c r="F10" s="245">
        <f>'Pomocná data'!F6</f>
        <v>3504979</v>
      </c>
      <c r="G10" s="246">
        <f>'Pomocná data'!G6</f>
        <v>3622481</v>
      </c>
    </row>
    <row r="11" spans="2:7" hidden="1" outlineLevel="3" x14ac:dyDescent="0.25">
      <c r="B11" s="268" t="s">
        <v>413</v>
      </c>
      <c r="C11" s="245">
        <f>Rozvahy!E6</f>
        <v>973649</v>
      </c>
      <c r="D11" s="245">
        <f>Rozvahy!F6</f>
        <v>888815</v>
      </c>
      <c r="E11" s="245">
        <f>Rozvahy!G6</f>
        <v>972844</v>
      </c>
      <c r="F11" s="245">
        <f>Rozvahy!H6</f>
        <v>741045</v>
      </c>
      <c r="G11" s="246">
        <f>Rozvahy!I6</f>
        <v>764184</v>
      </c>
    </row>
    <row r="12" spans="2:7" ht="15.75" hidden="1" outlineLevel="2" thickBot="1" x14ac:dyDescent="0.3">
      <c r="B12" s="266" t="s">
        <v>414</v>
      </c>
      <c r="C12" s="291">
        <f>C13/C14</f>
        <v>1.2360320379341116</v>
      </c>
      <c r="D12" s="291">
        <f t="shared" ref="D12:G12" si="5">D13/D14</f>
        <v>1.3805211746360664</v>
      </c>
      <c r="E12" s="291">
        <f t="shared" si="5"/>
        <v>1.3208749916124269</v>
      </c>
      <c r="F12" s="291">
        <f t="shared" si="5"/>
        <v>1.187606732770959</v>
      </c>
      <c r="G12" s="292">
        <f t="shared" si="5"/>
        <v>1.2417310901959118</v>
      </c>
    </row>
    <row r="13" spans="2:7" ht="15.75" hidden="1" outlineLevel="3" thickTop="1" x14ac:dyDescent="0.25">
      <c r="B13" s="268" t="s">
        <v>228</v>
      </c>
      <c r="C13" s="245">
        <f>'Pomocná data'!C6</f>
        <v>5019447</v>
      </c>
      <c r="D13" s="245">
        <f>'Pomocná data'!D6</f>
        <v>4907340</v>
      </c>
      <c r="E13" s="245">
        <f>'Pomocná data'!E6</f>
        <v>3976370</v>
      </c>
      <c r="F13" s="245">
        <f>'Pomocná data'!F6</f>
        <v>3504979</v>
      </c>
      <c r="G13" s="246">
        <f>'Pomocná data'!G6</f>
        <v>3622481</v>
      </c>
    </row>
    <row r="14" spans="2:7" hidden="1" outlineLevel="3" x14ac:dyDescent="0.25">
      <c r="B14" s="268" t="s">
        <v>46</v>
      </c>
      <c r="C14" s="245">
        <f>Rozvahy!E40</f>
        <v>4060936</v>
      </c>
      <c r="D14" s="245">
        <f>Rozvahy!F40</f>
        <v>3554701</v>
      </c>
      <c r="E14" s="245">
        <f>Rozvahy!G40</f>
        <v>3010406</v>
      </c>
      <c r="F14" s="245">
        <f>Rozvahy!H40</f>
        <v>2951296</v>
      </c>
      <c r="G14" s="246">
        <f>Rozvahy!I40</f>
        <v>2917283</v>
      </c>
    </row>
    <row r="15" spans="2:7" ht="16.5" collapsed="1" thickTop="1" thickBot="1" x14ac:dyDescent="0.3">
      <c r="B15" s="271" t="s">
        <v>415</v>
      </c>
      <c r="C15" s="287">
        <f>SUM(C17:C18)/C18</f>
        <v>3.7153948016204899</v>
      </c>
      <c r="D15" s="287">
        <f t="shared" ref="D15:G15" si="6">SUM(D17:D18)/D18</f>
        <v>3.0785213688867898</v>
      </c>
      <c r="E15" s="287">
        <f t="shared" si="6"/>
        <v>2.6865652047332578</v>
      </c>
      <c r="F15" s="287">
        <f t="shared" si="6"/>
        <v>2.5140047121449767</v>
      </c>
      <c r="G15" s="288">
        <f t="shared" si="6"/>
        <v>2.4751473736143406</v>
      </c>
    </row>
    <row r="16" spans="2:7" ht="16.5" hidden="1" outlineLevel="3" thickTop="1" thickBot="1" x14ac:dyDescent="0.3">
      <c r="B16" s="267" t="s">
        <v>416</v>
      </c>
      <c r="C16" s="289">
        <f>C17/C18</f>
        <v>2.7153948016204899</v>
      </c>
      <c r="D16" s="289">
        <f t="shared" ref="D16:G16" si="7">D17/D18</f>
        <v>2.0785213688867898</v>
      </c>
      <c r="E16" s="289">
        <f t="shared" si="7"/>
        <v>1.6865652047332578</v>
      </c>
      <c r="F16" s="289">
        <f t="shared" si="7"/>
        <v>1.5140047121449765</v>
      </c>
      <c r="G16" s="290">
        <f t="shared" si="7"/>
        <v>1.4751473736143403</v>
      </c>
    </row>
    <row r="17" spans="2:7" ht="15.75" hidden="1" outlineLevel="3" thickTop="1" x14ac:dyDescent="0.25">
      <c r="B17" s="268" t="s">
        <v>417</v>
      </c>
      <c r="C17" s="245">
        <f>Rozvahy!E104</f>
        <v>3662329</v>
      </c>
      <c r="D17" s="245">
        <f>Rozvahy!F104</f>
        <v>2992468</v>
      </c>
      <c r="E17" s="245">
        <f>Rozvahy!G104</f>
        <v>2479433</v>
      </c>
      <c r="F17" s="245">
        <f>Rozvahy!H104</f>
        <v>2229811</v>
      </c>
      <c r="G17" s="246">
        <f>Rozvahy!I104</f>
        <v>2206611</v>
      </c>
    </row>
    <row r="18" spans="2:7" ht="15.75" hidden="1" outlineLevel="3" thickBot="1" x14ac:dyDescent="0.3">
      <c r="B18" s="269" t="s">
        <v>399</v>
      </c>
      <c r="C18" s="293">
        <f>Rozvahy!E82</f>
        <v>1348728</v>
      </c>
      <c r="D18" s="293">
        <f>Rozvahy!F82</f>
        <v>1439710</v>
      </c>
      <c r="E18" s="293">
        <f>Rozvahy!G82</f>
        <v>1470108</v>
      </c>
      <c r="F18" s="293">
        <f>Rozvahy!H82</f>
        <v>1472790</v>
      </c>
      <c r="G18" s="294">
        <f>Rozvahy!I82</f>
        <v>1495858</v>
      </c>
    </row>
    <row r="19" spans="2:7" ht="15.75" thickTop="1" x14ac:dyDescent="0.25"/>
    <row r="20" spans="2:7" ht="15.75" thickBot="1" x14ac:dyDescent="0.3"/>
    <row r="21" spans="2:7" ht="15.75" thickBot="1" x14ac:dyDescent="0.3">
      <c r="B21" s="273" t="s">
        <v>418</v>
      </c>
      <c r="C21" s="274">
        <v>2016</v>
      </c>
      <c r="D21" s="274">
        <v>2017</v>
      </c>
      <c r="E21" s="274">
        <v>2018</v>
      </c>
      <c r="F21" s="275">
        <v>2019</v>
      </c>
    </row>
    <row r="22" spans="2:7" ht="15.75" thickBot="1" x14ac:dyDescent="0.3">
      <c r="B22" s="278" t="s">
        <v>419</v>
      </c>
      <c r="C22" s="295">
        <f>(D3-C3)/C3</f>
        <v>-0.15393062134774654</v>
      </c>
      <c r="D22" s="295">
        <f t="shared" ref="D22:F22" si="8">(E3-D3)/D3</f>
        <v>-0.2283885468925981</v>
      </c>
      <c r="E22" s="295">
        <f t="shared" si="8"/>
        <v>-0.14622293744565912</v>
      </c>
      <c r="F22" s="296">
        <f t="shared" si="8"/>
        <v>0.10336346019264743</v>
      </c>
    </row>
    <row r="23" spans="2:7" ht="15.75" thickTop="1" x14ac:dyDescent="0.25">
      <c r="B23" s="279" t="s">
        <v>420</v>
      </c>
      <c r="C23" s="297">
        <f>D3/C3</f>
        <v>0.84606937865225351</v>
      </c>
      <c r="D23" s="297">
        <f t="shared" ref="D23:F23" si="9">E3/D3</f>
        <v>0.77161145310740187</v>
      </c>
      <c r="E23" s="297">
        <f t="shared" si="9"/>
        <v>0.85377706255434094</v>
      </c>
      <c r="F23" s="298">
        <f t="shared" si="9"/>
        <v>1.1033634601926474</v>
      </c>
    </row>
    <row r="24" spans="2:7" x14ac:dyDescent="0.25">
      <c r="B24" s="276" t="s">
        <v>422</v>
      </c>
      <c r="C24" s="16">
        <f>D5/C5</f>
        <v>0.92377530647687223</v>
      </c>
      <c r="D24" s="16">
        <f t="shared" ref="D24:F24" si="10">E5/D5</f>
        <v>0.97237155336705949</v>
      </c>
      <c r="E24" s="16">
        <f t="shared" si="10"/>
        <v>0.97037016904152851</v>
      </c>
      <c r="F24" s="17">
        <f t="shared" si="10"/>
        <v>1.0842949700779267</v>
      </c>
    </row>
    <row r="25" spans="2:7" x14ac:dyDescent="0.25">
      <c r="B25" s="276" t="s">
        <v>423</v>
      </c>
      <c r="C25" s="16">
        <f>D8/C8</f>
        <v>1.1077128786873975</v>
      </c>
      <c r="D25" s="16">
        <f t="shared" ref="D25:F25" si="11">E8/D8</f>
        <v>0.90391964149089365</v>
      </c>
      <c r="E25" s="16">
        <f t="shared" si="11"/>
        <v>0.9508990066896722</v>
      </c>
      <c r="F25" s="17">
        <f t="shared" si="11"/>
        <v>1.036577044323491</v>
      </c>
    </row>
    <row r="26" spans="2:7" ht="15.75" thickBot="1" x14ac:dyDescent="0.3">
      <c r="B26" s="280" t="s">
        <v>424</v>
      </c>
      <c r="C26" s="299">
        <f>D15/C15</f>
        <v>0.82858526031852009</v>
      </c>
      <c r="D26" s="299">
        <f t="shared" ref="D26:F26" si="12">E15/D15</f>
        <v>0.87268038217474986</v>
      </c>
      <c r="E26" s="299">
        <f t="shared" si="12"/>
        <v>0.93576910313426986</v>
      </c>
      <c r="F26" s="300">
        <f t="shared" si="12"/>
        <v>0.984543649284777</v>
      </c>
    </row>
    <row r="27" spans="2:7" ht="15.75" thickTop="1" x14ac:dyDescent="0.25">
      <c r="B27" s="276" t="s">
        <v>425</v>
      </c>
      <c r="C27" s="16">
        <f>C22*(LN(C24)/LN(C23))</f>
        <v>-7.3014183542946101E-2</v>
      </c>
      <c r="D27" s="16">
        <f t="shared" ref="D27:F27" si="13">D22*(LN(D24)/LN(D23))</f>
        <v>-2.4679777236950182E-2</v>
      </c>
      <c r="E27" s="16">
        <f t="shared" si="13"/>
        <v>-2.7820725937841496E-2</v>
      </c>
      <c r="F27" s="17">
        <f t="shared" si="13"/>
        <v>8.504402197366491E-2</v>
      </c>
    </row>
    <row r="28" spans="2:7" x14ac:dyDescent="0.25">
      <c r="B28" s="276" t="s">
        <v>426</v>
      </c>
      <c r="C28" s="16">
        <f>C22*LN(C25)/LN(C23)</f>
        <v>9.4204825728148589E-2</v>
      </c>
      <c r="D28" s="16">
        <f t="shared" ref="D28:F28" si="14">D22*LN(D25)/LN(D23)</f>
        <v>-8.8981590805233754E-2</v>
      </c>
      <c r="E28" s="16">
        <f t="shared" si="14"/>
        <v>-4.6569501096463392E-2</v>
      </c>
      <c r="F28" s="17">
        <f t="shared" si="14"/>
        <v>3.7750162704558547E-2</v>
      </c>
    </row>
    <row r="29" spans="2:7" ht="15.75" thickBot="1" x14ac:dyDescent="0.3">
      <c r="B29" s="277" t="s">
        <v>427</v>
      </c>
      <c r="C29" s="18">
        <f>C22*LN(C26)/LN(C23)</f>
        <v>-0.17316033097506264</v>
      </c>
      <c r="D29" s="18">
        <f t="shared" ref="D29:F29" si="15">D22*LN(D26)/LN(D23)</f>
        <v>-0.11996298232402304</v>
      </c>
      <c r="E29" s="18">
        <f t="shared" si="15"/>
        <v>-6.1405074267629318E-2</v>
      </c>
      <c r="F29" s="19">
        <f t="shared" si="15"/>
        <v>-1.6368898307215045E-2</v>
      </c>
    </row>
    <row r="30" spans="2:7" x14ac:dyDescent="0.25">
      <c r="C30" s="272"/>
      <c r="D30" s="272"/>
      <c r="E30" s="272"/>
      <c r="F30" s="27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Rozvahy</vt:lpstr>
      <vt:lpstr>Výkazy ZZ</vt:lpstr>
      <vt:lpstr>Pomocná data</vt:lpstr>
      <vt:lpstr>Rozvahy V+H</vt:lpstr>
      <vt:lpstr>Výkazy ZZ V+H</vt:lpstr>
      <vt:lpstr>Poměrové ukazatele</vt:lpstr>
      <vt:lpstr>Finanční a provozní páka</vt:lpstr>
      <vt:lpstr>Du Pont</vt:lpstr>
    </vt:vector>
  </TitlesOfParts>
  <Company>Ekonomicko-správní fakulta Masarykovy univerzity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A. Richter</dc:creator>
  <cp:lastModifiedBy>J.A. R.</cp:lastModifiedBy>
  <cp:lastPrinted>2014-03-03T19:28:07Z</cp:lastPrinted>
  <dcterms:created xsi:type="dcterms:W3CDTF">2014-03-03T19:28:02Z</dcterms:created>
  <dcterms:modified xsi:type="dcterms:W3CDTF">2022-02-22T15:17:49Z</dcterms:modified>
</cp:coreProperties>
</file>