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254893_muni_cz/Documents/MUNI_AKTUAL/výuka/Environmentální aspekty regionálního rozvoje/jaro 2024/2 Hodnocení projektů a životní prostředí/"/>
    </mc:Choice>
  </mc:AlternateContent>
  <xr:revisionPtr revIDLastSave="7" documentId="8_{F8255570-FA90-48B8-8D77-4960FEFE3F93}" xr6:coauthVersionLast="45" xr6:coauthVersionMax="47" xr10:uidLastSave="{A965B120-BC38-43EB-B5B3-7BBC75E78823}"/>
  <bookViews>
    <workbookView xWindow="-120" yWindow="-120" windowWidth="29040" windowHeight="15840" xr2:uid="{A1E622E2-3DA9-4792-BA1E-8F7555776FD2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B41" i="1" l="1"/>
  <c r="B42" i="1" s="1"/>
  <c r="B56" i="1"/>
  <c r="D35" i="1"/>
  <c r="C35" i="1"/>
  <c r="C41" i="1" s="1"/>
  <c r="F53" i="1"/>
  <c r="F54" i="1" s="1"/>
  <c r="E53" i="1"/>
  <c r="E54" i="1" s="1"/>
  <c r="D53" i="1"/>
  <c r="D54" i="1" s="1"/>
  <c r="C53" i="1"/>
  <c r="C54" i="1" s="1"/>
  <c r="C56" i="1" s="1"/>
  <c r="C42" i="1" l="1"/>
  <c r="D56" i="1"/>
  <c r="E56" i="1" s="1"/>
  <c r="F56" i="1" s="1"/>
  <c r="D41" i="1"/>
  <c r="E35" i="1"/>
  <c r="E41" i="1" s="1"/>
  <c r="F35" i="1"/>
  <c r="F41" i="1" s="1"/>
  <c r="F28" i="1"/>
  <c r="F27" i="1"/>
  <c r="F26" i="1"/>
  <c r="F25" i="1"/>
  <c r="F24" i="1"/>
  <c r="F23" i="1"/>
  <c r="F22" i="1"/>
  <c r="E28" i="1"/>
  <c r="E27" i="1"/>
  <c r="E26" i="1"/>
  <c r="E25" i="1"/>
  <c r="E24" i="1"/>
  <c r="E23" i="1"/>
  <c r="E22" i="1"/>
  <c r="D28" i="1"/>
  <c r="D27" i="1"/>
  <c r="D26" i="1"/>
  <c r="D25" i="1"/>
  <c r="D24" i="1"/>
  <c r="D23" i="1"/>
  <c r="D22" i="1"/>
  <c r="C28" i="1"/>
  <c r="C27" i="1"/>
  <c r="C26" i="1"/>
  <c r="C25" i="1"/>
  <c r="C24" i="1"/>
  <c r="C23" i="1"/>
  <c r="C22" i="1"/>
  <c r="J22" i="1"/>
  <c r="J21" i="1"/>
  <c r="J20" i="1"/>
  <c r="J16" i="1"/>
  <c r="J17" i="1" s="1"/>
  <c r="J8" i="1"/>
  <c r="J7" i="1"/>
  <c r="J6" i="1"/>
  <c r="B11" i="1"/>
  <c r="B10" i="1"/>
  <c r="B9" i="1"/>
  <c r="B8" i="1"/>
  <c r="B6" i="1"/>
  <c r="D42" i="1" l="1"/>
  <c r="J23" i="1"/>
  <c r="E29" i="1"/>
  <c r="J10" i="1"/>
  <c r="D29" i="1"/>
  <c r="F29" i="1"/>
  <c r="C29" i="1"/>
  <c r="D16" i="1"/>
  <c r="E16" i="1"/>
  <c r="F16" i="1"/>
  <c r="C16" i="1"/>
  <c r="E42" i="1" l="1"/>
  <c r="F42" i="1" s="1"/>
  <c r="B16" i="1"/>
</calcChain>
</file>

<file path=xl/sharedStrings.xml><?xml version="1.0" encoding="utf-8"?>
<sst xmlns="http://schemas.openxmlformats.org/spreadsheetml/2006/main" count="90" uniqueCount="52">
  <si>
    <t>a)Investiční náklady projektu obce</t>
  </si>
  <si>
    <t>Položka / rok hodnocení</t>
  </si>
  <si>
    <t>0</t>
  </si>
  <si>
    <t>1</t>
  </si>
  <si>
    <t>2</t>
  </si>
  <si>
    <t>3</t>
  </si>
  <si>
    <t>4</t>
  </si>
  <si>
    <t>Provozní náklady</t>
  </si>
  <si>
    <t>Částka v Kč/rok</t>
  </si>
  <si>
    <t>Pozemek</t>
  </si>
  <si>
    <t>Náklady na energie</t>
  </si>
  <si>
    <t>Zpevnění plochy 1700/m2 (celkem 200 m2)</t>
  </si>
  <si>
    <t>Energie světlo</t>
  </si>
  <si>
    <t>Brána</t>
  </si>
  <si>
    <t xml:space="preserve">Náklady na opravy a údržbu 180 Kč/m2 </t>
  </si>
  <si>
    <t>Oplocení 150Kč /m(celkem 60m)</t>
  </si>
  <si>
    <t>Plat zaměstnance Kč/rok</t>
  </si>
  <si>
    <t>Lampa 30000 Kč/kus</t>
  </si>
  <si>
    <t>Plat zaměstnance osobní náklady</t>
  </si>
  <si>
    <t>Kontejner plast 30 000Kč /kus</t>
  </si>
  <si>
    <t>Kontejner papír 25000Kč /kus</t>
  </si>
  <si>
    <t>Box elekktroodpad</t>
  </si>
  <si>
    <t>Společenské náklady ročně</t>
  </si>
  <si>
    <t>Přístřešek pro zaměstnance</t>
  </si>
  <si>
    <t>Mobilní WC</t>
  </si>
  <si>
    <t>Společenské přínosy</t>
  </si>
  <si>
    <t>Příspěvek kraje</t>
  </si>
  <si>
    <t>Odvody zaměstnance</t>
  </si>
  <si>
    <t>Celkem</t>
  </si>
  <si>
    <t>Recyklace 1 tuna /200 Kč</t>
  </si>
  <si>
    <t>b) Čisté provozní cash-flow (neuvažujeme inflaci)</t>
  </si>
  <si>
    <t>Přínosy ročně</t>
  </si>
  <si>
    <t>Položka /rok hodnocení</t>
  </si>
  <si>
    <t>Recyklace papíru 1 tuna / 1200 Kč</t>
  </si>
  <si>
    <t>Recyklace plastu 1 tuna / 1900 Kč</t>
  </si>
  <si>
    <t>Recyklace elektroodpad 1 tuna / 700 Kč</t>
  </si>
  <si>
    <t>c) Čisté provozní diskontované cash-flow (4 %)</t>
  </si>
  <si>
    <t>Celkové cash flow</t>
  </si>
  <si>
    <t>Cash flow diskontované</t>
  </si>
  <si>
    <t>d) Finanční udržitelnost projektu</t>
  </si>
  <si>
    <t>Investiční náklady</t>
  </si>
  <si>
    <t>Kumulované cash flow</t>
  </si>
  <si>
    <r>
      <rPr>
        <b/>
        <sz val="11"/>
        <color theme="1"/>
        <rFont val="Calibri"/>
        <family val="2"/>
        <charset val="238"/>
        <scheme val="minor"/>
      </rPr>
      <t>e) Doba návratnosti</t>
    </r>
    <r>
      <rPr>
        <sz val="11"/>
        <color theme="1"/>
        <rFont val="Calibri"/>
        <family val="2"/>
        <charset val="238"/>
        <scheme val="minor"/>
      </rPr>
      <t xml:space="preserve"> - podle analýzy finanční udržitelnosti projektu lze zhodnotit, že doba návratnosti je déle než 4 roky, jelikož kumulovaný součet hotovostních toků je po celou dobu hodnocení projektu záporný.  </t>
    </r>
  </si>
  <si>
    <r>
      <rPr>
        <b/>
        <sz val="11"/>
        <color theme="1"/>
        <rFont val="Calibri"/>
        <family val="2"/>
        <charset val="238"/>
        <scheme val="minor"/>
      </rPr>
      <t>Čistá současná hodnota</t>
    </r>
    <r>
      <rPr>
        <sz val="11"/>
        <color theme="1"/>
        <rFont val="Calibri"/>
        <family val="2"/>
        <charset val="238"/>
        <scheme val="minor"/>
      </rPr>
      <t xml:space="preserve"> - NPV je v posledním roce hodnocení projektu -11 222 Kč, což znamená, že projekt není přijatelný.</t>
    </r>
  </si>
  <si>
    <t>f) Ekonomická analýza</t>
  </si>
  <si>
    <t>Celkové cash flow provozní</t>
  </si>
  <si>
    <t>Společenské náklady</t>
  </si>
  <si>
    <t>Cash flow celkem</t>
  </si>
  <si>
    <t>Cash flow celkem diskontované</t>
  </si>
  <si>
    <r>
      <t xml:space="preserve">g) Doba návratnosti - </t>
    </r>
    <r>
      <rPr>
        <sz val="11"/>
        <color theme="1"/>
        <rFont val="Calibri"/>
        <family val="2"/>
        <charset val="238"/>
        <scheme val="minor"/>
      </rPr>
      <t>podle ekonomické analýzy lze zhodnotit, že doba návratnosti projektu jsou 3 roky, jelikož ve třetím roce je kumulovaný součet hotovostních toků poprvé kladný.</t>
    </r>
  </si>
  <si>
    <r>
      <rPr>
        <b/>
        <sz val="11"/>
        <color theme="1"/>
        <rFont val="Calibri"/>
        <family val="2"/>
        <charset val="238"/>
        <scheme val="minor"/>
      </rPr>
      <t>Čistá současná hodnota</t>
    </r>
    <r>
      <rPr>
        <sz val="11"/>
        <color theme="1"/>
        <rFont val="Calibri"/>
        <family val="2"/>
        <charset val="238"/>
        <scheme val="minor"/>
      </rPr>
      <t xml:space="preserve"> - NPV je v posledním roce hodnocení projektu 271 261 Kč, což znamená, že projekt je přijatelný.</t>
    </r>
  </si>
  <si>
    <r>
      <t>h) Dopady projektu</t>
    </r>
    <r>
      <rPr>
        <sz val="11"/>
        <color theme="1"/>
        <rFont val="Calibri"/>
        <family val="2"/>
        <charset val="238"/>
        <scheme val="minor"/>
      </rPr>
      <t xml:space="preserve"> - projekt ovlivní především obyvatele města, primárně obyvatele, kteří budou bydlet v blízkém okolí sběrného střediska. Dopady budou z velké části pozitivní - díky sběrnému středisku je možné, že více osob bude recyklovat, protože mají středisko blízko - to pozitivně ovlivní jak životní prostředí, tak se uvolní prostor v popelnicích na komunální odpad. Zároveň nebudou lidé tak často nechávat odpadky, které patří do sběrného dvora, u popelnic či na nelegálních skládkách. To zlepší vizuální stránku popelnic i města a zároveň to usnadní práci popelářům, takže ti jsou další dotčenou skupinou. Sběrný dvůr také vytvoří jedno pracovní místo, dotčenou osobou bude daný zaměstnanec. Obyvatelé okolí sběrného dvora budou ovlivněni i negativně, a to hlukem a vizuální stránku místa. Další dotčenou skupinou z ekonomického hlediska budou zaměstnanci stavební firmy, která bude mít projekt na starosti, stejně tak i dodavatelé materiálů. Ovlivněno bude i město, které zaplatí méně za likvidaci komunálního odpadu díky většímu prostoru v kontejnerech. Stejně tak ušetří za likvidaci možných skládek (samozřejmě za předpokladu, že budou lidé natolik slušní, že budou sběrný dvůr využívat a nebudou tvořit skládky i tak).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</si>
</sst>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3" fontId="1" fillId="0" borderId="0" xfId="0" applyNumberFormat="1" applyFont="1"/>
    <xf numFmtId="3" fontId="0" fillId="0" borderId="0" xfId="0" applyNumberForma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2" xfId="0" applyBorder="1"/>
    <xf numFmtId="0" fontId="1" fillId="0" borderId="2" xfId="0" applyFont="1" applyBorder="1"/>
    <xf numFmtId="0" fontId="1" fillId="0" borderId="7" xfId="0" applyFont="1" applyBorder="1"/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3" fontId="0" fillId="0" borderId="3" xfId="0" applyNumberForma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1" fontId="1" fillId="0" borderId="3" xfId="0" applyNumberFormat="1" applyFont="1" applyBorder="1"/>
    <xf numFmtId="0" fontId="1" fillId="0" borderId="8" xfId="0" applyFont="1" applyBorder="1"/>
    <xf numFmtId="1" fontId="1" fillId="0" borderId="8" xfId="0" applyNumberFormat="1" applyFont="1" applyBorder="1"/>
    <xf numFmtId="1" fontId="1" fillId="0" borderId="9" xfId="0" applyNumberFormat="1" applyFont="1" applyBorder="1"/>
    <xf numFmtId="1" fontId="0" fillId="0" borderId="3" xfId="0" applyNumberFormat="1" applyBorder="1"/>
    <xf numFmtId="0" fontId="1" fillId="0" borderId="0" xfId="0" applyFont="1" applyAlignment="1">
      <alignment wrapText="1"/>
    </xf>
  </cellXfs>
  <cellStyles count="1">
    <cellStyle name="Normální" xfId="0" builtinId="0"/>
  </cellStyles>
  <dxfs count="32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DDDD"/>
      <color rgb="FFFFB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A26EC5-7320-4CBB-B643-E3ADAC766E66}" name="Tabulka1" displayName="Tabulka1" ref="A4:F16" totalsRowShown="0" headerRowDxfId="31" dataDxfId="29" headerRowBorderDxfId="30" tableBorderDxfId="28" totalsRowBorderDxfId="27">
  <autoFilter ref="A4:F16" xr:uid="{CE4189B1-67C9-449A-A4DE-E7B1C066D3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80ABACA-D374-4036-B86F-960AF0838B34}" name="Položka / rok hodnocení" dataDxfId="26"/>
    <tableColumn id="2" xr3:uid="{DE1852A5-0111-44A6-B7BF-A34B04A8B13D}" name="0" dataDxfId="25"/>
    <tableColumn id="3" xr3:uid="{43AB9F7C-6E46-40AE-BBC3-955F5F2F99CC}" name="1" dataDxfId="24"/>
    <tableColumn id="4" xr3:uid="{7A1133CA-9191-44DD-A8F4-BE235CA87004}" name="2" dataDxfId="23"/>
    <tableColumn id="5" xr3:uid="{33326466-B8DB-426F-9B71-EFBB98E02BE7}" name="3" dataDxfId="22"/>
    <tableColumn id="6" xr3:uid="{67E46AAB-D3CE-4882-92D0-15C6B4DBD40A}" name="4" dataDxfId="2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D6C043-5E98-4D06-93BB-D7EBBC1C7AE9}" name="Tabulka2" displayName="Tabulka2" ref="A20:F29" totalsRowShown="0" headerRowDxfId="20" headerRowBorderDxfId="19" tableBorderDxfId="18" totalsRowBorderDxfId="17">
  <autoFilter ref="A20:F29" xr:uid="{74E856FE-15CB-4D72-BC90-E4D70D5622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4B15A21-DC05-4AE2-B7B2-03616076AD8A}" name="Položka /rok hodnocení" dataDxfId="16"/>
    <tableColumn id="2" xr3:uid="{605D52EF-DFCA-4D2A-93D0-2C49B75661B5}" name="0" dataDxfId="15"/>
    <tableColumn id="3" xr3:uid="{3DC51634-E801-4136-BB15-9FC22324DC0E}" name="1" dataDxfId="14"/>
    <tableColumn id="4" xr3:uid="{B2B45230-BC13-4425-87B2-867DEF36276D}" name="2" dataDxfId="13"/>
    <tableColumn id="5" xr3:uid="{D020FE9A-5D52-49ED-8802-6D5DAF09BCFF}" name="3" dataDxfId="12"/>
    <tableColumn id="6" xr3:uid="{21EE95E4-0C0C-49CE-9492-FE1284A1B331}" name="4" dataDxfId="11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DA9132-E3AB-4096-B427-507A7EFDAA9D}" name="Tabulka3" displayName="Tabulka3" ref="A33:F35" totalsRowShown="0" headerRowDxfId="10" headerRowBorderDxfId="9" tableBorderDxfId="8" totalsRowBorderDxfId="7">
  <autoFilter ref="A33:F35" xr:uid="{F6832BCF-1653-4131-B065-A8AF94892F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1E05DA9-D7AC-4021-82F5-B0F945E50DEF}" name="Položka /rok hodnocení"/>
    <tableColumn id="2" xr3:uid="{CFAD4197-E7DE-4A0B-8ABE-34118B03DE79}" name="0"/>
    <tableColumn id="3" xr3:uid="{535EF8CE-CF02-4036-9693-060D11802CD0}" name="1">
      <calculatedColumnFormula>(1/(1+0.04)^C32)*C33</calculatedColumnFormula>
    </tableColumn>
    <tableColumn id="4" xr3:uid="{4FE7202E-B9B9-4C65-988C-B67F7ACADD2A}" name="2">
      <calculatedColumnFormula>(1/(1+0.04)^D32)*D33</calculatedColumnFormula>
    </tableColumn>
    <tableColumn id="5" xr3:uid="{801630F6-C831-44BA-9836-EB2C971EF826}" name="3">
      <calculatedColumnFormula>(1/(1+0.04)^E32)*E33</calculatedColumnFormula>
    </tableColumn>
    <tableColumn id="6" xr3:uid="{AA74F485-449A-4F71-AAD0-490B18E560BC}" name="4">
      <calculatedColumnFormula>(1/(1+0.04)^F32)*F33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C83891-62EA-4647-A1B8-5B47E67E87E4}" name="Tabulka4" displayName="Tabulka4" ref="A39:F42" totalsRowShown="0" headerRowDxfId="6" headerRowBorderDxfId="5" tableBorderDxfId="4" totalsRowBorderDxfId="3">
  <autoFilter ref="A39:F42" xr:uid="{EC27CF5E-0E68-401D-8F77-357E7E8403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177B9F0-85E6-454C-8B7F-FB3B80E214DF}" name="Položka /rok hodnocení"/>
    <tableColumn id="2" xr3:uid="{966FE9EA-0478-46C0-AEA8-EEE40D96E26E}" name="0"/>
    <tableColumn id="3" xr3:uid="{54F11770-7D9F-4D25-9555-33C6E8A5C3C7}" name="1"/>
    <tableColumn id="4" xr3:uid="{B3BBC534-C038-4B8B-8CC3-C7C8C2325EA8}" name="2"/>
    <tableColumn id="5" xr3:uid="{2327745D-186A-42D4-807A-0A5A9D3E5D8D}" name="3"/>
    <tableColumn id="6" xr3:uid="{CC7CCB21-D04E-4A82-9458-E09CF2CB8048}" name="4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2822A5-CA8E-4E4E-807B-02CE05D1FDDF}" name="Tabulka5" displayName="Tabulka5" ref="A49:F56" totalsRowShown="0" headerRowDxfId="2" headerRowBorderDxfId="1" tableBorderDxfId="0">
  <autoFilter ref="A49:F56" xr:uid="{86EFF6B0-7F64-4D41-80BA-C7455F27F8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C51BD98-6EF7-45F3-802E-2F6501E75BDF}" name="Položka /rok hodnocení"/>
    <tableColumn id="2" xr3:uid="{875301B7-8248-4C61-9E27-C2EE4E7488B9}" name="0"/>
    <tableColumn id="3" xr3:uid="{24BAA7A0-9A55-4370-B40D-3723ACC5B22E}" name="1"/>
    <tableColumn id="4" xr3:uid="{4C1482FE-876B-423F-93E3-A869CC2D1C76}" name="2"/>
    <tableColumn id="5" xr3:uid="{AA301439-825A-4AEF-8466-ED85569C4FD1}" name="3"/>
    <tableColumn id="6" xr3:uid="{4CD2BDB5-8A7F-4B17-A306-06E3C17E7CE0}" name="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4ECA-1280-4047-8137-0B3806D3F5CF}">
  <dimension ref="A2:J63"/>
  <sheetViews>
    <sheetView tabSelected="1" zoomScale="50" zoomScaleNormal="50" workbookViewId="0">
      <selection activeCell="J6" sqref="J6"/>
    </sheetView>
  </sheetViews>
  <sheetFormatPr defaultRowHeight="15" x14ac:dyDescent="0.25"/>
  <cols>
    <col min="1" max="1" width="44.140625" customWidth="1"/>
    <col min="2" max="2" width="10.140625" customWidth="1"/>
    <col min="5" max="5" width="9.140625" customWidth="1"/>
    <col min="8" max="8" width="10" customWidth="1"/>
    <col min="9" max="9" width="36.42578125" customWidth="1"/>
    <col min="10" max="10" width="15.5703125" customWidth="1"/>
    <col min="12" max="12" width="14.7109375" customWidth="1"/>
  </cols>
  <sheetData>
    <row r="2" spans="1:10" x14ac:dyDescent="0.25">
      <c r="A2" s="3" t="s">
        <v>0</v>
      </c>
    </row>
    <row r="4" spans="1:10" x14ac:dyDescent="0.25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4" t="s">
        <v>6</v>
      </c>
      <c r="G4" s="3"/>
      <c r="I4" s="4" t="s">
        <v>7</v>
      </c>
      <c r="J4" s="4" t="s">
        <v>8</v>
      </c>
    </row>
    <row r="5" spans="1:10" x14ac:dyDescent="0.25">
      <c r="A5" s="15" t="s">
        <v>9</v>
      </c>
      <c r="B5" s="16">
        <v>0</v>
      </c>
      <c r="C5" s="16">
        <v>0</v>
      </c>
      <c r="D5" s="16">
        <v>0</v>
      </c>
      <c r="E5" s="16">
        <v>0</v>
      </c>
      <c r="F5" s="17">
        <v>0</v>
      </c>
      <c r="I5" s="1" t="s">
        <v>10</v>
      </c>
      <c r="J5" s="2">
        <v>-5000</v>
      </c>
    </row>
    <row r="6" spans="1:10" x14ac:dyDescent="0.25">
      <c r="A6" s="15" t="s">
        <v>11</v>
      </c>
      <c r="B6" s="18">
        <f>-1700*200</f>
        <v>-340000</v>
      </c>
      <c r="C6" s="16">
        <v>0</v>
      </c>
      <c r="D6" s="16">
        <v>0</v>
      </c>
      <c r="E6" s="16">
        <v>0</v>
      </c>
      <c r="F6" s="17">
        <v>0</v>
      </c>
      <c r="I6" s="1" t="s">
        <v>12</v>
      </c>
      <c r="J6" s="1">
        <f>-3000*2</f>
        <v>-6000</v>
      </c>
    </row>
    <row r="7" spans="1:10" x14ac:dyDescent="0.25">
      <c r="A7" s="15" t="s">
        <v>13</v>
      </c>
      <c r="B7" s="18">
        <v>-10000</v>
      </c>
      <c r="C7" s="16">
        <v>0</v>
      </c>
      <c r="D7" s="16">
        <v>0</v>
      </c>
      <c r="E7" s="16">
        <v>0</v>
      </c>
      <c r="F7" s="17">
        <v>0</v>
      </c>
      <c r="I7" s="1" t="s">
        <v>14</v>
      </c>
      <c r="J7" s="1">
        <f>-180*200</f>
        <v>-36000</v>
      </c>
    </row>
    <row r="8" spans="1:10" x14ac:dyDescent="0.25">
      <c r="A8" s="15" t="s">
        <v>15</v>
      </c>
      <c r="B8" s="18">
        <f>-150*60</f>
        <v>-9000</v>
      </c>
      <c r="C8" s="16">
        <v>0</v>
      </c>
      <c r="D8" s="16">
        <v>0</v>
      </c>
      <c r="E8" s="16">
        <v>0</v>
      </c>
      <c r="F8" s="17">
        <v>0</v>
      </c>
      <c r="I8" s="1" t="s">
        <v>16</v>
      </c>
      <c r="J8" s="1">
        <f>(-20000*12)/100*60</f>
        <v>-144000</v>
      </c>
    </row>
    <row r="9" spans="1:10" x14ac:dyDescent="0.25">
      <c r="A9" s="19" t="s">
        <v>17</v>
      </c>
      <c r="B9" s="18">
        <f>-30000*2</f>
        <v>-60000</v>
      </c>
      <c r="C9" s="16">
        <v>0</v>
      </c>
      <c r="D9" s="16">
        <v>0</v>
      </c>
      <c r="E9" s="16">
        <v>0</v>
      </c>
      <c r="F9" s="17">
        <v>0</v>
      </c>
      <c r="I9" s="1" t="s">
        <v>18</v>
      </c>
      <c r="J9" s="1">
        <f>(-144000/100)*33.8</f>
        <v>-48671.999999999993</v>
      </c>
    </row>
    <row r="10" spans="1:10" x14ac:dyDescent="0.25">
      <c r="A10" s="19" t="s">
        <v>19</v>
      </c>
      <c r="B10" s="18">
        <f>-30000*3</f>
        <v>-90000</v>
      </c>
      <c r="C10" s="16">
        <v>0</v>
      </c>
      <c r="D10" s="16">
        <v>0</v>
      </c>
      <c r="E10" s="16">
        <v>0</v>
      </c>
      <c r="F10" s="17">
        <v>0</v>
      </c>
      <c r="J10" s="5">
        <f>SUM(J5:J9)</f>
        <v>-239672</v>
      </c>
    </row>
    <row r="11" spans="1:10" x14ac:dyDescent="0.25">
      <c r="A11" s="19" t="s">
        <v>20</v>
      </c>
      <c r="B11" s="18">
        <f>-25000*3</f>
        <v>-75000</v>
      </c>
      <c r="C11" s="16">
        <v>0</v>
      </c>
      <c r="D11" s="16">
        <v>0</v>
      </c>
      <c r="E11" s="16">
        <v>0</v>
      </c>
      <c r="F11" s="17">
        <v>0</v>
      </c>
    </row>
    <row r="12" spans="1:10" x14ac:dyDescent="0.25">
      <c r="A12" s="19" t="s">
        <v>21</v>
      </c>
      <c r="B12" s="18">
        <v>-9000</v>
      </c>
      <c r="C12" s="16">
        <v>0</v>
      </c>
      <c r="D12" s="16">
        <v>0</v>
      </c>
      <c r="E12" s="16">
        <v>0</v>
      </c>
      <c r="F12" s="17">
        <v>0</v>
      </c>
      <c r="I12" s="4" t="s">
        <v>22</v>
      </c>
      <c r="J12" s="1">
        <v>-30000</v>
      </c>
    </row>
    <row r="13" spans="1:10" x14ac:dyDescent="0.25">
      <c r="A13" s="19" t="s">
        <v>23</v>
      </c>
      <c r="B13" s="18">
        <v>-80000</v>
      </c>
      <c r="C13" s="16">
        <v>0</v>
      </c>
      <c r="D13" s="16">
        <v>0</v>
      </c>
      <c r="E13" s="16">
        <v>0</v>
      </c>
      <c r="F13" s="17">
        <v>0</v>
      </c>
    </row>
    <row r="14" spans="1:10" x14ac:dyDescent="0.25">
      <c r="A14" s="19" t="s">
        <v>24</v>
      </c>
      <c r="B14" s="18">
        <v>-25000</v>
      </c>
      <c r="C14" s="16">
        <v>0</v>
      </c>
      <c r="D14" s="16">
        <v>0</v>
      </c>
      <c r="E14" s="16">
        <v>0</v>
      </c>
      <c r="F14" s="17">
        <v>0</v>
      </c>
      <c r="I14" s="4" t="s">
        <v>25</v>
      </c>
      <c r="J14" s="4" t="s">
        <v>8</v>
      </c>
    </row>
    <row r="15" spans="1:10" x14ac:dyDescent="0.25">
      <c r="A15" s="19" t="s">
        <v>26</v>
      </c>
      <c r="B15" s="18">
        <v>250000</v>
      </c>
      <c r="C15" s="16">
        <v>0</v>
      </c>
      <c r="D15" s="16">
        <v>0</v>
      </c>
      <c r="E15" s="16">
        <v>0</v>
      </c>
      <c r="F15" s="17">
        <v>0</v>
      </c>
      <c r="I15" s="1" t="s">
        <v>27</v>
      </c>
      <c r="J15" s="1">
        <v>85374</v>
      </c>
    </row>
    <row r="16" spans="1:10" x14ac:dyDescent="0.25">
      <c r="A16" s="20" t="s">
        <v>28</v>
      </c>
      <c r="B16" s="21">
        <f>SUM(B5:B15)</f>
        <v>-448000</v>
      </c>
      <c r="C16" s="22">
        <f>SUM(C5:C15)</f>
        <v>0</v>
      </c>
      <c r="D16" s="22">
        <f t="shared" ref="D16:F16" si="0">SUM(D5:D15)</f>
        <v>0</v>
      </c>
      <c r="E16" s="22">
        <f t="shared" si="0"/>
        <v>0</v>
      </c>
      <c r="F16" s="23">
        <f t="shared" si="0"/>
        <v>0</v>
      </c>
      <c r="I16" s="1" t="s">
        <v>29</v>
      </c>
      <c r="J16" s="1">
        <f>200*240</f>
        <v>48000</v>
      </c>
    </row>
    <row r="17" spans="1:10" x14ac:dyDescent="0.25">
      <c r="J17" s="3">
        <f>SUM(J15:J16)</f>
        <v>133374</v>
      </c>
    </row>
    <row r="18" spans="1:10" x14ac:dyDescent="0.25">
      <c r="A18" s="3" t="s">
        <v>30</v>
      </c>
    </row>
    <row r="19" spans="1:10" x14ac:dyDescent="0.25">
      <c r="I19" s="4" t="s">
        <v>31</v>
      </c>
      <c r="J19" s="4" t="s">
        <v>8</v>
      </c>
    </row>
    <row r="20" spans="1:10" x14ac:dyDescent="0.25">
      <c r="A20" s="26" t="s">
        <v>32</v>
      </c>
      <c r="B20" s="27" t="s">
        <v>2</v>
      </c>
      <c r="C20" s="27" t="s">
        <v>3</v>
      </c>
      <c r="D20" s="27" t="s">
        <v>4</v>
      </c>
      <c r="E20" s="27" t="s">
        <v>5</v>
      </c>
      <c r="F20" s="28" t="s">
        <v>6</v>
      </c>
      <c r="G20" s="3"/>
      <c r="I20" s="1" t="s">
        <v>33</v>
      </c>
      <c r="J20" s="1">
        <f>1200*96</f>
        <v>115200</v>
      </c>
    </row>
    <row r="21" spans="1:10" x14ac:dyDescent="0.25">
      <c r="A21" s="9" t="s">
        <v>10</v>
      </c>
      <c r="B21" s="2">
        <v>0</v>
      </c>
      <c r="C21" s="2">
        <v>-5000</v>
      </c>
      <c r="D21" s="2">
        <v>-5000</v>
      </c>
      <c r="E21" s="2">
        <v>-5000</v>
      </c>
      <c r="F21" s="24">
        <v>-5000</v>
      </c>
      <c r="G21" s="6"/>
      <c r="I21" s="1" t="s">
        <v>34</v>
      </c>
      <c r="J21" s="1">
        <f>1900*120</f>
        <v>228000</v>
      </c>
    </row>
    <row r="22" spans="1:10" x14ac:dyDescent="0.25">
      <c r="A22" s="9" t="s">
        <v>12</v>
      </c>
      <c r="B22" s="2">
        <v>0</v>
      </c>
      <c r="C22" s="1">
        <f>-3000*2</f>
        <v>-6000</v>
      </c>
      <c r="D22" s="1">
        <f>-3000*2</f>
        <v>-6000</v>
      </c>
      <c r="E22" s="1">
        <f>-3000*2</f>
        <v>-6000</v>
      </c>
      <c r="F22" s="25">
        <f>-3000*2</f>
        <v>-6000</v>
      </c>
      <c r="I22" s="1" t="s">
        <v>35</v>
      </c>
      <c r="J22" s="1">
        <f>700*24</f>
        <v>16800</v>
      </c>
    </row>
    <row r="23" spans="1:10" x14ac:dyDescent="0.25">
      <c r="A23" s="9" t="s">
        <v>14</v>
      </c>
      <c r="B23" s="2">
        <v>0</v>
      </c>
      <c r="C23" s="1">
        <f>-180*200</f>
        <v>-36000</v>
      </c>
      <c r="D23" s="1">
        <f>-180*200</f>
        <v>-36000</v>
      </c>
      <c r="E23" s="1">
        <f>-180*200</f>
        <v>-36000</v>
      </c>
      <c r="F23" s="25">
        <f>-180*200</f>
        <v>-36000</v>
      </c>
      <c r="J23" s="3">
        <f>SUM(J20:J22)</f>
        <v>360000</v>
      </c>
    </row>
    <row r="24" spans="1:10" x14ac:dyDescent="0.25">
      <c r="A24" s="9" t="s">
        <v>16</v>
      </c>
      <c r="B24" s="2">
        <v>0</v>
      </c>
      <c r="C24" s="1">
        <f>(-20000*12)/100*60</f>
        <v>-144000</v>
      </c>
      <c r="D24" s="1">
        <f>(-20000*12)/100*60</f>
        <v>-144000</v>
      </c>
      <c r="E24" s="1">
        <f>(-20000*12)/100*60</f>
        <v>-144000</v>
      </c>
      <c r="F24" s="25">
        <f>(-20000*12)/100*60</f>
        <v>-144000</v>
      </c>
    </row>
    <row r="25" spans="1:10" x14ac:dyDescent="0.25">
      <c r="A25" s="9" t="s">
        <v>18</v>
      </c>
      <c r="B25" s="2">
        <v>0</v>
      </c>
      <c r="C25" s="1">
        <f>(-144000/100)*33.8</f>
        <v>-48671.999999999993</v>
      </c>
      <c r="D25" s="1">
        <f>(-144000/100)*33.8</f>
        <v>-48671.999999999993</v>
      </c>
      <c r="E25" s="1">
        <f>(-144000/100)*33.8</f>
        <v>-48671.999999999993</v>
      </c>
      <c r="F25" s="25">
        <f>(-144000/100)*33.8</f>
        <v>-48671.999999999993</v>
      </c>
    </row>
    <row r="26" spans="1:10" x14ac:dyDescent="0.25">
      <c r="A26" s="9" t="s">
        <v>33</v>
      </c>
      <c r="B26" s="2">
        <v>0</v>
      </c>
      <c r="C26" s="1">
        <f>1200*96</f>
        <v>115200</v>
      </c>
      <c r="D26" s="1">
        <f>1200*96</f>
        <v>115200</v>
      </c>
      <c r="E26" s="1">
        <f>1200*96</f>
        <v>115200</v>
      </c>
      <c r="F26" s="25">
        <f>1200*96</f>
        <v>115200</v>
      </c>
      <c r="I26" s="3"/>
    </row>
    <row r="27" spans="1:10" x14ac:dyDescent="0.25">
      <c r="A27" s="9" t="s">
        <v>34</v>
      </c>
      <c r="B27" s="2">
        <v>0</v>
      </c>
      <c r="C27" s="1">
        <f>1900*120</f>
        <v>228000</v>
      </c>
      <c r="D27" s="1">
        <f>1900*120</f>
        <v>228000</v>
      </c>
      <c r="E27" s="1">
        <f>1900*120</f>
        <v>228000</v>
      </c>
      <c r="F27" s="25">
        <f>1900*120</f>
        <v>228000</v>
      </c>
    </row>
    <row r="28" spans="1:10" x14ac:dyDescent="0.25">
      <c r="A28" s="9" t="s">
        <v>35</v>
      </c>
      <c r="B28" s="2">
        <v>0</v>
      </c>
      <c r="C28" s="1">
        <f>700*24</f>
        <v>16800</v>
      </c>
      <c r="D28" s="1">
        <f>700*24</f>
        <v>16800</v>
      </c>
      <c r="E28" s="1">
        <f>700*24</f>
        <v>16800</v>
      </c>
      <c r="F28" s="25">
        <f>700*24</f>
        <v>16800</v>
      </c>
    </row>
    <row r="29" spans="1:10" x14ac:dyDescent="0.25">
      <c r="A29" s="11" t="s">
        <v>28</v>
      </c>
      <c r="B29" s="2">
        <v>0</v>
      </c>
      <c r="C29" s="29">
        <f>SUM(C21:C28)</f>
        <v>120328</v>
      </c>
      <c r="D29" s="29">
        <f>SUM(D21:D28)</f>
        <v>120328</v>
      </c>
      <c r="E29" s="29">
        <f>SUM(E21:E28)</f>
        <v>120328</v>
      </c>
      <c r="F29" s="30">
        <f>SUM(F21:F28)</f>
        <v>120328</v>
      </c>
      <c r="G29" s="5"/>
    </row>
    <row r="31" spans="1:10" x14ac:dyDescent="0.25">
      <c r="A31" s="3" t="s">
        <v>36</v>
      </c>
    </row>
    <row r="33" spans="1:7" x14ac:dyDescent="0.25">
      <c r="A33" s="26" t="s">
        <v>32</v>
      </c>
      <c r="B33" s="27" t="s">
        <v>2</v>
      </c>
      <c r="C33" s="27" t="s">
        <v>3</v>
      </c>
      <c r="D33" s="27" t="s">
        <v>4</v>
      </c>
      <c r="E33" s="27" t="s">
        <v>5</v>
      </c>
      <c r="F33" s="28" t="s">
        <v>6</v>
      </c>
      <c r="G33" s="3"/>
    </row>
    <row r="34" spans="1:7" x14ac:dyDescent="0.25">
      <c r="A34" s="9" t="s">
        <v>37</v>
      </c>
      <c r="B34" s="1">
        <v>0</v>
      </c>
      <c r="C34" s="1">
        <v>120328</v>
      </c>
      <c r="D34" s="1">
        <v>120328</v>
      </c>
      <c r="E34" s="1">
        <v>120328</v>
      </c>
      <c r="F34" s="25">
        <v>120328</v>
      </c>
    </row>
    <row r="35" spans="1:7" x14ac:dyDescent="0.25">
      <c r="A35" s="11" t="s">
        <v>38</v>
      </c>
      <c r="B35" s="32">
        <v>0</v>
      </c>
      <c r="C35" s="32">
        <f t="shared" ref="C35:F35" si="1">(1/(1+0.04)^C33)*C34</f>
        <v>115699.99999999999</v>
      </c>
      <c r="D35" s="32">
        <f>(1/(1+0.04)^D33)*D34</f>
        <v>111249.99999999999</v>
      </c>
      <c r="E35" s="33">
        <f t="shared" si="1"/>
        <v>106971.15384615384</v>
      </c>
      <c r="F35" s="34">
        <f t="shared" si="1"/>
        <v>102856.87869822484</v>
      </c>
    </row>
    <row r="37" spans="1:7" x14ac:dyDescent="0.25">
      <c r="A37" s="3" t="s">
        <v>39</v>
      </c>
    </row>
    <row r="39" spans="1:7" x14ac:dyDescent="0.25">
      <c r="A39" s="26" t="s">
        <v>32</v>
      </c>
      <c r="B39" s="27" t="s">
        <v>2</v>
      </c>
      <c r="C39" s="27" t="s">
        <v>3</v>
      </c>
      <c r="D39" s="27" t="s">
        <v>4</v>
      </c>
      <c r="E39" s="27" t="s">
        <v>5</v>
      </c>
      <c r="F39" s="28" t="s">
        <v>6</v>
      </c>
      <c r="G39" s="3"/>
    </row>
    <row r="40" spans="1:7" x14ac:dyDescent="0.25">
      <c r="A40" s="9" t="s">
        <v>40</v>
      </c>
      <c r="B40" s="1">
        <v>-448000</v>
      </c>
      <c r="C40" s="1">
        <v>0</v>
      </c>
      <c r="D40" s="1">
        <v>0</v>
      </c>
      <c r="E40" s="1">
        <v>0</v>
      </c>
      <c r="F40" s="25">
        <v>0</v>
      </c>
    </row>
    <row r="41" spans="1:7" x14ac:dyDescent="0.25">
      <c r="A41" s="9" t="s">
        <v>38</v>
      </c>
      <c r="B41" s="1">
        <f>B35*1</f>
        <v>0</v>
      </c>
      <c r="C41" s="1">
        <f>C35*1</f>
        <v>115699.99999999999</v>
      </c>
      <c r="D41" s="1">
        <f t="shared" ref="D41:F41" si="2">D35*1</f>
        <v>111249.99999999999</v>
      </c>
      <c r="E41" s="7">
        <f t="shared" si="2"/>
        <v>106971.15384615384</v>
      </c>
      <c r="F41" s="35">
        <f t="shared" si="2"/>
        <v>102856.87869822484</v>
      </c>
    </row>
    <row r="42" spans="1:7" x14ac:dyDescent="0.25">
      <c r="A42" s="11" t="s">
        <v>41</v>
      </c>
      <c r="B42" s="32">
        <f>SUM(B40:B41)</f>
        <v>-448000</v>
      </c>
      <c r="C42" s="32">
        <f xml:space="preserve"> B42+C40+C41</f>
        <v>-332300</v>
      </c>
      <c r="D42" s="32">
        <f xml:space="preserve"> C42+D40+D41</f>
        <v>-221050</v>
      </c>
      <c r="E42" s="33">
        <f t="shared" ref="E42" si="3" xml:space="preserve"> D42+E40+E41</f>
        <v>-114078.84615384616</v>
      </c>
      <c r="F42" s="34">
        <f xml:space="preserve"> E42+F40+F41</f>
        <v>-11221.967455621314</v>
      </c>
    </row>
    <row r="44" spans="1:7" x14ac:dyDescent="0.25">
      <c r="A44" t="s">
        <v>42</v>
      </c>
    </row>
    <row r="45" spans="1:7" x14ac:dyDescent="0.25">
      <c r="A45" t="s">
        <v>43</v>
      </c>
    </row>
    <row r="47" spans="1:7" x14ac:dyDescent="0.25">
      <c r="A47" s="3" t="s">
        <v>44</v>
      </c>
    </row>
    <row r="49" spans="1:9" x14ac:dyDescent="0.25">
      <c r="A49" s="26" t="s">
        <v>32</v>
      </c>
      <c r="B49" s="27" t="s">
        <v>2</v>
      </c>
      <c r="C49" s="27" t="s">
        <v>3</v>
      </c>
      <c r="D49" s="27" t="s">
        <v>4</v>
      </c>
      <c r="E49" s="27" t="s">
        <v>5</v>
      </c>
      <c r="F49" s="28" t="s">
        <v>6</v>
      </c>
    </row>
    <row r="50" spans="1:9" x14ac:dyDescent="0.25">
      <c r="A50" s="9" t="s">
        <v>45</v>
      </c>
      <c r="B50" s="1">
        <v>0</v>
      </c>
      <c r="C50" s="1">
        <v>120328</v>
      </c>
      <c r="D50" s="1">
        <v>120328</v>
      </c>
      <c r="E50" s="1">
        <v>120328</v>
      </c>
      <c r="F50" s="25">
        <v>120328</v>
      </c>
    </row>
    <row r="51" spans="1:9" x14ac:dyDescent="0.25">
      <c r="A51" s="9" t="s">
        <v>46</v>
      </c>
      <c r="B51" s="1">
        <v>0</v>
      </c>
      <c r="C51" s="1">
        <v>-30000</v>
      </c>
      <c r="D51" s="1">
        <v>-30000</v>
      </c>
      <c r="E51" s="1">
        <v>-30000</v>
      </c>
      <c r="F51" s="25">
        <v>-30000</v>
      </c>
    </row>
    <row r="52" spans="1:9" x14ac:dyDescent="0.25">
      <c r="A52" s="9" t="s">
        <v>25</v>
      </c>
      <c r="B52" s="1">
        <v>0</v>
      </c>
      <c r="C52" s="1">
        <v>133374</v>
      </c>
      <c r="D52" s="1">
        <v>133374</v>
      </c>
      <c r="E52" s="1">
        <v>133374</v>
      </c>
      <c r="F52" s="1">
        <v>133374</v>
      </c>
    </row>
    <row r="53" spans="1:9" x14ac:dyDescent="0.25">
      <c r="A53" s="9" t="s">
        <v>47</v>
      </c>
      <c r="B53" s="1">
        <v>0</v>
      </c>
      <c r="C53" s="1">
        <f>SUM(C50:C52)</f>
        <v>223702</v>
      </c>
      <c r="D53" s="1">
        <f>SUM(D50:D52)</f>
        <v>223702</v>
      </c>
      <c r="E53" s="1">
        <f>SUM(E50:E52)</f>
        <v>223702</v>
      </c>
      <c r="F53" s="25">
        <f>SUM(F50:F52)</f>
        <v>223702</v>
      </c>
    </row>
    <row r="54" spans="1:9" x14ac:dyDescent="0.25">
      <c r="A54" s="10" t="s">
        <v>48</v>
      </c>
      <c r="B54" s="1">
        <v>0</v>
      </c>
      <c r="C54" s="8">
        <f>(1/(1+0.05)^C49)*C53</f>
        <v>213049.52380952379</v>
      </c>
      <c r="D54" s="8">
        <f t="shared" ref="D54:F54" si="4">(1/(1+0.05)^D49)*D53</f>
        <v>202904.30839002266</v>
      </c>
      <c r="E54" s="8">
        <f t="shared" si="4"/>
        <v>193242.19846668825</v>
      </c>
      <c r="F54" s="31">
        <f t="shared" si="4"/>
        <v>184040.18901589359</v>
      </c>
    </row>
    <row r="55" spans="1:9" x14ac:dyDescent="0.25">
      <c r="A55" s="9" t="s">
        <v>40</v>
      </c>
      <c r="B55" s="1">
        <v>-448000</v>
      </c>
      <c r="C55" s="1">
        <v>0</v>
      </c>
      <c r="D55" s="1">
        <v>0</v>
      </c>
      <c r="E55" s="1">
        <v>0</v>
      </c>
      <c r="F55" s="25">
        <v>0</v>
      </c>
    </row>
    <row r="56" spans="1:9" x14ac:dyDescent="0.25">
      <c r="A56" s="11" t="s">
        <v>41</v>
      </c>
      <c r="B56" s="33">
        <f>SUM(B54:B55)</f>
        <v>-448000</v>
      </c>
      <c r="C56" s="33">
        <f xml:space="preserve"> B56+C54+C55</f>
        <v>-234950.47619047621</v>
      </c>
      <c r="D56" s="33">
        <f xml:space="preserve"> C56+D54+D55</f>
        <v>-32046.16780045355</v>
      </c>
      <c r="E56" s="33">
        <f xml:space="preserve"> D56+E54+E55</f>
        <v>161196.0306662347</v>
      </c>
      <c r="F56" s="34">
        <f t="shared" ref="F56" si="5" xml:space="preserve"> E56+F54+F55</f>
        <v>345236.21968212829</v>
      </c>
    </row>
    <row r="58" spans="1:9" x14ac:dyDescent="0.25">
      <c r="A58" s="3" t="s">
        <v>49</v>
      </c>
    </row>
    <row r="59" spans="1:9" x14ac:dyDescent="0.25">
      <c r="A59" t="s">
        <v>50</v>
      </c>
    </row>
    <row r="61" spans="1:9" ht="137.25" customHeight="1" x14ac:dyDescent="0.25">
      <c r="A61" s="36" t="s">
        <v>51</v>
      </c>
      <c r="B61" s="36"/>
      <c r="C61" s="36"/>
      <c r="D61" s="36"/>
      <c r="E61" s="36"/>
      <c r="F61" s="36"/>
      <c r="G61" s="36"/>
      <c r="H61" s="36"/>
      <c r="I61" s="36"/>
    </row>
    <row r="63" spans="1:9" ht="15.75" customHeight="1" x14ac:dyDescent="0.25"/>
  </sheetData>
  <mergeCells count="1">
    <mergeCell ref="A61:I61"/>
  </mergeCells>
  <pageMargins left="0.7" right="0.7" top="0.78740157499999996" bottom="0.78740157499999996" header="0.3" footer="0.3"/>
  <pageSetup paperSize="9" orientation="landscape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Ondrysková</dc:creator>
  <cp:keywords/>
  <dc:description/>
  <cp:lastModifiedBy>Dominika Tóthová</cp:lastModifiedBy>
  <cp:revision/>
  <cp:lastPrinted>2024-03-25T15:37:14Z</cp:lastPrinted>
  <dcterms:created xsi:type="dcterms:W3CDTF">2021-12-22T10:44:13Z</dcterms:created>
  <dcterms:modified xsi:type="dcterms:W3CDTF">2024-03-25T15:37:22Z</dcterms:modified>
  <cp:category/>
  <cp:contentStatus/>
</cp:coreProperties>
</file>