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lenkakostelnikova/Desktop/MUNI/Ing/2. semestr/Tvorba, hodnocení a realizace veřejných projektů/Projekt/"/>
    </mc:Choice>
  </mc:AlternateContent>
  <xr:revisionPtr revIDLastSave="0" documentId="13_ncr:1_{07E6A384-54EB-484E-A73E-906B5F293D73}" xr6:coauthVersionLast="47" xr6:coauthVersionMax="47" xr10:uidLastSave="{00000000-0000-0000-0000-000000000000}"/>
  <bookViews>
    <workbookView xWindow="0" yWindow="500" windowWidth="23040" windowHeight="14220" tabRatio="535" activeTab="5" xr2:uid="{793B928D-107D-45B3-A068-D6ED719F4D2C}"/>
  </bookViews>
  <sheets>
    <sheet name="Kalkulace nákladů" sheetId="1" r:id="rId1"/>
    <sheet name="Finanční analýza" sheetId="2" r:id="rId2"/>
    <sheet name="Ekonomická analýza " sheetId="4" r:id="rId3"/>
    <sheet name="Ocenění netržních přínosů" sheetId="7" r:id="rId4"/>
    <sheet name="Analýza rizik" sheetId="3" r:id="rId5"/>
    <sheet name="Citlivostní analýza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8" l="1"/>
  <c r="I3" i="8"/>
  <c r="F3" i="8"/>
  <c r="G4" i="8"/>
  <c r="G3" i="8"/>
  <c r="H4" i="8"/>
  <c r="H5" i="8"/>
  <c r="H6" i="8"/>
  <c r="H3" i="8"/>
  <c r="C9" i="8"/>
  <c r="E4" i="8"/>
  <c r="E5" i="8"/>
  <c r="E6" i="8"/>
  <c r="E3" i="8"/>
  <c r="C8" i="8"/>
  <c r="H10" i="7"/>
  <c r="H8" i="7"/>
  <c r="H9" i="7"/>
  <c r="G10" i="7"/>
  <c r="G8" i="7"/>
  <c r="G9" i="7"/>
  <c r="J6" i="8"/>
  <c r="J5" i="8"/>
  <c r="J4" i="8"/>
  <c r="G6" i="8"/>
  <c r="G5" i="8"/>
  <c r="F16" i="8"/>
  <c r="E16" i="8"/>
  <c r="F6" i="8"/>
  <c r="C24" i="2"/>
  <c r="E5" i="2"/>
  <c r="F5" i="2" s="1"/>
  <c r="F4" i="2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7" i="4"/>
  <c r="D27" i="4"/>
  <c r="D26" i="4"/>
  <c r="G6" i="4"/>
  <c r="T11" i="1" l="1"/>
  <c r="S11" i="1"/>
  <c r="S12" i="1" s="1"/>
  <c r="R12" i="1"/>
  <c r="R8" i="1"/>
  <c r="E77" i="8" l="1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7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5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3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16" i="8"/>
  <c r="E7" i="3"/>
  <c r="E8" i="3"/>
  <c r="E9" i="3"/>
  <c r="E10" i="3"/>
  <c r="E4" i="3"/>
  <c r="E5" i="3"/>
  <c r="E17" i="7"/>
  <c r="E15" i="7"/>
  <c r="D16" i="7"/>
  <c r="D15" i="7"/>
  <c r="D17" i="7"/>
  <c r="E16" i="7"/>
  <c r="E18" i="7" l="1"/>
  <c r="D28" i="4" s="1"/>
  <c r="F6" i="4" l="1"/>
  <c r="H6" i="4" s="1"/>
  <c r="F8" i="4"/>
  <c r="H8" i="4" s="1"/>
  <c r="I8" i="4" s="1"/>
  <c r="F9" i="4"/>
  <c r="H9" i="4" s="1"/>
  <c r="I9" i="4" s="1"/>
  <c r="F10" i="4"/>
  <c r="H10" i="4" s="1"/>
  <c r="I10" i="4" s="1"/>
  <c r="F11" i="4"/>
  <c r="H11" i="4" s="1"/>
  <c r="I11" i="4" s="1"/>
  <c r="F12" i="4"/>
  <c r="H12" i="4" s="1"/>
  <c r="I12" i="4" s="1"/>
  <c r="F13" i="4"/>
  <c r="H13" i="4" s="1"/>
  <c r="I13" i="4" s="1"/>
  <c r="F14" i="4"/>
  <c r="H14" i="4" s="1"/>
  <c r="I14" i="4" s="1"/>
  <c r="F15" i="4"/>
  <c r="H15" i="4" s="1"/>
  <c r="I15" i="4" s="1"/>
  <c r="F16" i="4"/>
  <c r="H16" i="4" s="1"/>
  <c r="I16" i="4" s="1"/>
  <c r="F17" i="4"/>
  <c r="H17" i="4" s="1"/>
  <c r="I17" i="4" s="1"/>
  <c r="F18" i="4"/>
  <c r="H18" i="4" s="1"/>
  <c r="I18" i="4" s="1"/>
  <c r="F19" i="4"/>
  <c r="H19" i="4" s="1"/>
  <c r="I19" i="4" s="1"/>
  <c r="F20" i="4"/>
  <c r="H20" i="4" s="1"/>
  <c r="I20" i="4" s="1"/>
  <c r="F21" i="4"/>
  <c r="H21" i="4" s="1"/>
  <c r="I21" i="4" s="1"/>
  <c r="F7" i="4"/>
  <c r="H7" i="4" s="1"/>
  <c r="I7" i="4" s="1"/>
  <c r="E6" i="3"/>
  <c r="T8" i="1" l="1"/>
  <c r="R7" i="1"/>
  <c r="T7" i="1" s="1"/>
  <c r="S7" i="1" s="1"/>
  <c r="I8" i="1"/>
  <c r="H8" i="1" s="1"/>
  <c r="G9" i="1"/>
  <c r="I9" i="1" s="1"/>
  <c r="H9" i="1" s="1"/>
  <c r="G10" i="1"/>
  <c r="I10" i="1" s="1"/>
  <c r="H10" i="1" s="1"/>
  <c r="G11" i="1"/>
  <c r="I15" i="1"/>
  <c r="H15" i="1" s="1"/>
  <c r="G14" i="1"/>
  <c r="G15" i="1"/>
  <c r="H14" i="1"/>
  <c r="G13" i="1"/>
  <c r="I13" i="1" s="1"/>
  <c r="H13" i="1" s="1"/>
  <c r="I7" i="1"/>
  <c r="H12" i="1"/>
  <c r="G12" i="1" s="1"/>
  <c r="H11" i="1"/>
  <c r="T12" i="1" l="1"/>
  <c r="C15" i="2" s="1"/>
  <c r="E15" i="2" s="1"/>
  <c r="F15" i="2" s="1"/>
  <c r="S8" i="1"/>
  <c r="I16" i="1"/>
  <c r="C4" i="2" s="1"/>
  <c r="G16" i="1"/>
  <c r="H7" i="1"/>
  <c r="H16" i="1" s="1"/>
  <c r="C47" i="8" l="1"/>
  <c r="F47" i="8" s="1"/>
  <c r="G47" i="8" s="1"/>
  <c r="C67" i="8"/>
  <c r="F67" i="8" s="1"/>
  <c r="G67" i="8" s="1"/>
  <c r="C87" i="8"/>
  <c r="F87" i="8" s="1"/>
  <c r="G87" i="8" s="1"/>
  <c r="C17" i="2"/>
  <c r="C69" i="8" s="1"/>
  <c r="F69" i="8" s="1"/>
  <c r="G69" i="8" s="1"/>
  <c r="D17" i="4"/>
  <c r="C7" i="2"/>
  <c r="C39" i="8" s="1"/>
  <c r="F39" i="8" s="1"/>
  <c r="G39" i="8" s="1"/>
  <c r="C5" i="2"/>
  <c r="C13" i="2"/>
  <c r="E13" i="2" s="1"/>
  <c r="F13" i="2" s="1"/>
  <c r="C9" i="2"/>
  <c r="C61" i="8" s="1"/>
  <c r="F61" i="8" s="1"/>
  <c r="G61" i="8" s="1"/>
  <c r="C14" i="2"/>
  <c r="C26" i="8" s="1"/>
  <c r="F26" i="8" s="1"/>
  <c r="G26" i="8" s="1"/>
  <c r="C27" i="8"/>
  <c r="F27" i="8" s="1"/>
  <c r="G27" i="8" s="1"/>
  <c r="C19" i="2"/>
  <c r="E19" i="2" s="1"/>
  <c r="F19" i="2" s="1"/>
  <c r="C16" i="2"/>
  <c r="C88" i="8" s="1"/>
  <c r="F88" i="8" s="1"/>
  <c r="G88" i="8" s="1"/>
  <c r="C11" i="2"/>
  <c r="C83" i="8" s="1"/>
  <c r="F83" i="8" s="1"/>
  <c r="G83" i="8" s="1"/>
  <c r="C10" i="2"/>
  <c r="E10" i="2" s="1"/>
  <c r="F10" i="2" s="1"/>
  <c r="C12" i="2"/>
  <c r="E12" i="2" s="1"/>
  <c r="F12" i="2" s="1"/>
  <c r="C8" i="2"/>
  <c r="C60" i="8" s="1"/>
  <c r="F60" i="8" s="1"/>
  <c r="G60" i="8" s="1"/>
  <c r="C18" i="2"/>
  <c r="C50" i="8" s="1"/>
  <c r="F50" i="8" s="1"/>
  <c r="G50" i="8" s="1"/>
  <c r="C6" i="2"/>
  <c r="C58" i="8" s="1"/>
  <c r="F58" i="8" s="1"/>
  <c r="G58" i="8" s="1"/>
  <c r="C22" i="8"/>
  <c r="F22" i="8" s="1"/>
  <c r="G22" i="8" s="1"/>
  <c r="D12" i="4"/>
  <c r="C89" i="8"/>
  <c r="F89" i="8" s="1"/>
  <c r="G89" i="8" s="1"/>
  <c r="C29" i="8"/>
  <c r="F29" i="8" s="1"/>
  <c r="G29" i="8" s="1"/>
  <c r="D19" i="4"/>
  <c r="E17" i="2"/>
  <c r="F17" i="2" s="1"/>
  <c r="C21" i="8"/>
  <c r="F21" i="8" s="1"/>
  <c r="G21" i="8" s="1"/>
  <c r="C71" i="8"/>
  <c r="F71" i="8" s="1"/>
  <c r="G71" i="8" s="1"/>
  <c r="C51" i="8"/>
  <c r="F51" i="8" s="1"/>
  <c r="G51" i="8" s="1"/>
  <c r="C91" i="8"/>
  <c r="F91" i="8" s="1"/>
  <c r="G91" i="8" s="1"/>
  <c r="C31" i="8"/>
  <c r="F31" i="8" s="1"/>
  <c r="G31" i="8" s="1"/>
  <c r="D21" i="4"/>
  <c r="E16" i="2"/>
  <c r="F16" i="2" s="1"/>
  <c r="D18" i="4"/>
  <c r="C36" i="8"/>
  <c r="F36" i="8" s="1"/>
  <c r="G36" i="8" s="1"/>
  <c r="C56" i="8"/>
  <c r="F56" i="8" s="1"/>
  <c r="G56" i="8" s="1"/>
  <c r="D6" i="4"/>
  <c r="I6" i="4" s="1"/>
  <c r="C33" i="4" s="1"/>
  <c r="C76" i="8"/>
  <c r="F76" i="8" s="1"/>
  <c r="G76" i="8" s="1"/>
  <c r="C16" i="8"/>
  <c r="G16" i="8" s="1"/>
  <c r="E4" i="2"/>
  <c r="C43" i="8"/>
  <c r="F43" i="8" s="1"/>
  <c r="G43" i="8" s="1"/>
  <c r="C23" i="8"/>
  <c r="F23" i="8" s="1"/>
  <c r="G23" i="8" s="1"/>
  <c r="D13" i="4"/>
  <c r="D33" i="4" l="1"/>
  <c r="J3" i="8" s="1"/>
  <c r="D9" i="4"/>
  <c r="C79" i="8"/>
  <c r="F79" i="8" s="1"/>
  <c r="G79" i="8" s="1"/>
  <c r="C62" i="8"/>
  <c r="F62" i="8" s="1"/>
  <c r="G62" i="8" s="1"/>
  <c r="C59" i="8"/>
  <c r="F59" i="8" s="1"/>
  <c r="G59" i="8" s="1"/>
  <c r="D7" i="4"/>
  <c r="C82" i="8"/>
  <c r="F82" i="8" s="1"/>
  <c r="G82" i="8" s="1"/>
  <c r="E7" i="2"/>
  <c r="F7" i="2" s="1"/>
  <c r="C42" i="8"/>
  <c r="F42" i="8" s="1"/>
  <c r="G42" i="8" s="1"/>
  <c r="C48" i="8"/>
  <c r="F48" i="8" s="1"/>
  <c r="G48" i="8" s="1"/>
  <c r="C68" i="8"/>
  <c r="F68" i="8" s="1"/>
  <c r="G68" i="8" s="1"/>
  <c r="C28" i="8"/>
  <c r="F28" i="8" s="1"/>
  <c r="G28" i="8" s="1"/>
  <c r="C49" i="8"/>
  <c r="F49" i="8" s="1"/>
  <c r="G49" i="8" s="1"/>
  <c r="C77" i="8"/>
  <c r="F77" i="8" s="1"/>
  <c r="G77" i="8" s="1"/>
  <c r="C17" i="8"/>
  <c r="F17" i="8" s="1"/>
  <c r="G17" i="8" s="1"/>
  <c r="C63" i="8"/>
  <c r="F63" i="8" s="1"/>
  <c r="G63" i="8" s="1"/>
  <c r="C37" i="8"/>
  <c r="F37" i="8" s="1"/>
  <c r="G37" i="8" s="1"/>
  <c r="C57" i="8"/>
  <c r="F57" i="8" s="1"/>
  <c r="G57" i="8" s="1"/>
  <c r="E11" i="2"/>
  <c r="F11" i="2" s="1"/>
  <c r="C19" i="8"/>
  <c r="F19" i="8" s="1"/>
  <c r="G19" i="8" s="1"/>
  <c r="C64" i="8"/>
  <c r="F64" i="8" s="1"/>
  <c r="G64" i="8" s="1"/>
  <c r="C25" i="8"/>
  <c r="F25" i="8" s="1"/>
  <c r="G25" i="8" s="1"/>
  <c r="C40" i="8"/>
  <c r="F40" i="8" s="1"/>
  <c r="G40" i="8" s="1"/>
  <c r="C81" i="8"/>
  <c r="F81" i="8" s="1"/>
  <c r="G81" i="8" s="1"/>
  <c r="C30" i="8"/>
  <c r="F30" i="8" s="1"/>
  <c r="G30" i="8" s="1"/>
  <c r="C90" i="8"/>
  <c r="F90" i="8" s="1"/>
  <c r="G90" i="8" s="1"/>
  <c r="C24" i="8"/>
  <c r="F24" i="8" s="1"/>
  <c r="G24" i="8" s="1"/>
  <c r="C85" i="8"/>
  <c r="F85" i="8" s="1"/>
  <c r="G85" i="8" s="1"/>
  <c r="C20" i="8"/>
  <c r="F20" i="8" s="1"/>
  <c r="G20" i="8" s="1"/>
  <c r="C46" i="8"/>
  <c r="F46" i="8" s="1"/>
  <c r="G46" i="8" s="1"/>
  <c r="E9" i="2"/>
  <c r="F9" i="2" s="1"/>
  <c r="D11" i="4"/>
  <c r="C80" i="8"/>
  <c r="F80" i="8" s="1"/>
  <c r="G80" i="8" s="1"/>
  <c r="C66" i="8"/>
  <c r="F66" i="8" s="1"/>
  <c r="G66" i="8" s="1"/>
  <c r="C41" i="8"/>
  <c r="F41" i="8" s="1"/>
  <c r="G41" i="8" s="1"/>
  <c r="E8" i="2"/>
  <c r="F8" i="2" s="1"/>
  <c r="C86" i="8"/>
  <c r="F86" i="8" s="1"/>
  <c r="G86" i="8" s="1"/>
  <c r="C70" i="8"/>
  <c r="F70" i="8" s="1"/>
  <c r="G70" i="8" s="1"/>
  <c r="E14" i="2"/>
  <c r="F14" i="2" s="1"/>
  <c r="E18" i="2"/>
  <c r="F18" i="2" s="1"/>
  <c r="C18" i="8"/>
  <c r="F18" i="8" s="1"/>
  <c r="G18" i="8" s="1"/>
  <c r="C38" i="8"/>
  <c r="F38" i="8" s="1"/>
  <c r="G38" i="8" s="1"/>
  <c r="D14" i="4"/>
  <c r="D15" i="4"/>
  <c r="D10" i="4"/>
  <c r="D8" i="4"/>
  <c r="C84" i="8"/>
  <c r="F84" i="8" s="1"/>
  <c r="G84" i="8" s="1"/>
  <c r="C45" i="8"/>
  <c r="F45" i="8" s="1"/>
  <c r="G45" i="8" s="1"/>
  <c r="E6" i="2"/>
  <c r="F6" i="2" s="1"/>
  <c r="C44" i="8"/>
  <c r="F44" i="8" s="1"/>
  <c r="G44" i="8" s="1"/>
  <c r="D16" i="4"/>
  <c r="C65" i="8"/>
  <c r="F65" i="8" s="1"/>
  <c r="G65" i="8" s="1"/>
  <c r="D20" i="4"/>
  <c r="C78" i="8"/>
  <c r="F78" i="8" s="1"/>
  <c r="G78" i="8" s="1"/>
  <c r="C23" i="2" l="1"/>
  <c r="C29" i="2" s="1"/>
  <c r="F5" i="8"/>
  <c r="I5" i="8" s="1"/>
  <c r="F4" i="8"/>
  <c r="B29" i="2"/>
  <c r="I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tc={4FC81BD1-E4AB-48A7-90CE-C4311AA45775}</author>
    <author>tc={57208255-CE5D-4913-B0FA-04875B580B51}</author>
    <author>tc={B9726B5E-3424-467D-97B1-BC6C35225E76}</author>
    <author>tc={7000CDD2-1E26-4829-9B38-D8B4E918C036}</author>
    <author>tc={CA427713-9E94-46D1-BCC7-0B12D1CA1A14}</author>
    <author>tc={BA843CE2-9023-4F5D-85DF-2606C1C50EBE}</author>
    <author>tc={F507A59D-6014-4878-B047-13B9C6E4185A}</author>
    <author>tc={0D6A3D5B-D086-42AC-AFAC-B856479BB103}</author>
    <author>tc={44CF8BF3-A394-4164-8BCE-038E169C1215}</author>
    <author>tc={6E252BD5-D762-48FF-9D32-2B31BB4279A8}</author>
    <author>tc={0E9BE3A9-EF30-4169-A0DE-4C04E6554843}</author>
    <author>tc={810517B6-0859-4652-AAF6-95631FDFE537}</author>
    <author>tc={BC3E1E50-A36B-4DD1-B979-15C63F76AC40}</author>
  </authors>
  <commentList>
    <comment ref="C7" authorId="0" shapeId="0" xr:uid="{4FC81BD1-E4AB-48A7-90CE-C4311AA4577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https://www.projektysoltys.cz/l/kolik-stoji-projekt-rodinneho-domu-a-co-vse-obsahuje/</t>
      </text>
    </comment>
    <comment ref="N7" authorId="1" shapeId="0" xr:uid="{57208255-CE5D-4913-B0FA-04875B580B5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https://sensorie.cz/jak-vyhrivame-chytry-sklenik-a-kolik-to-stoji/</t>
      </text>
    </comment>
    <comment ref="C8" authorId="2" shapeId="0" xr:uid="{B9726B5E-3424-467D-97B1-BC6C35225E7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2 řemeslníci, montáž skleníku a dalších věcí, jeden z nich elektrikář (namontuje systém)</t>
      </text>
    </comment>
    <comment ref="N8" authorId="3" shapeId="0" xr:uid="{7000CDD2-1E26-4829-9B38-D8B4E918C03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https://www.bvk.cz/media/tiskove-zpravy/detail/vodne-a-stocne-v-meste-brne-v-roce-2024</t>
      </text>
    </comment>
    <comment ref="C9" authorId="4" shapeId="0" xr:uid="{CA427713-9E94-46D1-BCC7-0B12D1CA1A1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https://www.monitorrs.cz/Monitorrs-Security-Wifi-IP-kamerovy-set-Full-HD-1080p-2xkamera-6513K2-d1060.htm#detail-anchor-description</t>
      </text>
    </comment>
    <comment ref="N9" authorId="5" shapeId="0" xr:uid="{BA843CE2-9023-4F5D-85DF-2606C1C50EB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pojištění na pozemku skleníku už v současné době je, v rámci pojištění muni, protože pozemek se v současné době využívá k výuce</t>
      </text>
    </comment>
    <comment ref="C10" authorId="6" shapeId="0" xr:uid="{F507A59D-6014-4878-B047-13B9C6E4185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2 - jeden u vstupu na zahradu, druhý do té "kůlny",
Odpověď:
    https://tfe.cz/pristupovy-system-e60-pro-montaz-pod-omitku.htm</t>
      </text>
    </comment>
    <comment ref="N10" authorId="7" shapeId="0" xr:uid="{0D6A3D5B-D086-42AC-AFAC-B856479BB10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Stipendium se nedaní
Odpověď:
    jedná se o doplnění k platu kantorovi, který má skleník v gesci</t>
      </text>
    </comment>
    <comment ref="C11" authorId="8" shapeId="0" xr:uid="{44CF8BF3-A394-4164-8BCE-038E169C121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https://sensorie.cz/produkt/balicek-basic/</t>
      </text>
    </comment>
    <comment ref="C12" authorId="9" shapeId="0" xr:uid="{6E252BD5-D762-48FF-9D32-2B31BB4279A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https://www.avenberg.cz/z2109-zahradni-domek-na-naradi-avenberg-3-7-x-3-m-antracit-sd-x1210-h170</t>
      </text>
    </comment>
    <comment ref="C13" authorId="10" shapeId="0" xr:uid="{0E9BE3A9-EF30-4169-A0DE-4C04E655484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zahradnice - osázení záhonů/nachystaní skleníků pro první sazení</t>
      </text>
    </comment>
    <comment ref="C14" authorId="11" shapeId="0" xr:uid="{810517B6-0859-4652-AAF6-95631FDFE53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https://prodej-zeminy.cz/nabidka.htm</t>
      </text>
    </comment>
    <comment ref="C15" authorId="12" shapeId="0" xr:uid="{BC3E1E50-A36B-4DD1-B979-15C63F76AC4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https://www.tsbohemia.cz/sixtol-sada-zahradniho-naradi-garden-pink-10-_d400498.html?utm_source=heureka&amp;utm_medium=srovnavac&amp;utm_campaign=Dum+a+zahrada+%7C+Dilna+%7C+Sady+naradi+do+dilny&amp;utm_term=400498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tc={350258A7-2092-412A-9F07-C457F9175BD3}</author>
    <author>tc={8DC8B38C-9F6F-4644-9600-488F72318624}</author>
  </authors>
  <commentList>
    <comment ref="B3" authorId="0" shapeId="0" xr:uid="{350258A7-2092-412A-9F07-C457F9175BD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Dle životnosti projektu cca 15let</t>
      </text>
    </comment>
    <comment ref="C22" authorId="1" shapeId="0" xr:uid="{8DC8B38C-9F6F-4644-9600-488F7231862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Viz. dokument, dle EU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tc={715BE6D6-9611-4B13-B09B-749343F55838}</author>
  </authors>
  <commentList>
    <comment ref="C5" authorId="0" shapeId="0" xr:uid="{715BE6D6-9611-4B13-B09B-749343F5583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Dle životnosti projektu cca 15let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tc={97D1A9C5-71CD-4D79-9869-952DA86DFCAC}</author>
    <author>tc={D5B98A2F-C8E8-4B2C-BD31-EFD44284E019}</author>
    <author>tc={3CA685EE-4BF6-4193-8CF0-EF4D2C18F30C}</author>
  </authors>
  <commentList>
    <comment ref="G7" authorId="0" shapeId="0" xr:uid="{97D1A9C5-71CD-4D79-9869-952DA86DFCAC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Tržní hodnota výnosu za sazenici je odhad hodnoty produkce, kterou lze získat z jedné sazenice, když se tato produkce prodává za běžné maloobchodní ceny. </t>
      </text>
    </comment>
    <comment ref="C14" authorId="1" shapeId="0" xr:uid="{D5B98A2F-C8E8-4B2C-BD31-EFD44284E019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Předpokládáme, že skleník bude využívat cca 50 osob ročně. </t>
      </text>
    </comment>
    <comment ref="D14" authorId="2" shapeId="0" xr:uid="{3CA685EE-4BF6-4193-8CF0-EF4D2C18F30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Každý vysadí 2 sazenice od každé zeleniny/ovoce. Tj. 50lidíx2</t>
      </text>
    </comment>
  </commentList>
</comments>
</file>

<file path=xl/sharedStrings.xml><?xml version="1.0" encoding="utf-8"?>
<sst xmlns="http://schemas.openxmlformats.org/spreadsheetml/2006/main" count="175" uniqueCount="123">
  <si>
    <t>Investiční náklady (v Kč)</t>
  </si>
  <si>
    <t>Provozní náklady (v Kč za 1 kalendářní rok)</t>
  </si>
  <si>
    <t>položka</t>
  </si>
  <si>
    <t>počet</t>
  </si>
  <si>
    <t>jednotka</t>
  </si>
  <si>
    <t>cena/jednotka</t>
  </si>
  <si>
    <t>cena bez DPH</t>
  </si>
  <si>
    <t>DPH</t>
  </si>
  <si>
    <t>cena s DPH</t>
  </si>
  <si>
    <t>architektonická dokumentace</t>
  </si>
  <si>
    <t>kus</t>
  </si>
  <si>
    <t>elektřina</t>
  </si>
  <si>
    <t>kW</t>
  </si>
  <si>
    <t>stavební práce</t>
  </si>
  <si>
    <t>hod</t>
  </si>
  <si>
    <t>voda</t>
  </si>
  <si>
    <r>
      <t xml:space="preserve"> 1 m</t>
    </r>
    <r>
      <rPr>
        <vertAlign val="superscript"/>
        <sz val="11"/>
        <color theme="1"/>
        <rFont val="Aptos Narrow"/>
        <family val="2"/>
        <scheme val="minor"/>
      </rPr>
      <t>3</t>
    </r>
  </si>
  <si>
    <t>bezpečnostní systém</t>
  </si>
  <si>
    <t>kus (set)</t>
  </si>
  <si>
    <t>pojištění</t>
  </si>
  <si>
    <t>rok</t>
  </si>
  <si>
    <t>vstupní systém na ISIC</t>
  </si>
  <si>
    <t>stipendium/odměna</t>
  </si>
  <si>
    <t>měsíce</t>
  </si>
  <si>
    <t>-</t>
  </si>
  <si>
    <t>chytré vybavení skleníku</t>
  </si>
  <si>
    <t>údržba</t>
  </si>
  <si>
    <t>unimo buňka</t>
  </si>
  <si>
    <t>Celkem</t>
  </si>
  <si>
    <t>zahradnické práce</t>
  </si>
  <si>
    <t>zemina</t>
  </si>
  <si>
    <t xml:space="preserve"> 1 m3</t>
  </si>
  <si>
    <t>zahradní náčiní</t>
  </si>
  <si>
    <t>set (10ks)</t>
  </si>
  <si>
    <t>Rok</t>
  </si>
  <si>
    <t>Náklady</t>
  </si>
  <si>
    <t>Příjmy</t>
  </si>
  <si>
    <t>Cashflow</t>
  </si>
  <si>
    <t>Diskontovaný cashflow</t>
  </si>
  <si>
    <t>diskotní sazba</t>
  </si>
  <si>
    <t>NPV (čistá současná hodnota)</t>
  </si>
  <si>
    <t>Ri (index rentability)</t>
  </si>
  <si>
    <t>Finanční analýza</t>
  </si>
  <si>
    <t>NPV</t>
  </si>
  <si>
    <t>Ri</t>
  </si>
  <si>
    <t>Náklady Finanční analýzy</t>
  </si>
  <si>
    <t>Ekonomické náklady</t>
  </si>
  <si>
    <t>Oceněné přínosy nákladů</t>
  </si>
  <si>
    <t>Daňové opravy</t>
  </si>
  <si>
    <t>Diskont. Cashflow</t>
  </si>
  <si>
    <t>Diskontní sazba</t>
  </si>
  <si>
    <t>daňové opravy -  investiční náklady</t>
  </si>
  <si>
    <t>daňové opravy -  provozní náklady</t>
  </si>
  <si>
    <t>úspory z pěstovaní</t>
  </si>
  <si>
    <t>Ekonomická analýza</t>
  </si>
  <si>
    <t>Produkt</t>
  </si>
  <si>
    <t>Cena sazenice v Kč</t>
  </si>
  <si>
    <t>Cena v obchodě za kg v Kč</t>
  </si>
  <si>
    <t>Množství kg z jedné sazenice</t>
  </si>
  <si>
    <t>Tržní hodnota výnosu za sazenici</t>
  </si>
  <si>
    <t>Předpokládané úspory v kg v Kč</t>
  </si>
  <si>
    <t>Jahody</t>
  </si>
  <si>
    <t>Rajčata</t>
  </si>
  <si>
    <t>Mrkev</t>
  </si>
  <si>
    <t>Roční úspory</t>
  </si>
  <si>
    <t>Počet sazenic za rok</t>
  </si>
  <si>
    <t xml:space="preserve">Úspory za rok </t>
  </si>
  <si>
    <t>celkem</t>
  </si>
  <si>
    <t>Rizika</t>
  </si>
  <si>
    <t xml:space="preserve">Pravděpodobnost </t>
  </si>
  <si>
    <t>Stupeň dopadu</t>
  </si>
  <si>
    <t>Celková úroveň rizika</t>
  </si>
  <si>
    <t>Pravděpodobnost</t>
  </si>
  <si>
    <t>Významnost</t>
  </si>
  <si>
    <t>špatné zacházení s rostlinami</t>
  </si>
  <si>
    <t>nemožná</t>
  </si>
  <si>
    <t>1-3</t>
  </si>
  <si>
    <t>nízké riziko</t>
  </si>
  <si>
    <t>neodbornost zodpovědné osoby</t>
  </si>
  <si>
    <t>téměř nemožná</t>
  </si>
  <si>
    <t>4-6</t>
  </si>
  <si>
    <t>střední riziko</t>
  </si>
  <si>
    <t>nespolupráce Pedagogické fakulty</t>
  </si>
  <si>
    <t>výjimečně možná</t>
  </si>
  <si>
    <t>7-10</t>
  </si>
  <si>
    <t>vysoké riziko</t>
  </si>
  <si>
    <t>nezískání dotace</t>
  </si>
  <si>
    <t>běžně možná</t>
  </si>
  <si>
    <t>11-15</t>
  </si>
  <si>
    <t>extrémní riziko</t>
  </si>
  <si>
    <t>zvýšení cen energií a vody</t>
  </si>
  <si>
    <t>pravděpodobná </t>
  </si>
  <si>
    <t>nedostatečný zájem studentů</t>
  </si>
  <si>
    <t>téměř jistá</t>
  </si>
  <si>
    <t>hygienické riziko</t>
  </si>
  <si>
    <t>neznatelný</t>
  </si>
  <si>
    <t>téměř neznatelný</t>
  </si>
  <si>
    <t>drobný</t>
  </si>
  <si>
    <t>významný</t>
  </si>
  <si>
    <t>velmi významný</t>
  </si>
  <si>
    <t>nepřijatelný</t>
  </si>
  <si>
    <t>Změna (po 3 roku)</t>
  </si>
  <si>
    <t xml:space="preserve">Časové období </t>
  </si>
  <si>
    <t>Hodnota změny</t>
  </si>
  <si>
    <t>Původní NPV</t>
  </si>
  <si>
    <t>Nové NPV</t>
  </si>
  <si>
    <t>Změna NPV</t>
  </si>
  <si>
    <t>Původní Ri</t>
  </si>
  <si>
    <t>Nové Ri</t>
  </si>
  <si>
    <t>Změna Ri</t>
  </si>
  <si>
    <t>růst ceny energií a vody</t>
  </si>
  <si>
    <t>od 3. roku</t>
  </si>
  <si>
    <t>růst nákladů na zaměstnance/stipendia</t>
  </si>
  <si>
    <t>potřeba většího odborného zásahu</t>
  </si>
  <si>
    <t>jednorázově ve 3. roce</t>
  </si>
  <si>
    <t xml:space="preserve">pokles úrody </t>
  </si>
  <si>
    <t>ve 3. a 4. roce</t>
  </si>
  <si>
    <t>Původní NVP</t>
  </si>
  <si>
    <t>Pomocný výpočet pro růst ceny a energií</t>
  </si>
  <si>
    <t>Přínosy</t>
  </si>
  <si>
    <t>Pomocný výpočet pro růst mzdy</t>
  </si>
  <si>
    <t>Pomocný výpočet pro jednorázový odborný zásah</t>
  </si>
  <si>
    <t>Pomocný výpočet pro pokles úrody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</si>
</sst>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#,##0\ &quot;Kč&quot;;\-#,##0\ &quot;Kč&quot;"/>
    <numFmt numFmtId="6" formatCode="#,##0\ &quot;Kč&quot;;[Red]\-#,##0\ &quot;Kč&quot;"/>
    <numFmt numFmtId="7" formatCode="#,##0.00\ &quot;Kč&quot;;\-#,##0.00\ &quot;Kč&quot;"/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_-* #,##0.00\ [$Kč-405]_-;\-* #,##0.00\ [$Kč-405]_-;_-* &quot;-&quot;??\ [$Kč-405]_-;_-@_-"/>
    <numFmt numFmtId="167" formatCode="_-* #,##0\ &quot;Kč&quot;_-;\-* #,##0\ &quot;Kč&quot;_-;_-* &quot;-&quot;??\ &quot;Kč&quot;_-;_-@_-"/>
    <numFmt numFmtId="168" formatCode="_-* #,##0.00\ &quot;Kč&quot;_-;\-* #,##0.00\ &quot;Kč&quot;_-;_-* &quot;-&quot;\ &quot;Kč&quot;_-;_-@_-"/>
  </numFmts>
  <fonts count="14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vertAlign val="superscript"/>
      <sz val="11"/>
      <color theme="1"/>
      <name val="Aptos Narrow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rgb="FF000000"/>
      <name val="Aptos Narrow"/>
      <scheme val="minor"/>
    </font>
    <font>
      <sz val="11"/>
      <color theme="1"/>
      <name val="Aptos Narrow"/>
      <scheme val="minor"/>
    </font>
    <font>
      <sz val="11"/>
      <color rgb="FF000000"/>
      <name val="Aptos Narrow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58E0E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EF57"/>
        <bgColor indexed="64"/>
      </patternFill>
    </fill>
    <fill>
      <patternFill patternType="solid">
        <fgColor rgb="FFFCAF14"/>
        <bgColor indexed="64"/>
      </patternFill>
    </fill>
    <fill>
      <patternFill patternType="solid">
        <fgColor rgb="FFF82C1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center"/>
    </xf>
    <xf numFmtId="0" fontId="1" fillId="0" borderId="0" xfId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6" fillId="0" borderId="0" xfId="0" applyFont="1"/>
    <xf numFmtId="0" fontId="0" fillId="0" borderId="25" xfId="0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27" xfId="2" applyNumberFormat="1" applyFont="1" applyBorder="1" applyAlignment="1">
      <alignment horizontal="center"/>
    </xf>
    <xf numFmtId="164" fontId="0" fillId="0" borderId="28" xfId="2" applyNumberFormat="1" applyFont="1" applyBorder="1" applyAlignment="1">
      <alignment horizontal="center"/>
    </xf>
    <xf numFmtId="164" fontId="0" fillId="0" borderId="9" xfId="2" applyNumberFormat="1" applyFont="1" applyBorder="1" applyAlignment="1">
      <alignment horizontal="center"/>
    </xf>
    <xf numFmtId="164" fontId="0" fillId="0" borderId="23" xfId="2" applyNumberFormat="1" applyFont="1" applyBorder="1" applyAlignment="1">
      <alignment horizontal="center"/>
    </xf>
    <xf numFmtId="164" fontId="0" fillId="0" borderId="25" xfId="2" applyNumberFormat="1" applyFont="1" applyBorder="1" applyAlignment="1">
      <alignment horizontal="center"/>
    </xf>
    <xf numFmtId="164" fontId="0" fillId="0" borderId="26" xfId="2" applyNumberFormat="1" applyFont="1" applyBorder="1" applyAlignment="1">
      <alignment horizontal="center"/>
    </xf>
    <xf numFmtId="7" fontId="0" fillId="0" borderId="27" xfId="2" applyNumberFormat="1" applyFont="1" applyBorder="1" applyAlignment="1">
      <alignment horizontal="center"/>
    </xf>
    <xf numFmtId="7" fontId="0" fillId="0" borderId="28" xfId="2" applyNumberFormat="1" applyFont="1" applyBorder="1" applyAlignment="1">
      <alignment horizontal="center"/>
    </xf>
    <xf numFmtId="0" fontId="0" fillId="0" borderId="24" xfId="0" applyBorder="1"/>
    <xf numFmtId="0" fontId="7" fillId="5" borderId="19" xfId="0" applyFont="1" applyFill="1" applyBorder="1"/>
    <xf numFmtId="0" fontId="7" fillId="5" borderId="22" xfId="0" applyFont="1" applyFill="1" applyBorder="1"/>
    <xf numFmtId="0" fontId="7" fillId="5" borderId="24" xfId="0" applyFont="1" applyFill="1" applyBorder="1"/>
    <xf numFmtId="0" fontId="7" fillId="5" borderId="1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7" fontId="7" fillId="0" borderId="24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top"/>
    </xf>
    <xf numFmtId="0" fontId="7" fillId="7" borderId="21" xfId="0" applyFont="1" applyFill="1" applyBorder="1" applyAlignment="1">
      <alignment horizontal="center" vertical="top"/>
    </xf>
    <xf numFmtId="0" fontId="8" fillId="0" borderId="22" xfId="0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24" xfId="0" applyFont="1" applyBorder="1" applyAlignment="1">
      <alignment horizontal="center" vertical="center"/>
    </xf>
    <xf numFmtId="0" fontId="7" fillId="7" borderId="1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23" xfId="0" applyNumberFormat="1" applyBorder="1"/>
    <xf numFmtId="44" fontId="0" fillId="0" borderId="23" xfId="0" applyNumberFormat="1" applyBorder="1"/>
    <xf numFmtId="164" fontId="8" fillId="0" borderId="23" xfId="2" applyNumberFormat="1" applyFont="1" applyBorder="1" applyAlignment="1"/>
    <xf numFmtId="44" fontId="8" fillId="0" borderId="23" xfId="2" applyFont="1" applyBorder="1" applyAlignment="1"/>
    <xf numFmtId="44" fontId="8" fillId="0" borderId="26" xfId="2" applyFont="1" applyBorder="1" applyAlignment="1"/>
    <xf numFmtId="165" fontId="8" fillId="0" borderId="25" xfId="0" applyNumberFormat="1" applyFont="1" applyBorder="1" applyAlignment="1">
      <alignment horizontal="right"/>
    </xf>
    <xf numFmtId="164" fontId="8" fillId="0" borderId="25" xfId="0" applyNumberFormat="1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164" fontId="7" fillId="7" borderId="26" xfId="0" applyNumberFormat="1" applyFont="1" applyFill="1" applyBorder="1"/>
    <xf numFmtId="0" fontId="7" fillId="7" borderId="25" xfId="0" applyFont="1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10" fontId="7" fillId="0" borderId="21" xfId="0" applyNumberFormat="1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0" fontId="7" fillId="0" borderId="22" xfId="0" applyFont="1" applyBorder="1"/>
    <xf numFmtId="0" fontId="7" fillId="0" borderId="24" xfId="0" applyFont="1" applyBorder="1"/>
    <xf numFmtId="44" fontId="7" fillId="0" borderId="26" xfId="2" applyFont="1" applyBorder="1"/>
    <xf numFmtId="0" fontId="0" fillId="0" borderId="16" xfId="0" applyBorder="1"/>
    <xf numFmtId="9" fontId="0" fillId="0" borderId="16" xfId="0" applyNumberFormat="1" applyBorder="1"/>
    <xf numFmtId="6" fontId="0" fillId="0" borderId="16" xfId="0" applyNumberFormat="1" applyBorder="1"/>
    <xf numFmtId="9" fontId="0" fillId="0" borderId="10" xfId="0" applyNumberFormat="1" applyBorder="1" applyAlignment="1">
      <alignment horizontal="right"/>
    </xf>
    <xf numFmtId="6" fontId="0" fillId="0" borderId="10" xfId="0" applyNumberFormat="1" applyBorder="1" applyAlignment="1">
      <alignment horizontal="right"/>
    </xf>
    <xf numFmtId="7" fontId="0" fillId="0" borderId="16" xfId="0" applyNumberFormat="1" applyBorder="1"/>
    <xf numFmtId="2" fontId="0" fillId="0" borderId="16" xfId="0" applyNumberFormat="1" applyBorder="1"/>
    <xf numFmtId="1" fontId="0" fillId="0" borderId="16" xfId="0" applyNumberFormat="1" applyBorder="1"/>
    <xf numFmtId="2" fontId="0" fillId="13" borderId="16" xfId="0" applyNumberFormat="1" applyFill="1" applyBorder="1"/>
    <xf numFmtId="165" fontId="0" fillId="0" borderId="16" xfId="0" applyNumberFormat="1" applyBorder="1"/>
    <xf numFmtId="167" fontId="0" fillId="0" borderId="6" xfId="2" applyNumberFormat="1" applyFont="1" applyBorder="1" applyAlignment="1">
      <alignment horizontal="center"/>
    </xf>
    <xf numFmtId="167" fontId="0" fillId="0" borderId="0" xfId="2" applyNumberFormat="1" applyFont="1" applyAlignment="1">
      <alignment horizontal="center"/>
    </xf>
    <xf numFmtId="167" fontId="9" fillId="0" borderId="6" xfId="2" applyNumberFormat="1" applyFont="1" applyBorder="1" applyAlignment="1">
      <alignment horizontal="center"/>
    </xf>
    <xf numFmtId="167" fontId="0" fillId="0" borderId="7" xfId="2" applyNumberFormat="1" applyFont="1" applyBorder="1" applyAlignment="1">
      <alignment horizontal="center"/>
    </xf>
    <xf numFmtId="167" fontId="0" fillId="0" borderId="5" xfId="2" applyNumberFormat="1" applyFont="1" applyBorder="1" applyAlignment="1">
      <alignment horizontal="center"/>
    </xf>
    <xf numFmtId="167" fontId="0" fillId="2" borderId="1" xfId="2" applyNumberFormat="1" applyFont="1" applyFill="1" applyBorder="1" applyAlignment="1">
      <alignment horizontal="center"/>
    </xf>
    <xf numFmtId="167" fontId="7" fillId="2" borderId="3" xfId="2" applyNumberFormat="1" applyFont="1" applyFill="1" applyBorder="1" applyAlignment="1">
      <alignment horizontal="center"/>
    </xf>
    <xf numFmtId="167" fontId="7" fillId="2" borderId="4" xfId="2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0" borderId="43" xfId="0" applyFont="1" applyBorder="1"/>
    <xf numFmtId="44" fontId="7" fillId="4" borderId="53" xfId="2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2" borderId="42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42" fontId="0" fillId="4" borderId="9" xfId="0" applyNumberFormat="1" applyFill="1" applyBorder="1" applyAlignment="1">
      <alignment horizontal="center"/>
    </xf>
    <xf numFmtId="42" fontId="0" fillId="4" borderId="23" xfId="0" applyNumberForma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42" fontId="0" fillId="4" borderId="25" xfId="0" applyNumberFormat="1" applyFill="1" applyBorder="1" applyAlignment="1">
      <alignment horizontal="center"/>
    </xf>
    <xf numFmtId="42" fontId="7" fillId="4" borderId="25" xfId="0" applyNumberFormat="1" applyFont="1" applyFill="1" applyBorder="1" applyAlignment="1">
      <alignment horizontal="center"/>
    </xf>
    <xf numFmtId="42" fontId="7" fillId="4" borderId="26" xfId="0" applyNumberFormat="1" applyFont="1" applyFill="1" applyBorder="1" applyAlignment="1">
      <alignment horizontal="center"/>
    </xf>
    <xf numFmtId="5" fontId="7" fillId="0" borderId="23" xfId="2" applyNumberFormat="1" applyFont="1" applyBorder="1" applyAlignment="1">
      <alignment horizontal="center"/>
    </xf>
    <xf numFmtId="164" fontId="0" fillId="0" borderId="54" xfId="0" applyNumberFormat="1" applyBorder="1" applyAlignment="1">
      <alignment horizontal="center"/>
    </xf>
    <xf numFmtId="168" fontId="7" fillId="0" borderId="23" xfId="0" applyNumberFormat="1" applyFont="1" applyBorder="1"/>
    <xf numFmtId="0" fontId="7" fillId="6" borderId="62" xfId="0" applyFont="1" applyFill="1" applyBorder="1" applyAlignment="1">
      <alignment horizontal="center"/>
    </xf>
    <xf numFmtId="10" fontId="7" fillId="0" borderId="30" xfId="0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 vertical="center"/>
    </xf>
    <xf numFmtId="0" fontId="10" fillId="13" borderId="16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0" fontId="10" fillId="12" borderId="16" xfId="0" applyFont="1" applyFill="1" applyBorder="1" applyAlignment="1">
      <alignment horizontal="center"/>
    </xf>
    <xf numFmtId="0" fontId="11" fillId="3" borderId="45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2" fillId="0" borderId="0" xfId="0" applyFont="1"/>
    <xf numFmtId="0" fontId="13" fillId="0" borderId="46" xfId="0" applyFont="1" applyBorder="1"/>
    <xf numFmtId="0" fontId="13" fillId="0" borderId="47" xfId="0" applyFont="1" applyBorder="1"/>
    <xf numFmtId="0" fontId="13" fillId="0" borderId="48" xfId="0" applyFont="1" applyBorder="1"/>
    <xf numFmtId="0" fontId="13" fillId="0" borderId="12" xfId="0" applyFont="1" applyBorder="1"/>
    <xf numFmtId="0" fontId="13" fillId="0" borderId="13" xfId="0" applyFont="1" applyBorder="1"/>
    <xf numFmtId="0" fontId="12" fillId="8" borderId="56" xfId="0" quotePrefix="1" applyFont="1" applyFill="1" applyBorder="1" applyAlignment="1">
      <alignment horizontal="left"/>
    </xf>
    <xf numFmtId="0" fontId="13" fillId="0" borderId="57" xfId="0" applyFont="1" applyBorder="1"/>
    <xf numFmtId="0" fontId="13" fillId="0" borderId="49" xfId="0" applyFont="1" applyBorder="1"/>
    <xf numFmtId="0" fontId="13" fillId="0" borderId="17" xfId="0" applyFont="1" applyBorder="1"/>
    <xf numFmtId="0" fontId="13" fillId="0" borderId="50" xfId="0" applyFont="1" applyBorder="1"/>
    <xf numFmtId="0" fontId="12" fillId="9" borderId="58" xfId="0" quotePrefix="1" applyFont="1" applyFill="1" applyBorder="1" applyAlignment="1">
      <alignment horizontal="left"/>
    </xf>
    <xf numFmtId="0" fontId="12" fillId="0" borderId="59" xfId="0" applyFont="1" applyBorder="1"/>
    <xf numFmtId="0" fontId="12" fillId="10" borderId="58" xfId="0" quotePrefix="1" applyFont="1" applyFill="1" applyBorder="1" applyAlignment="1">
      <alignment horizontal="left"/>
    </xf>
    <xf numFmtId="0" fontId="13" fillId="11" borderId="60" xfId="0" quotePrefix="1" applyFont="1" applyFill="1" applyBorder="1" applyAlignment="1">
      <alignment horizontal="left"/>
    </xf>
    <xf numFmtId="0" fontId="12" fillId="0" borderId="61" xfId="0" applyFont="1" applyBorder="1"/>
    <xf numFmtId="0" fontId="13" fillId="0" borderId="51" xfId="0" applyFont="1" applyBorder="1"/>
    <xf numFmtId="0" fontId="13" fillId="0" borderId="18" xfId="0" applyFont="1" applyBorder="1"/>
    <xf numFmtId="0" fontId="12" fillId="0" borderId="0" xfId="0" quotePrefix="1" applyFont="1"/>
    <xf numFmtId="0" fontId="13" fillId="0" borderId="22" xfId="0" applyFont="1" applyBorder="1"/>
    <xf numFmtId="0" fontId="13" fillId="0" borderId="9" xfId="0" applyFont="1" applyBorder="1"/>
    <xf numFmtId="0" fontId="13" fillId="0" borderId="14" xfId="0" applyFont="1" applyBorder="1"/>
    <xf numFmtId="0" fontId="13" fillId="0" borderId="15" xfId="0" applyFont="1" applyBorder="1"/>
    <xf numFmtId="16" fontId="12" fillId="0" borderId="0" xfId="0" applyNumberFormat="1" applyFont="1"/>
    <xf numFmtId="0" fontId="13" fillId="0" borderId="0" xfId="0" applyFont="1"/>
    <xf numFmtId="0" fontId="13" fillId="0" borderId="24" xfId="0" applyFont="1" applyBorder="1"/>
    <xf numFmtId="0" fontId="13" fillId="0" borderId="25" xfId="0" applyFont="1" applyBorder="1"/>
    <xf numFmtId="0" fontId="13" fillId="0" borderId="44" xfId="0" applyFont="1" applyBorder="1"/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6" xfId="0" applyFont="1" applyBorder="1"/>
    <xf numFmtId="166" fontId="8" fillId="4" borderId="9" xfId="0" applyNumberFormat="1" applyFont="1" applyFill="1" applyBorder="1"/>
    <xf numFmtId="166" fontId="8" fillId="4" borderId="25" xfId="0" applyNumberFormat="1" applyFont="1" applyFill="1" applyBorder="1"/>
    <xf numFmtId="0" fontId="0" fillId="4" borderId="0" xfId="0" applyFill="1"/>
    <xf numFmtId="165" fontId="0" fillId="13" borderId="16" xfId="0" applyNumberFormat="1" applyFill="1" applyBorder="1"/>
    <xf numFmtId="0" fontId="10" fillId="13" borderId="19" xfId="0" applyFont="1" applyFill="1" applyBorder="1" applyAlignment="1">
      <alignment horizontal="center"/>
    </xf>
    <xf numFmtId="0" fontId="10" fillId="13" borderId="24" xfId="0" applyFont="1" applyFill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0" borderId="26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/>
    </xf>
    <xf numFmtId="0" fontId="7" fillId="6" borderId="41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3" borderId="45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</cellXfs>
  <cellStyles count="3">
    <cellStyle name="Hypertextový odkaz" xfId="1" builtinId="8"/>
    <cellStyle name="Měna" xfId="2" builtinId="4"/>
    <cellStyle name="Normální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rgb="FFF7EF57"/>
        </patternFill>
      </fill>
    </dxf>
    <dxf>
      <fill>
        <patternFill>
          <bgColor rgb="FFFCAF14"/>
        </patternFill>
      </fill>
    </dxf>
    <dxf>
      <fill>
        <patternFill>
          <bgColor rgb="FFF82C1C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7EF57"/>
        </patternFill>
      </fill>
    </dxf>
    <dxf>
      <fill>
        <patternFill>
          <bgColor rgb="FFFCAF14"/>
        </patternFill>
      </fill>
    </dxf>
    <dxf>
      <fill>
        <patternFill>
          <bgColor rgb="FFF82C1C"/>
        </patternFill>
      </fill>
    </dxf>
  </dxfs>
  <tableStyles count="0" defaultTableStyle="TableStyleMedium2" defaultPivotStyle="PivotStyleLight16"/>
  <colors>
    <mruColors>
      <color rgb="FFE69367"/>
      <color rgb="FF58E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sabela Vybíhalová" id="{4BF5F0A9-59E8-4779-83DA-B4CACBAE6E9D}" userId="S::495243@muni.cz::a82f0fba-2ac6-4e73-9622-1108bc5264db" providerId="AD"/>
  <person displayName="Vojtěch Týč" id="{654F35AD-3458-4FD5-A17B-AA2875B5DF93}" userId="S::496069@muni.cz::dca011b3-aa0b-4f8e-b350-0566d516803a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4-05-10T12:11:30.93" personId="{4BF5F0A9-59E8-4779-83DA-B4CACBAE6E9D}" id="{4FC81BD1-E4AB-48A7-90CE-C4311AA45775}">
    <text>https://www.projektysoltys.cz/l/kolik-stoji-projekt-rodinneho-domu-a-co-vse-obsahuje/</text>
    <extLst>
      <x:ext xmlns:xltc2="http://schemas.microsoft.com/office/spreadsheetml/2020/threadedcomments2" uri="{F7C98A9C-CBB3-438F-8F68-D28B6AF4A901}">
        <xltc2:checksum>2901629958</xltc2:checksum>
        <xltc2:hyperlink startIndex="0" length="85" url="https://www.projektysoltys.cz/l/kolik-stoji-projekt-rodinneho-domu-a-co-vse-obsahuje/"/>
      </x:ext>
    </extLst>
  </threadedComment>
  <threadedComment ref="N7" dT="2024-05-10T12:12:30.33" personId="{654F35AD-3458-4FD5-A17B-AA2875B5DF93}" id="{57208255-CE5D-4913-B0FA-04875B580B51}">
    <text>https://sensorie.cz/jak-vyhrivame-chytry-sklenik-a-kolik-to-stoji/</text>
  </threadedComment>
  <threadedComment ref="C8" dT="2024-05-10T12:12:00.06" personId="{4BF5F0A9-59E8-4779-83DA-B4CACBAE6E9D}" id="{B9726B5E-3424-467D-97B1-BC6C35225E76}">
    <text>2 řemeslníci, montáž skleníku a dalších věcí, jeden z nich elektrikář (namontuje systém)</text>
  </threadedComment>
  <threadedComment ref="N8" dT="2024-05-10T12:12:50.47" personId="{654F35AD-3458-4FD5-A17B-AA2875B5DF93}" id="{7000CDD2-1E26-4829-9B38-D8B4E918C036}">
    <text>https://www.bvk.cz/media/tiskove-zpravy/detail/vodne-a-stocne-v-meste-brne-v-roce-2024</text>
  </threadedComment>
  <threadedComment ref="C9" dT="2024-05-10T12:12:23.34" personId="{4BF5F0A9-59E8-4779-83DA-B4CACBAE6E9D}" id="{CA427713-9E94-46D1-BCC7-0B12D1CA1A14}">
    <text>https://www.monitorrs.cz/Monitorrs-Security-Wifi-IP-kamerovy-set-Full-HD-1080p-2xkamera-6513K2-d1060.htm#detail-anchor-description</text>
    <extLst>
      <x:ext xmlns:xltc2="http://schemas.microsoft.com/office/spreadsheetml/2020/threadedcomments2" uri="{F7C98A9C-CBB3-438F-8F68-D28B6AF4A901}">
        <xltc2:checksum>1704070301</xltc2:checksum>
        <xltc2:hyperlink startIndex="0" length="130" url="https://www.monitorrs.cz/Monitorrs-Security-Wifi-IP-kamerovy-set-Full-HD-1080p-2xkamera-6513K2-d1060.htm#detail-anchor-description"/>
      </x:ext>
    </extLst>
  </threadedComment>
  <threadedComment ref="N9" dT="2024-05-10T12:26:54.86" personId="{654F35AD-3458-4FD5-A17B-AA2875B5DF93}" id="{BA843CE2-9023-4F5D-85DF-2606C1C50EBE}">
    <text>pojištění na pozemku skleníku už v současné době je, v rámci pojištění muni, protože pozemek se v současné době využívá k výuce</text>
  </threadedComment>
  <threadedComment ref="C10" dT="2024-05-10T12:13:02.03" personId="{4BF5F0A9-59E8-4779-83DA-B4CACBAE6E9D}" id="{F507A59D-6014-4878-B047-13B9C6E4185A}">
    <text>2 - jeden u vstupu na zahradu, druhý do té "kůlny",</text>
  </threadedComment>
  <threadedComment ref="C10" dT="2024-05-10T12:13:19.05" personId="{4BF5F0A9-59E8-4779-83DA-B4CACBAE6E9D}" id="{8B9EB834-BD3F-4FC0-A42F-7AC519AEAE70}" parentId="{F507A59D-6014-4878-B047-13B9C6E4185A}">
    <text>https://tfe.cz/pristupovy-system-e60-pro-montaz-pod-omitku.htm</text>
    <extLst>
      <x:ext xmlns:xltc2="http://schemas.microsoft.com/office/spreadsheetml/2020/threadedcomments2" uri="{F7C98A9C-CBB3-438F-8F68-D28B6AF4A901}">
        <xltc2:checksum>1355636388</xltc2:checksum>
        <xltc2:hyperlink startIndex="0" length="62" url="https://tfe.cz/pristupovy-system-e60-pro-montaz-pod-omitku.htm"/>
      </x:ext>
    </extLst>
  </threadedComment>
  <threadedComment ref="N10" dT="2024-05-10T12:32:55.10" personId="{4BF5F0A9-59E8-4779-83DA-B4CACBAE6E9D}" id="{0D6A3D5B-D086-42AC-AFAC-B856479BB103}">
    <text>Stipendium se nedaní</text>
  </threadedComment>
  <threadedComment ref="N10" dT="2024-05-10T12:37:24.06" personId="{654F35AD-3458-4FD5-A17B-AA2875B5DF93}" id="{E17E849E-CA11-4DEE-9854-8FD025B3784A}" parentId="{0D6A3D5B-D086-42AC-AFAC-B856479BB103}">
    <text>jedná se o doplnění k platu kantorovi, který má skleník v gesci</text>
  </threadedComment>
  <threadedComment ref="C11" dT="2024-05-10T12:14:19.86" personId="{654F35AD-3458-4FD5-A17B-AA2875B5DF93}" id="{44CF8BF3-A394-4164-8BCE-038E169C1215}">
    <text>https://sensorie.cz/produkt/balicek-basic/</text>
  </threadedComment>
  <threadedComment ref="C12" dT="2024-05-10T12:14:00.63" personId="{654F35AD-3458-4FD5-A17B-AA2875B5DF93}" id="{6E252BD5-D762-48FF-9D32-2B31BB4279A8}">
    <text>https://www.avenberg.cz/z2109-zahradni-domek-na-naradi-avenberg-3-7-x-3-m-antracit-sd-x1210-h170</text>
  </threadedComment>
  <threadedComment ref="C13" dT="2024-05-10T12:13:39.74" personId="{654F35AD-3458-4FD5-A17B-AA2875B5DF93}" id="{0E9BE3A9-EF30-4169-A0DE-4C04E6554843}">
    <text>zahradnice - osázení záhonů/nachystaní skleníků pro první sazení</text>
  </threadedComment>
  <threadedComment ref="C14" dT="2024-05-10T12:13:25.91" personId="{654F35AD-3458-4FD5-A17B-AA2875B5DF93}" id="{810517B6-0859-4652-AAF6-95631FDFE537}">
    <text>https://prodej-zeminy.cz/nabidka.htm</text>
  </threadedComment>
  <threadedComment ref="C15" dT="2024-05-10T12:13:13.05" personId="{654F35AD-3458-4FD5-A17B-AA2875B5DF93}" id="{BC3E1E50-A36B-4DD1-B979-15C63F76AC40}">
    <text>https://www.tsbohemia.cz/sixtol-sada-zahradniho-naradi-garden-pink-10-_d400498.html?utm_source=heureka&amp;utm_medium=srovnavac&amp;utm_campaign=Dum+a+zahrada+%7C+Dilna+%7C+Sady+naradi+do+dilny&amp;utm_term=400498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3" dT="2024-05-09T15:54:06.72" personId="{4BF5F0A9-59E8-4779-83DA-B4CACBAE6E9D}" id="{350258A7-2092-412A-9F07-C457F9175BD3}">
    <text>Dle životnosti projektu cca 15let</text>
  </threadedComment>
  <threadedComment ref="C22" dT="2024-05-09T17:44:42.45" personId="{4BF5F0A9-59E8-4779-83DA-B4CACBAE6E9D}" id="{8DC8B38C-9F6F-4644-9600-488F72318624}">
    <text>Viz. dokument, dle EU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5" dT="2024-05-09T15:54:06.72" personId="{4BF5F0A9-59E8-4779-83DA-B4CACBAE6E9D}" id="{715BE6D6-9611-4B13-B09B-749343F55838}">
    <text>Dle životnosti projektu cca 15let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G7" dT="2024-05-10T19:33:50.09" personId="{4BF5F0A9-59E8-4779-83DA-B4CACBAE6E9D}" id="{97D1A9C5-71CD-4D79-9869-952DA86DFCAC}">
    <text xml:space="preserve">Tržní hodnota výnosu za sazenici je odhad hodnoty produkce, kterou lze získat z jedné sazenice, když se tato produkce prodává za běžné maloobchodní ceny. </text>
  </threadedComment>
  <threadedComment ref="C14" dT="2024-05-09T23:33:19.82" personId="{4BF5F0A9-59E8-4779-83DA-B4CACBAE6E9D}" id="{D5B98A2F-C8E8-4B2C-BD31-EFD44284E019}">
    <text xml:space="preserve">Předpokládáme, že skleník bude využívat cca 50 osob ročně. </text>
  </threadedComment>
  <threadedComment ref="D14" dT="2024-05-10T11:28:18.91" personId="{4BF5F0A9-59E8-4779-83DA-B4CACBAE6E9D}" id="{3CA685EE-4BF6-4193-8CF0-EF4D2C18F30C}">
    <text>Každý vysadí 2 sazenice od každé zeleniny/ovoce. Tj. 50lidíx2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DB6B-3046-407B-97F4-33975AF25107}">
  <sheetPr>
    <tabColor rgb="FFFFFF00"/>
  </sheetPr>
  <dimension ref="A4:T19"/>
  <sheetViews>
    <sheetView topLeftCell="D1" zoomScale="89" zoomScaleNormal="60" workbookViewId="0">
      <selection activeCell="N10" sqref="N10"/>
    </sheetView>
  </sheetViews>
  <sheetFormatPr baseColWidth="10" defaultColWidth="8.83203125" defaultRowHeight="15" x14ac:dyDescent="0.2"/>
  <cols>
    <col min="2" max="2" width="21.83203125" customWidth="1"/>
    <col min="3" max="3" width="27.83203125" customWidth="1"/>
    <col min="6" max="6" width="12.83203125" customWidth="1"/>
    <col min="7" max="7" width="12.6640625" customWidth="1"/>
    <col min="8" max="8" width="12.5" bestFit="1" customWidth="1"/>
    <col min="9" max="9" width="13.6640625" customWidth="1"/>
    <col min="13" max="13" width="4.33203125" customWidth="1"/>
    <col min="14" max="14" width="20.6640625" customWidth="1"/>
    <col min="15" max="15" width="15.5" customWidth="1"/>
    <col min="17" max="17" width="14.1640625" customWidth="1"/>
    <col min="18" max="20" width="10.5" customWidth="1"/>
  </cols>
  <sheetData>
    <row r="4" spans="1:20" ht="16" thickBot="1" x14ac:dyDescent="0.25"/>
    <row r="5" spans="1:20" ht="16" thickBot="1" x14ac:dyDescent="0.25">
      <c r="C5" s="162" t="s">
        <v>0</v>
      </c>
      <c r="D5" s="163"/>
      <c r="E5" s="163"/>
      <c r="F5" s="163"/>
      <c r="G5" s="163"/>
      <c r="H5" s="163"/>
      <c r="I5" s="164"/>
      <c r="N5" s="162" t="s">
        <v>1</v>
      </c>
      <c r="O5" s="163"/>
      <c r="P5" s="163"/>
      <c r="Q5" s="163"/>
      <c r="R5" s="163"/>
      <c r="S5" s="163"/>
      <c r="T5" s="164"/>
    </row>
    <row r="6" spans="1:20" ht="16" thickBot="1" x14ac:dyDescent="0.25">
      <c r="C6" s="70" t="s">
        <v>2</v>
      </c>
      <c r="D6" s="74" t="s">
        <v>3</v>
      </c>
      <c r="E6" s="70" t="s">
        <v>4</v>
      </c>
      <c r="F6" s="74" t="s">
        <v>5</v>
      </c>
      <c r="G6" s="70" t="s">
        <v>6</v>
      </c>
      <c r="H6" s="74" t="s">
        <v>7</v>
      </c>
      <c r="I6" s="70" t="s">
        <v>8</v>
      </c>
      <c r="N6" s="98" t="s">
        <v>2</v>
      </c>
      <c r="O6" s="104" t="s">
        <v>3</v>
      </c>
      <c r="P6" s="98" t="s">
        <v>4</v>
      </c>
      <c r="Q6" s="98" t="s">
        <v>5</v>
      </c>
      <c r="R6" s="98" t="s">
        <v>6</v>
      </c>
      <c r="S6" s="99" t="s">
        <v>7</v>
      </c>
      <c r="T6" s="98" t="s">
        <v>8</v>
      </c>
    </row>
    <row r="7" spans="1:20" x14ac:dyDescent="0.2">
      <c r="B7" s="2"/>
      <c r="C7" s="71" t="s">
        <v>9</v>
      </c>
      <c r="D7" s="1">
        <v>1</v>
      </c>
      <c r="E7" s="4" t="s">
        <v>10</v>
      </c>
      <c r="F7" s="91">
        <v>30000</v>
      </c>
      <c r="G7" s="90">
        <v>30000</v>
      </c>
      <c r="H7" s="91">
        <f>I7*0.21</f>
        <v>7623</v>
      </c>
      <c r="I7" s="90">
        <f>G7*1.21</f>
        <v>36300</v>
      </c>
      <c r="L7" s="2"/>
      <c r="N7" s="102" t="s">
        <v>11</v>
      </c>
      <c r="O7" s="105">
        <v>350</v>
      </c>
      <c r="P7" s="105" t="s">
        <v>12</v>
      </c>
      <c r="Q7" s="106">
        <v>4</v>
      </c>
      <c r="R7" s="106">
        <f>Q7*O7</f>
        <v>1400</v>
      </c>
      <c r="S7" s="106">
        <f>T7*0.1</f>
        <v>154.00000000000003</v>
      </c>
      <c r="T7" s="107">
        <f>R7*1.1</f>
        <v>1540.0000000000002</v>
      </c>
    </row>
    <row r="8" spans="1:20" ht="17" x14ac:dyDescent="0.2">
      <c r="C8" s="71" t="s">
        <v>13</v>
      </c>
      <c r="D8" s="1">
        <v>50</v>
      </c>
      <c r="E8" s="4" t="s">
        <v>14</v>
      </c>
      <c r="F8" s="91">
        <v>350</v>
      </c>
      <c r="G8" s="92">
        <v>13825</v>
      </c>
      <c r="H8" s="91">
        <f>I8*0.21</f>
        <v>3675</v>
      </c>
      <c r="I8" s="90">
        <f>F8*D8</f>
        <v>17500</v>
      </c>
      <c r="L8" s="2"/>
      <c r="N8" s="102" t="s">
        <v>15</v>
      </c>
      <c r="O8" s="105">
        <v>100</v>
      </c>
      <c r="P8" s="105" t="s">
        <v>16</v>
      </c>
      <c r="Q8" s="106">
        <v>94</v>
      </c>
      <c r="R8" s="106">
        <f>Q8*O8</f>
        <v>9400</v>
      </c>
      <c r="S8" s="106">
        <f>T8*0.1</f>
        <v>1034</v>
      </c>
      <c r="T8" s="107">
        <f>R8*1.1</f>
        <v>10340</v>
      </c>
    </row>
    <row r="9" spans="1:20" x14ac:dyDescent="0.2">
      <c r="A9" s="2"/>
      <c r="C9" s="71" t="s">
        <v>17</v>
      </c>
      <c r="D9" s="1">
        <v>2</v>
      </c>
      <c r="E9" s="4" t="s">
        <v>18</v>
      </c>
      <c r="F9" s="91">
        <v>3822</v>
      </c>
      <c r="G9" s="90">
        <f>F9*D9</f>
        <v>7644</v>
      </c>
      <c r="H9" s="91">
        <f t="shared" ref="H9:H10" si="0">I9*0.21</f>
        <v>1942.3403999999998</v>
      </c>
      <c r="I9" s="90">
        <f t="shared" ref="I9:I10" si="1">G9*1.21</f>
        <v>9249.24</v>
      </c>
      <c r="N9" s="102" t="s">
        <v>19</v>
      </c>
      <c r="O9" s="105">
        <v>1</v>
      </c>
      <c r="P9" s="105" t="s">
        <v>20</v>
      </c>
      <c r="Q9" s="106">
        <v>0</v>
      </c>
      <c r="R9" s="106">
        <v>0</v>
      </c>
      <c r="S9" s="106">
        <v>0</v>
      </c>
      <c r="T9" s="107">
        <v>0</v>
      </c>
    </row>
    <row r="10" spans="1:20" x14ac:dyDescent="0.2">
      <c r="B10" s="2"/>
      <c r="C10" s="71" t="s">
        <v>21</v>
      </c>
      <c r="D10" s="1">
        <v>2</v>
      </c>
      <c r="E10" s="4" t="s">
        <v>10</v>
      </c>
      <c r="F10" s="91">
        <v>653</v>
      </c>
      <c r="G10" s="90">
        <f t="shared" ref="G10:G11" si="2">F10*D10</f>
        <v>1306</v>
      </c>
      <c r="H10" s="91">
        <f t="shared" si="0"/>
        <v>331.8546</v>
      </c>
      <c r="I10" s="90">
        <f t="shared" si="1"/>
        <v>1580.26</v>
      </c>
      <c r="N10" s="102" t="s">
        <v>22</v>
      </c>
      <c r="O10" s="105">
        <v>12</v>
      </c>
      <c r="P10" s="105" t="s">
        <v>23</v>
      </c>
      <c r="Q10" s="106">
        <v>2000</v>
      </c>
      <c r="R10" s="106">
        <v>24000</v>
      </c>
      <c r="S10" s="106" t="s">
        <v>24</v>
      </c>
      <c r="T10" s="107">
        <v>24000</v>
      </c>
    </row>
    <row r="11" spans="1:20" x14ac:dyDescent="0.2">
      <c r="A11" s="2"/>
      <c r="C11" s="71" t="s">
        <v>25</v>
      </c>
      <c r="D11" s="1">
        <v>1</v>
      </c>
      <c r="E11" s="4" t="s">
        <v>10</v>
      </c>
      <c r="F11" s="91">
        <v>22530</v>
      </c>
      <c r="G11" s="90">
        <f t="shared" si="2"/>
        <v>22530</v>
      </c>
      <c r="H11" s="91">
        <f>I11*0.21</f>
        <v>4731.3</v>
      </c>
      <c r="I11" s="90">
        <v>22530</v>
      </c>
      <c r="N11" s="102" t="s">
        <v>26</v>
      </c>
      <c r="O11" s="105">
        <v>4</v>
      </c>
      <c r="P11" s="105" t="s">
        <v>20</v>
      </c>
      <c r="Q11" s="106">
        <v>850</v>
      </c>
      <c r="R11" s="106">
        <v>3400</v>
      </c>
      <c r="S11" s="106">
        <f>R11*0.21</f>
        <v>714</v>
      </c>
      <c r="T11" s="107">
        <f>R11+S11</f>
        <v>4114</v>
      </c>
    </row>
    <row r="12" spans="1:20" ht="16" thickBot="1" x14ac:dyDescent="0.25">
      <c r="A12" s="2"/>
      <c r="C12" s="71" t="s">
        <v>27</v>
      </c>
      <c r="D12" s="1">
        <v>1</v>
      </c>
      <c r="E12" s="4" t="s">
        <v>10</v>
      </c>
      <c r="F12" s="91">
        <v>13999</v>
      </c>
      <c r="G12" s="90">
        <f>I12-H12</f>
        <v>11059.21</v>
      </c>
      <c r="H12" s="91">
        <f>I12*0.21</f>
        <v>2939.79</v>
      </c>
      <c r="I12" s="90">
        <v>13999</v>
      </c>
      <c r="N12" s="103" t="s">
        <v>28</v>
      </c>
      <c r="O12" s="108" t="s">
        <v>24</v>
      </c>
      <c r="P12" s="108" t="s">
        <v>24</v>
      </c>
      <c r="Q12" s="109" t="s">
        <v>24</v>
      </c>
      <c r="R12" s="110">
        <f>SUM(R7:R11)</f>
        <v>38200</v>
      </c>
      <c r="S12" s="110">
        <f>SUM(S7:S11)</f>
        <v>1902</v>
      </c>
      <c r="T12" s="111">
        <f>SUM(T7:T11)</f>
        <v>39994</v>
      </c>
    </row>
    <row r="13" spans="1:20" x14ac:dyDescent="0.2">
      <c r="C13" s="71" t="s">
        <v>29</v>
      </c>
      <c r="D13" s="1">
        <v>50</v>
      </c>
      <c r="E13" s="4" t="s">
        <v>14</v>
      </c>
      <c r="F13" s="91">
        <v>300</v>
      </c>
      <c r="G13" s="90">
        <f>D13*F13</f>
        <v>15000</v>
      </c>
      <c r="H13" s="91">
        <f t="shared" ref="H13:H15" si="3">I13*0.21</f>
        <v>3811.5</v>
      </c>
      <c r="I13" s="90">
        <f>G13*1.21</f>
        <v>18150</v>
      </c>
    </row>
    <row r="14" spans="1:20" x14ac:dyDescent="0.2">
      <c r="A14" s="2"/>
      <c r="C14" s="71" t="s">
        <v>30</v>
      </c>
      <c r="D14" s="1">
        <v>1</v>
      </c>
      <c r="E14" s="4" t="s">
        <v>31</v>
      </c>
      <c r="F14" s="91">
        <v>722</v>
      </c>
      <c r="G14" s="90">
        <f t="shared" ref="G14:G15" si="4">D14*F14</f>
        <v>722</v>
      </c>
      <c r="H14" s="91">
        <f t="shared" si="3"/>
        <v>183.32999999999998</v>
      </c>
      <c r="I14" s="90">
        <v>873</v>
      </c>
    </row>
    <row r="15" spans="1:20" ht="16" thickBot="1" x14ac:dyDescent="0.25">
      <c r="A15" s="2"/>
      <c r="C15" s="72" t="s">
        <v>32</v>
      </c>
      <c r="D15" s="3">
        <v>2</v>
      </c>
      <c r="E15" s="5" t="s">
        <v>33</v>
      </c>
      <c r="F15" s="94">
        <v>607</v>
      </c>
      <c r="G15" s="90">
        <f t="shared" si="4"/>
        <v>1214</v>
      </c>
      <c r="H15" s="91">
        <f t="shared" si="3"/>
        <v>308.7</v>
      </c>
      <c r="I15" s="93">
        <f>735*2</f>
        <v>1470</v>
      </c>
    </row>
    <row r="16" spans="1:20" ht="16" thickBot="1" x14ac:dyDescent="0.25">
      <c r="C16" s="73" t="s">
        <v>28</v>
      </c>
      <c r="D16" s="68" t="s">
        <v>24</v>
      </c>
      <c r="E16" s="69" t="s">
        <v>24</v>
      </c>
      <c r="F16" s="68" t="s">
        <v>24</v>
      </c>
      <c r="G16" s="96">
        <f>SUM(G7:G15)</f>
        <v>103300.20999999999</v>
      </c>
      <c r="H16" s="95">
        <f>SUM(H7:H15)</f>
        <v>25546.815000000002</v>
      </c>
      <c r="I16" s="97">
        <f>SUM(I7:I15)</f>
        <v>121651.5</v>
      </c>
    </row>
    <row r="17" spans="3:7" x14ac:dyDescent="0.2">
      <c r="C17" s="1"/>
    </row>
    <row r="19" spans="3:7" x14ac:dyDescent="0.2">
      <c r="E19" s="6"/>
      <c r="F19" s="7"/>
      <c r="G19" s="6"/>
    </row>
  </sheetData>
  <mergeCells count="2">
    <mergeCell ref="C5:I5"/>
    <mergeCell ref="N5:T5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FF714-4E18-44C0-83E3-241140EC4FCE}">
  <sheetPr>
    <tabColor theme="8" tint="0.39997558519241921"/>
  </sheetPr>
  <dimension ref="B2:F29"/>
  <sheetViews>
    <sheetView zoomScale="71" zoomScaleNormal="71" workbookViewId="0">
      <selection activeCell="C29" sqref="C29"/>
    </sheetView>
  </sheetViews>
  <sheetFormatPr baseColWidth="10" defaultColWidth="8.83203125" defaultRowHeight="15" x14ac:dyDescent="0.2"/>
  <cols>
    <col min="2" max="2" width="30.5" customWidth="1"/>
    <col min="3" max="3" width="16.1640625" customWidth="1"/>
    <col min="5" max="5" width="15.83203125" customWidth="1"/>
    <col min="6" max="6" width="27.6640625" customWidth="1"/>
  </cols>
  <sheetData>
    <row r="2" spans="2:6" ht="16" thickBot="1" x14ac:dyDescent="0.25"/>
    <row r="3" spans="2:6" ht="16" thickBot="1" x14ac:dyDescent="0.25">
      <c r="B3" s="34" t="s">
        <v>34</v>
      </c>
      <c r="C3" s="35" t="s">
        <v>35</v>
      </c>
      <c r="D3" s="36" t="s">
        <v>36</v>
      </c>
      <c r="E3" s="36" t="s">
        <v>37</v>
      </c>
      <c r="F3" s="37" t="s">
        <v>38</v>
      </c>
    </row>
    <row r="4" spans="2:6" x14ac:dyDescent="0.2">
      <c r="B4" s="17">
        <v>0</v>
      </c>
      <c r="C4" s="14">
        <f>-('Kalkulace nákladů'!I16+'Kalkulace nákladů'!T12)</f>
        <v>-161645.5</v>
      </c>
      <c r="D4" s="13">
        <v>0</v>
      </c>
      <c r="E4" s="22">
        <f>SUM(C4:D4)</f>
        <v>-161645.5</v>
      </c>
      <c r="F4" s="23">
        <f>E4/(1+$C$22)^B4</f>
        <v>-161645.5</v>
      </c>
    </row>
    <row r="5" spans="2:6" x14ac:dyDescent="0.2">
      <c r="B5" s="18">
        <v>1</v>
      </c>
      <c r="C5" s="15">
        <f>-('Kalkulace nákladů'!$T$12)</f>
        <v>-39994</v>
      </c>
      <c r="D5" s="9">
        <v>0</v>
      </c>
      <c r="E5" s="24">
        <f>SUM(C5:D5)</f>
        <v>-39994</v>
      </c>
      <c r="F5" s="25">
        <f>E5/(1+$C$22)^B5</f>
        <v>-37531.906906906901</v>
      </c>
    </row>
    <row r="6" spans="2:6" x14ac:dyDescent="0.2">
      <c r="B6" s="18">
        <v>2</v>
      </c>
      <c r="C6" s="15">
        <f>-('Kalkulace nákladů'!$T$12)</f>
        <v>-39994</v>
      </c>
      <c r="D6" s="9">
        <v>0</v>
      </c>
      <c r="E6" s="24">
        <f t="shared" ref="E6:E14" si="0">SUM(C6:D6)</f>
        <v>-39994</v>
      </c>
      <c r="F6" s="25">
        <f t="shared" ref="F6:F19" si="1">E6/(1+$C$22)^B6</f>
        <v>-35221.384109334555</v>
      </c>
    </row>
    <row r="7" spans="2:6" x14ac:dyDescent="0.2">
      <c r="B7" s="18">
        <v>3</v>
      </c>
      <c r="C7" s="15">
        <f>-('Kalkulace nákladů'!$T$12)</f>
        <v>-39994</v>
      </c>
      <c r="D7" s="9">
        <v>0</v>
      </c>
      <c r="E7" s="24">
        <f t="shared" si="0"/>
        <v>-39994</v>
      </c>
      <c r="F7" s="25">
        <f t="shared" si="1"/>
        <v>-33053.100703204349</v>
      </c>
    </row>
    <row r="8" spans="2:6" x14ac:dyDescent="0.2">
      <c r="B8" s="18">
        <v>4</v>
      </c>
      <c r="C8" s="15">
        <f>-('Kalkulace nákladů'!$T$12)</f>
        <v>-39994</v>
      </c>
      <c r="D8" s="9">
        <v>0</v>
      </c>
      <c r="E8" s="24">
        <f t="shared" si="0"/>
        <v>-39994</v>
      </c>
      <c r="F8" s="25">
        <f t="shared" si="1"/>
        <v>-31018.300209463534</v>
      </c>
    </row>
    <row r="9" spans="2:6" x14ac:dyDescent="0.2">
      <c r="B9" s="18">
        <v>5</v>
      </c>
      <c r="C9" s="15">
        <f>-('Kalkulace nákladů'!$T$12)</f>
        <v>-39994</v>
      </c>
      <c r="D9" s="9">
        <v>0</v>
      </c>
      <c r="E9" s="24">
        <f t="shared" si="0"/>
        <v>-39994</v>
      </c>
      <c r="F9" s="25">
        <f t="shared" si="1"/>
        <v>-29108.765211583643</v>
      </c>
    </row>
    <row r="10" spans="2:6" x14ac:dyDescent="0.2">
      <c r="B10" s="18">
        <v>6</v>
      </c>
      <c r="C10" s="15">
        <f>-('Kalkulace nákladů'!$T$12)</f>
        <v>-39994</v>
      </c>
      <c r="D10" s="9">
        <v>0</v>
      </c>
      <c r="E10" s="24">
        <f t="shared" si="0"/>
        <v>-39994</v>
      </c>
      <c r="F10" s="25">
        <f t="shared" si="1"/>
        <v>-27316.784170029696</v>
      </c>
    </row>
    <row r="11" spans="2:6" x14ac:dyDescent="0.2">
      <c r="B11" s="18">
        <v>7</v>
      </c>
      <c r="C11" s="15">
        <f>-('Kalkulace nákladů'!$T$12)</f>
        <v>-39994</v>
      </c>
      <c r="D11" s="9">
        <v>0</v>
      </c>
      <c r="E11" s="24">
        <f t="shared" si="0"/>
        <v>-39994</v>
      </c>
      <c r="F11" s="25">
        <f t="shared" si="1"/>
        <v>-25635.120279682524</v>
      </c>
    </row>
    <row r="12" spans="2:6" x14ac:dyDescent="0.2">
      <c r="B12" s="18">
        <v>8</v>
      </c>
      <c r="C12" s="15">
        <f>-('Kalkulace nákladů'!$T$12)</f>
        <v>-39994</v>
      </c>
      <c r="D12" s="9">
        <v>0</v>
      </c>
      <c r="E12" s="24">
        <f t="shared" si="0"/>
        <v>-39994</v>
      </c>
      <c r="F12" s="25">
        <f t="shared" si="1"/>
        <v>-24056.982244446808</v>
      </c>
    </row>
    <row r="13" spans="2:6" x14ac:dyDescent="0.2">
      <c r="B13" s="18">
        <v>9</v>
      </c>
      <c r="C13" s="15">
        <f>-('Kalkulace nákladů'!$T$12)</f>
        <v>-39994</v>
      </c>
      <c r="D13" s="9">
        <v>0</v>
      </c>
      <c r="E13" s="24">
        <f t="shared" si="0"/>
        <v>-39994</v>
      </c>
      <c r="F13" s="25">
        <f t="shared" si="1"/>
        <v>-22575.9968510199</v>
      </c>
    </row>
    <row r="14" spans="2:6" x14ac:dyDescent="0.2">
      <c r="B14" s="18">
        <v>10</v>
      </c>
      <c r="C14" s="15">
        <f>-('Kalkulace nákladů'!$T$12)</f>
        <v>-39994</v>
      </c>
      <c r="D14" s="9">
        <v>0</v>
      </c>
      <c r="E14" s="24">
        <f t="shared" si="0"/>
        <v>-39994</v>
      </c>
      <c r="F14" s="25">
        <f t="shared" si="1"/>
        <v>-21186.183231062219</v>
      </c>
    </row>
    <row r="15" spans="2:6" x14ac:dyDescent="0.2">
      <c r="B15" s="18">
        <v>11</v>
      </c>
      <c r="C15" s="15">
        <f>-('Kalkulace nákladů'!$T$12)</f>
        <v>-39994</v>
      </c>
      <c r="D15" s="9">
        <v>0</v>
      </c>
      <c r="E15" s="24">
        <f t="shared" ref="E15:E19" si="2">SUM(C15:D15)</f>
        <v>-39994</v>
      </c>
      <c r="F15" s="25">
        <f t="shared" si="1"/>
        <v>-19881.928707828658</v>
      </c>
    </row>
    <row r="16" spans="2:6" x14ac:dyDescent="0.2">
      <c r="B16" s="18">
        <v>12</v>
      </c>
      <c r="C16" s="15">
        <f>-('Kalkulace nákladů'!$T$12)</f>
        <v>-39994</v>
      </c>
      <c r="D16" s="9">
        <v>0</v>
      </c>
      <c r="E16" s="24">
        <f t="shared" si="2"/>
        <v>-39994</v>
      </c>
      <c r="F16" s="25">
        <f t="shared" si="1"/>
        <v>-18657.966129719083</v>
      </c>
    </row>
    <row r="17" spans="2:6" x14ac:dyDescent="0.2">
      <c r="B17" s="18">
        <v>13</v>
      </c>
      <c r="C17" s="15">
        <f>-('Kalkulace nákladů'!$T$12)</f>
        <v>-39994</v>
      </c>
      <c r="D17" s="9">
        <v>0</v>
      </c>
      <c r="E17" s="24">
        <f t="shared" si="2"/>
        <v>-39994</v>
      </c>
      <c r="F17" s="25">
        <f t="shared" si="1"/>
        <v>-17509.352599210848</v>
      </c>
    </row>
    <row r="18" spans="2:6" x14ac:dyDescent="0.2">
      <c r="B18" s="18">
        <v>14</v>
      </c>
      <c r="C18" s="15">
        <f>-('Kalkulace nákladů'!$T$12)</f>
        <v>-39994</v>
      </c>
      <c r="D18" s="9">
        <v>0</v>
      </c>
      <c r="E18" s="24">
        <f t="shared" si="2"/>
        <v>-39994</v>
      </c>
      <c r="F18" s="25">
        <f t="shared" si="1"/>
        <v>-16431.449511271439</v>
      </c>
    </row>
    <row r="19" spans="2:6" ht="16" thickBot="1" x14ac:dyDescent="0.25">
      <c r="B19" s="19">
        <v>15</v>
      </c>
      <c r="C19" s="16">
        <f>-('Kalkulace nákladů'!$T$12)</f>
        <v>-39994</v>
      </c>
      <c r="D19" s="11">
        <v>0</v>
      </c>
      <c r="E19" s="26">
        <f t="shared" si="2"/>
        <v>-39994</v>
      </c>
      <c r="F19" s="27">
        <f t="shared" si="1"/>
        <v>-15419.903820637614</v>
      </c>
    </row>
    <row r="21" spans="2:6" ht="16" thickBot="1" x14ac:dyDescent="0.25"/>
    <row r="22" spans="2:6" x14ac:dyDescent="0.2">
      <c r="B22" s="31" t="s">
        <v>39</v>
      </c>
      <c r="C22" s="75">
        <v>6.5600000000000006E-2</v>
      </c>
    </row>
    <row r="23" spans="2:6" x14ac:dyDescent="0.2">
      <c r="B23" s="32" t="s">
        <v>40</v>
      </c>
      <c r="C23" s="112">
        <f>SUM(F4:F19)</f>
        <v>-536250.6246854018</v>
      </c>
    </row>
    <row r="24" spans="2:6" ht="16" thickBot="1" x14ac:dyDescent="0.25">
      <c r="B24" s="33" t="s">
        <v>41</v>
      </c>
      <c r="C24" s="76">
        <f>-(C23/F4)</f>
        <v>-3.3174485196643384</v>
      </c>
    </row>
    <row r="26" spans="2:6" ht="16" thickBot="1" x14ac:dyDescent="0.25"/>
    <row r="27" spans="2:6" x14ac:dyDescent="0.2">
      <c r="B27" s="165" t="s">
        <v>42</v>
      </c>
      <c r="C27" s="166"/>
    </row>
    <row r="28" spans="2:6" x14ac:dyDescent="0.2">
      <c r="B28" s="38" t="s">
        <v>43</v>
      </c>
      <c r="C28" s="39" t="s">
        <v>44</v>
      </c>
    </row>
    <row r="29" spans="2:6" ht="16" thickBot="1" x14ac:dyDescent="0.25">
      <c r="B29" s="40">
        <f>C23</f>
        <v>-536250.6246854018</v>
      </c>
      <c r="C29" s="41">
        <f>C24</f>
        <v>-3.3174485196643384</v>
      </c>
    </row>
  </sheetData>
  <mergeCells count="1">
    <mergeCell ref="B27:C27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0530E-562A-40F2-A314-5D96B9A15AB6}">
  <sheetPr>
    <tabColor rgb="FF58E0EE"/>
  </sheetPr>
  <dimension ref="C4:I33"/>
  <sheetViews>
    <sheetView topLeftCell="A4" zoomScale="62" zoomScaleNormal="62" workbookViewId="0">
      <selection activeCell="E10" sqref="E10"/>
    </sheetView>
  </sheetViews>
  <sheetFormatPr baseColWidth="10" defaultColWidth="8.83203125" defaultRowHeight="15" x14ac:dyDescent="0.2"/>
  <cols>
    <col min="3" max="3" width="30.5" customWidth="1"/>
    <col min="4" max="4" width="23.83203125" customWidth="1"/>
    <col min="5" max="7" width="24.5" customWidth="1"/>
    <col min="8" max="8" width="15.83203125" customWidth="1"/>
    <col min="9" max="9" width="16.83203125" customWidth="1"/>
  </cols>
  <sheetData>
    <row r="4" spans="3:9" ht="16" thickBot="1" x14ac:dyDescent="0.25"/>
    <row r="5" spans="3:9" ht="16" thickBot="1" x14ac:dyDescent="0.25">
      <c r="C5" s="42" t="s">
        <v>34</v>
      </c>
      <c r="D5" s="43" t="s">
        <v>45</v>
      </c>
      <c r="E5" s="43" t="s">
        <v>46</v>
      </c>
      <c r="F5" s="43" t="s">
        <v>47</v>
      </c>
      <c r="G5" s="44" t="s">
        <v>48</v>
      </c>
      <c r="H5" s="44" t="s">
        <v>37</v>
      </c>
      <c r="I5" s="45" t="s">
        <v>49</v>
      </c>
    </row>
    <row r="6" spans="3:9" x14ac:dyDescent="0.2">
      <c r="C6" s="20">
        <v>0</v>
      </c>
      <c r="D6" s="14">
        <f>'Finanční analýza'!C4</f>
        <v>-161645.5</v>
      </c>
      <c r="E6" s="14">
        <v>0</v>
      </c>
      <c r="F6" s="14">
        <f>$D$28</f>
        <v>24000</v>
      </c>
      <c r="G6" s="12">
        <f>'Kalkulace nákladů'!H16</f>
        <v>25546.815000000002</v>
      </c>
      <c r="H6" s="28">
        <f>SUM(D6:G6)</f>
        <v>-112098.685</v>
      </c>
      <c r="I6" s="29">
        <f>H6/(1+$D$23)^C6</f>
        <v>-112098.685</v>
      </c>
    </row>
    <row r="7" spans="3:9" x14ac:dyDescent="0.2">
      <c r="C7" s="18">
        <v>1</v>
      </c>
      <c r="D7" s="14">
        <f>'Finanční analýza'!C5</f>
        <v>-39994</v>
      </c>
      <c r="E7" s="14">
        <v>0</v>
      </c>
      <c r="F7" s="14">
        <f>$D$28</f>
        <v>24000</v>
      </c>
      <c r="G7" s="12">
        <f>$D$27</f>
        <v>1902</v>
      </c>
      <c r="H7" s="28">
        <f t="shared" ref="H7:H21" si="0">SUM(D7:G7)</f>
        <v>-14092</v>
      </c>
      <c r="I7" s="29">
        <f t="shared" ref="I7:I21" si="1">H7/(1+$D$23)^C7</f>
        <v>-13224.474474474473</v>
      </c>
    </row>
    <row r="8" spans="3:9" x14ac:dyDescent="0.2">
      <c r="C8" s="18">
        <v>2</v>
      </c>
      <c r="D8" s="14">
        <f>'Finanční analýza'!C6</f>
        <v>-39994</v>
      </c>
      <c r="E8" s="14">
        <v>0</v>
      </c>
      <c r="F8" s="14">
        <f t="shared" ref="F8:F21" si="2">$D$28</f>
        <v>24000</v>
      </c>
      <c r="G8" s="12">
        <f t="shared" ref="G8:G21" si="3">$D$27</f>
        <v>1902</v>
      </c>
      <c r="H8" s="28">
        <f t="shared" si="0"/>
        <v>-14092</v>
      </c>
      <c r="I8" s="29">
        <f t="shared" si="1"/>
        <v>-12410.355174994813</v>
      </c>
    </row>
    <row r="9" spans="3:9" x14ac:dyDescent="0.2">
      <c r="C9" s="18">
        <v>3</v>
      </c>
      <c r="D9" s="14">
        <f>'Finanční analýza'!C7</f>
        <v>-39994</v>
      </c>
      <c r="E9" s="14">
        <v>0</v>
      </c>
      <c r="F9" s="14">
        <f t="shared" si="2"/>
        <v>24000</v>
      </c>
      <c r="G9" s="12">
        <f t="shared" si="3"/>
        <v>1902</v>
      </c>
      <c r="H9" s="28">
        <f t="shared" si="0"/>
        <v>-14092</v>
      </c>
      <c r="I9" s="29">
        <f t="shared" si="1"/>
        <v>-11646.354330888526</v>
      </c>
    </row>
    <row r="10" spans="3:9" x14ac:dyDescent="0.2">
      <c r="C10" s="18">
        <v>4</v>
      </c>
      <c r="D10" s="14">
        <f>'Finanční analýza'!C8</f>
        <v>-39994</v>
      </c>
      <c r="E10" s="14">
        <v>0</v>
      </c>
      <c r="F10" s="14">
        <f t="shared" si="2"/>
        <v>24000</v>
      </c>
      <c r="G10" s="12">
        <f t="shared" si="3"/>
        <v>1902</v>
      </c>
      <c r="H10" s="28">
        <f t="shared" si="0"/>
        <v>-14092</v>
      </c>
      <c r="I10" s="29">
        <f t="shared" si="1"/>
        <v>-10929.386571779771</v>
      </c>
    </row>
    <row r="11" spans="3:9" x14ac:dyDescent="0.2">
      <c r="C11" s="18">
        <v>5</v>
      </c>
      <c r="D11" s="14">
        <f>'Finanční analýza'!C9</f>
        <v>-39994</v>
      </c>
      <c r="E11" s="14">
        <v>0</v>
      </c>
      <c r="F11" s="14">
        <f t="shared" si="2"/>
        <v>24000</v>
      </c>
      <c r="G11" s="12">
        <f t="shared" si="3"/>
        <v>1902</v>
      </c>
      <c r="H11" s="28">
        <f t="shared" si="0"/>
        <v>-14092</v>
      </c>
      <c r="I11" s="29">
        <f t="shared" si="1"/>
        <v>-10256.556467511044</v>
      </c>
    </row>
    <row r="12" spans="3:9" x14ac:dyDescent="0.2">
      <c r="C12" s="18">
        <v>6</v>
      </c>
      <c r="D12" s="14">
        <f>'Finanční analýza'!C10</f>
        <v>-39994</v>
      </c>
      <c r="E12" s="14">
        <v>0</v>
      </c>
      <c r="F12" s="14">
        <f t="shared" si="2"/>
        <v>24000</v>
      </c>
      <c r="G12" s="12">
        <f t="shared" si="3"/>
        <v>1902</v>
      </c>
      <c r="H12" s="28">
        <f t="shared" si="0"/>
        <v>-14092</v>
      </c>
      <c r="I12" s="29">
        <f t="shared" si="1"/>
        <v>-9625.1468351267304</v>
      </c>
    </row>
    <row r="13" spans="3:9" x14ac:dyDescent="0.2">
      <c r="C13" s="18">
        <v>7</v>
      </c>
      <c r="D13" s="14">
        <f>'Finanční analýza'!C11</f>
        <v>-39994</v>
      </c>
      <c r="E13" s="14">
        <v>0</v>
      </c>
      <c r="F13" s="14">
        <f t="shared" si="2"/>
        <v>24000</v>
      </c>
      <c r="G13" s="12">
        <f t="shared" si="3"/>
        <v>1902</v>
      </c>
      <c r="H13" s="28">
        <f t="shared" si="0"/>
        <v>-14092</v>
      </c>
      <c r="I13" s="29">
        <f t="shared" si="1"/>
        <v>-9032.6077656970065</v>
      </c>
    </row>
    <row r="14" spans="3:9" x14ac:dyDescent="0.2">
      <c r="C14" s="18">
        <v>8</v>
      </c>
      <c r="D14" s="14">
        <f>'Finanční analýza'!C12</f>
        <v>-39994</v>
      </c>
      <c r="E14" s="14">
        <v>0</v>
      </c>
      <c r="F14" s="14">
        <f t="shared" si="2"/>
        <v>24000</v>
      </c>
      <c r="G14" s="12">
        <f t="shared" si="3"/>
        <v>1902</v>
      </c>
      <c r="H14" s="28">
        <f t="shared" si="0"/>
        <v>-14092</v>
      </c>
      <c r="I14" s="29">
        <f t="shared" si="1"/>
        <v>-8476.5463266676106</v>
      </c>
    </row>
    <row r="15" spans="3:9" x14ac:dyDescent="0.2">
      <c r="C15" s="18">
        <v>9</v>
      </c>
      <c r="D15" s="14">
        <f>'Finanční analýza'!C13</f>
        <v>-39994</v>
      </c>
      <c r="E15" s="14">
        <v>0</v>
      </c>
      <c r="F15" s="14">
        <f t="shared" si="2"/>
        <v>24000</v>
      </c>
      <c r="G15" s="12">
        <f t="shared" si="3"/>
        <v>1902</v>
      </c>
      <c r="H15" s="28">
        <f t="shared" si="0"/>
        <v>-14092</v>
      </c>
      <c r="I15" s="29">
        <f t="shared" si="1"/>
        <v>-7954.7168981490331</v>
      </c>
    </row>
    <row r="16" spans="3:9" x14ac:dyDescent="0.2">
      <c r="C16" s="18">
        <v>10</v>
      </c>
      <c r="D16" s="14">
        <f>'Finanční analýza'!C14</f>
        <v>-39994</v>
      </c>
      <c r="E16" s="14">
        <v>0</v>
      </c>
      <c r="F16" s="14">
        <f t="shared" si="2"/>
        <v>24000</v>
      </c>
      <c r="G16" s="12">
        <f t="shared" si="3"/>
        <v>1902</v>
      </c>
      <c r="H16" s="28">
        <f t="shared" si="0"/>
        <v>-14092</v>
      </c>
      <c r="I16" s="29">
        <f t="shared" si="1"/>
        <v>-7465.0121041188368</v>
      </c>
    </row>
    <row r="17" spans="3:9" x14ac:dyDescent="0.2">
      <c r="C17" s="18">
        <v>11</v>
      </c>
      <c r="D17" s="14">
        <f>'Finanční analýza'!C15</f>
        <v>-39994</v>
      </c>
      <c r="E17" s="14">
        <v>0</v>
      </c>
      <c r="F17" s="14">
        <f t="shared" si="2"/>
        <v>24000</v>
      </c>
      <c r="G17" s="12">
        <f t="shared" si="3"/>
        <v>1902</v>
      </c>
      <c r="H17" s="28">
        <f t="shared" si="0"/>
        <v>-14092</v>
      </c>
      <c r="I17" s="29">
        <f t="shared" si="1"/>
        <v>-7005.4543019133234</v>
      </c>
    </row>
    <row r="18" spans="3:9" x14ac:dyDescent="0.2">
      <c r="C18" s="18">
        <v>12</v>
      </c>
      <c r="D18" s="14">
        <f>'Finanční analýza'!C16</f>
        <v>-39994</v>
      </c>
      <c r="E18" s="14">
        <v>0</v>
      </c>
      <c r="F18" s="14">
        <f t="shared" si="2"/>
        <v>24000</v>
      </c>
      <c r="G18" s="12">
        <f t="shared" si="3"/>
        <v>1902</v>
      </c>
      <c r="H18" s="28">
        <f t="shared" si="0"/>
        <v>-14092</v>
      </c>
      <c r="I18" s="29">
        <f t="shared" si="1"/>
        <v>-6574.1875956393787</v>
      </c>
    </row>
    <row r="19" spans="3:9" x14ac:dyDescent="0.2">
      <c r="C19" s="18">
        <v>13</v>
      </c>
      <c r="D19" s="14">
        <f>'Finanční analýza'!C17</f>
        <v>-39994</v>
      </c>
      <c r="E19" s="14">
        <v>0</v>
      </c>
      <c r="F19" s="14">
        <f t="shared" si="2"/>
        <v>24000</v>
      </c>
      <c r="G19" s="12">
        <f t="shared" si="3"/>
        <v>1902</v>
      </c>
      <c r="H19" s="28">
        <f t="shared" si="0"/>
        <v>-14092</v>
      </c>
      <c r="I19" s="29">
        <f t="shared" si="1"/>
        <v>-6169.470341253169</v>
      </c>
    </row>
    <row r="20" spans="3:9" x14ac:dyDescent="0.2">
      <c r="C20" s="18">
        <v>14</v>
      </c>
      <c r="D20" s="14">
        <f>'Finanční analýza'!C18</f>
        <v>-39994</v>
      </c>
      <c r="E20" s="14">
        <v>0</v>
      </c>
      <c r="F20" s="14">
        <f t="shared" si="2"/>
        <v>24000</v>
      </c>
      <c r="G20" s="12">
        <f t="shared" si="3"/>
        <v>1902</v>
      </c>
      <c r="H20" s="28">
        <f t="shared" si="0"/>
        <v>-14092</v>
      </c>
      <c r="I20" s="29">
        <f t="shared" si="1"/>
        <v>-5789.6681130378847</v>
      </c>
    </row>
    <row r="21" spans="3:9" ht="16" thickBot="1" x14ac:dyDescent="0.25">
      <c r="C21" s="19">
        <v>15</v>
      </c>
      <c r="D21" s="21">
        <f>'Finanční analýza'!C19</f>
        <v>-39994</v>
      </c>
      <c r="E21" s="21">
        <v>0</v>
      </c>
      <c r="F21" s="21">
        <f t="shared" si="2"/>
        <v>24000</v>
      </c>
      <c r="G21" s="113">
        <f t="shared" si="3"/>
        <v>1902</v>
      </c>
      <c r="H21" s="28">
        <f t="shared" si="0"/>
        <v>-14092</v>
      </c>
      <c r="I21" s="29">
        <f t="shared" si="1"/>
        <v>-5433.2471030760926</v>
      </c>
    </row>
    <row r="22" spans="3:9" ht="16" thickBot="1" x14ac:dyDescent="0.25"/>
    <row r="23" spans="3:9" ht="16" thickBot="1" x14ac:dyDescent="0.25">
      <c r="C23" s="115" t="s">
        <v>50</v>
      </c>
      <c r="D23" s="116">
        <v>6.5600000000000006E-2</v>
      </c>
    </row>
    <row r="24" spans="3:9" ht="16" thickBot="1" x14ac:dyDescent="0.25"/>
    <row r="25" spans="3:9" x14ac:dyDescent="0.2">
      <c r="C25" s="167"/>
      <c r="D25" s="168"/>
    </row>
    <row r="26" spans="3:9" x14ac:dyDescent="0.2">
      <c r="C26" s="77" t="s">
        <v>51</v>
      </c>
      <c r="D26" s="101">
        <f>'Kalkulace nákladů'!H16</f>
        <v>25546.815000000002</v>
      </c>
    </row>
    <row r="27" spans="3:9" x14ac:dyDescent="0.2">
      <c r="C27" s="100" t="s">
        <v>52</v>
      </c>
      <c r="D27" s="114">
        <f>'Kalkulace nákladů'!S12</f>
        <v>1902</v>
      </c>
    </row>
    <row r="28" spans="3:9" ht="16" thickBot="1" x14ac:dyDescent="0.25">
      <c r="C28" s="78" t="s">
        <v>53</v>
      </c>
      <c r="D28" s="79">
        <f>'Ocenění netržních přínosů'!E18</f>
        <v>24000</v>
      </c>
    </row>
    <row r="30" spans="3:9" ht="16" thickBot="1" x14ac:dyDescent="0.25"/>
    <row r="31" spans="3:9" x14ac:dyDescent="0.2">
      <c r="C31" s="169" t="s">
        <v>54</v>
      </c>
      <c r="D31" s="170"/>
    </row>
    <row r="32" spans="3:9" x14ac:dyDescent="0.2">
      <c r="C32" s="38" t="s">
        <v>43</v>
      </c>
      <c r="D32" s="39" t="s">
        <v>44</v>
      </c>
    </row>
    <row r="33" spans="3:4" ht="16" thickBot="1" x14ac:dyDescent="0.25">
      <c r="C33" s="117">
        <f>SUM(I6:I21)</f>
        <v>-244091.86940432768</v>
      </c>
      <c r="D33" s="41">
        <f>C33/I6</f>
        <v>2.177473084580142</v>
      </c>
    </row>
  </sheetData>
  <mergeCells count="2">
    <mergeCell ref="C25:D25"/>
    <mergeCell ref="C31:D3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4B17-BC41-45D4-BDDD-2AFC5778BD81}">
  <sheetPr>
    <tabColor rgb="FFFFC000"/>
  </sheetPr>
  <dimension ref="C6:H18"/>
  <sheetViews>
    <sheetView zoomScale="90" zoomScaleNormal="90" workbookViewId="0">
      <selection activeCell="D9" sqref="D9"/>
    </sheetView>
  </sheetViews>
  <sheetFormatPr baseColWidth="10" defaultColWidth="8.83203125" defaultRowHeight="15" x14ac:dyDescent="0.2"/>
  <cols>
    <col min="3" max="3" width="21.1640625" customWidth="1"/>
    <col min="4" max="4" width="23.5" customWidth="1"/>
    <col min="5" max="5" width="28" customWidth="1"/>
    <col min="6" max="6" width="28.1640625" customWidth="1"/>
    <col min="7" max="7" width="29.1640625" customWidth="1"/>
    <col min="8" max="8" width="34.1640625" customWidth="1"/>
    <col min="9" max="9" width="29.6640625" customWidth="1"/>
  </cols>
  <sheetData>
    <row r="6" spans="3:8" ht="16" thickBot="1" x14ac:dyDescent="0.25"/>
    <row r="7" spans="3:8" x14ac:dyDescent="0.2">
      <c r="C7" s="46" t="s">
        <v>55</v>
      </c>
      <c r="D7" s="47" t="s">
        <v>56</v>
      </c>
      <c r="E7" s="47" t="s">
        <v>57</v>
      </c>
      <c r="F7" s="47" t="s">
        <v>58</v>
      </c>
      <c r="G7" s="47" t="s">
        <v>59</v>
      </c>
      <c r="H7" s="48" t="s">
        <v>60</v>
      </c>
    </row>
    <row r="8" spans="3:8" x14ac:dyDescent="0.2">
      <c r="C8" s="49" t="s">
        <v>61</v>
      </c>
      <c r="D8" s="50">
        <v>25</v>
      </c>
      <c r="E8" s="51">
        <v>120</v>
      </c>
      <c r="F8" s="52">
        <v>1</v>
      </c>
      <c r="G8" s="154">
        <f>E8*F8</f>
        <v>120</v>
      </c>
      <c r="H8" s="60">
        <f>(E8/F8)-(D8/F8)</f>
        <v>95</v>
      </c>
    </row>
    <row r="9" spans="3:8" x14ac:dyDescent="0.2">
      <c r="C9" s="49" t="s">
        <v>62</v>
      </c>
      <c r="D9" s="50">
        <v>25</v>
      </c>
      <c r="E9" s="51">
        <v>80</v>
      </c>
      <c r="F9" s="52">
        <v>0.5</v>
      </c>
      <c r="G9" s="154">
        <f>E9*F9</f>
        <v>40</v>
      </c>
      <c r="H9" s="61">
        <f>(E9)-(D9*2)</f>
        <v>30</v>
      </c>
    </row>
    <row r="10" spans="3:8" ht="16" thickBot="1" x14ac:dyDescent="0.25">
      <c r="C10" s="53" t="s">
        <v>63</v>
      </c>
      <c r="D10" s="63">
        <v>20</v>
      </c>
      <c r="E10" s="64">
        <v>30</v>
      </c>
      <c r="F10" s="65">
        <v>5</v>
      </c>
      <c r="G10" s="155">
        <f>E10*F10</f>
        <v>150</v>
      </c>
      <c r="H10" s="62">
        <f>E10-(D10/F10)</f>
        <v>26</v>
      </c>
    </row>
    <row r="11" spans="3:8" x14ac:dyDescent="0.2">
      <c r="G11" s="156"/>
    </row>
    <row r="13" spans="3:8" ht="16" thickBot="1" x14ac:dyDescent="0.25"/>
    <row r="14" spans="3:8" x14ac:dyDescent="0.2">
      <c r="C14" s="54" t="s">
        <v>64</v>
      </c>
      <c r="D14" s="55" t="s">
        <v>65</v>
      </c>
      <c r="E14" s="56" t="s">
        <v>66</v>
      </c>
    </row>
    <row r="15" spans="3:8" x14ac:dyDescent="0.2">
      <c r="C15" s="57" t="s">
        <v>61</v>
      </c>
      <c r="D15" s="8">
        <f>50*2</f>
        <v>100</v>
      </c>
      <c r="E15" s="58">
        <f>H8*D15</f>
        <v>9500</v>
      </c>
    </row>
    <row r="16" spans="3:8" x14ac:dyDescent="0.2">
      <c r="C16" s="57" t="s">
        <v>62</v>
      </c>
      <c r="D16" s="8">
        <f>50*2</f>
        <v>100</v>
      </c>
      <c r="E16" s="59">
        <f>H9*D16*F9</f>
        <v>1500</v>
      </c>
    </row>
    <row r="17" spans="3:5" x14ac:dyDescent="0.2">
      <c r="C17" s="57" t="s">
        <v>63</v>
      </c>
      <c r="D17" s="8">
        <f>50*2</f>
        <v>100</v>
      </c>
      <c r="E17" s="59">
        <f>H10*D17*F10</f>
        <v>13000</v>
      </c>
    </row>
    <row r="18" spans="3:5" ht="16" thickBot="1" x14ac:dyDescent="0.25">
      <c r="C18" s="30"/>
      <c r="D18" s="67" t="s">
        <v>67</v>
      </c>
      <c r="E18" s="66">
        <f>SUM(E15:E17)</f>
        <v>24000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F092-79A0-4F1D-8A23-379BB39B094F}">
  <sheetPr>
    <tabColor theme="9" tint="0.59999389629810485"/>
  </sheetPr>
  <dimension ref="B2:O20"/>
  <sheetViews>
    <sheetView topLeftCell="D1" workbookViewId="0">
      <selection activeCell="L7" sqref="L7"/>
    </sheetView>
  </sheetViews>
  <sheetFormatPr baseColWidth="10" defaultColWidth="8.83203125" defaultRowHeight="15" x14ac:dyDescent="0.2"/>
  <cols>
    <col min="2" max="2" width="32.5" customWidth="1"/>
    <col min="3" max="3" width="25" customWidth="1"/>
    <col min="4" max="4" width="22.5" customWidth="1"/>
    <col min="5" max="5" width="25.33203125" customWidth="1"/>
    <col min="6" max="6" width="9.1640625" bestFit="1" customWidth="1"/>
    <col min="9" max="9" width="19.33203125" customWidth="1"/>
    <col min="11" max="11" width="9.83203125" bestFit="1" customWidth="1"/>
    <col min="12" max="12" width="19.33203125" customWidth="1"/>
    <col min="15" max="15" width="18.1640625" customWidth="1"/>
  </cols>
  <sheetData>
    <row r="2" spans="2:15" ht="16" thickBot="1" x14ac:dyDescent="0.25"/>
    <row r="3" spans="2:15" x14ac:dyDescent="0.2">
      <c r="B3" s="121" t="s">
        <v>68</v>
      </c>
      <c r="C3" s="121" t="s">
        <v>69</v>
      </c>
      <c r="D3" s="121" t="s">
        <v>70</v>
      </c>
      <c r="E3" s="122" t="s">
        <v>71</v>
      </c>
      <c r="F3" s="123"/>
      <c r="G3" s="123"/>
      <c r="H3" s="171" t="s">
        <v>72</v>
      </c>
      <c r="I3" s="172"/>
      <c r="J3" s="123"/>
      <c r="K3" s="177" t="s">
        <v>73</v>
      </c>
      <c r="L3" s="178"/>
      <c r="M3" s="123"/>
      <c r="N3" s="175"/>
      <c r="O3" s="175"/>
    </row>
    <row r="4" spans="2:15" x14ac:dyDescent="0.2">
      <c r="B4" s="124" t="s">
        <v>74</v>
      </c>
      <c r="C4" s="125">
        <v>3</v>
      </c>
      <c r="D4" s="125">
        <v>4</v>
      </c>
      <c r="E4" s="126">
        <f t="shared" ref="E4:E10" si="0">C4*D4</f>
        <v>12</v>
      </c>
      <c r="F4" s="123"/>
      <c r="G4" s="123"/>
      <c r="H4" s="127">
        <v>0</v>
      </c>
      <c r="I4" s="128" t="s">
        <v>75</v>
      </c>
      <c r="J4" s="123"/>
      <c r="K4" s="129" t="s">
        <v>76</v>
      </c>
      <c r="L4" s="130" t="s">
        <v>77</v>
      </c>
      <c r="M4" s="123"/>
      <c r="N4" s="10"/>
      <c r="O4" s="10"/>
    </row>
    <row r="5" spans="2:15" x14ac:dyDescent="0.2">
      <c r="B5" s="131" t="s">
        <v>78</v>
      </c>
      <c r="C5" s="132">
        <v>3</v>
      </c>
      <c r="D5" s="132">
        <v>4</v>
      </c>
      <c r="E5" s="133">
        <f t="shared" si="0"/>
        <v>12</v>
      </c>
      <c r="F5" s="123"/>
      <c r="G5" s="123"/>
      <c r="H5" s="127">
        <v>1</v>
      </c>
      <c r="I5" s="128" t="s">
        <v>79</v>
      </c>
      <c r="J5" s="123"/>
      <c r="K5" s="134" t="s">
        <v>80</v>
      </c>
      <c r="L5" s="135" t="s">
        <v>81</v>
      </c>
      <c r="M5" s="123"/>
      <c r="N5" s="10"/>
      <c r="O5" s="10"/>
    </row>
    <row r="6" spans="2:15" x14ac:dyDescent="0.2">
      <c r="B6" s="131" t="s">
        <v>82</v>
      </c>
      <c r="C6" s="132">
        <v>2</v>
      </c>
      <c r="D6" s="132">
        <v>5</v>
      </c>
      <c r="E6" s="133">
        <f t="shared" si="0"/>
        <v>10</v>
      </c>
      <c r="F6" s="123"/>
      <c r="G6" s="123"/>
      <c r="H6" s="127">
        <v>2</v>
      </c>
      <c r="I6" s="128" t="s">
        <v>83</v>
      </c>
      <c r="J6" s="123"/>
      <c r="K6" s="136" t="s">
        <v>84</v>
      </c>
      <c r="L6" s="135" t="s">
        <v>85</v>
      </c>
      <c r="M6" s="123"/>
      <c r="N6" s="10"/>
      <c r="O6" s="10"/>
    </row>
    <row r="7" spans="2:15" x14ac:dyDescent="0.2">
      <c r="B7" s="131" t="s">
        <v>86</v>
      </c>
      <c r="C7" s="132">
        <v>3</v>
      </c>
      <c r="D7" s="132">
        <v>3</v>
      </c>
      <c r="E7" s="133">
        <f t="shared" si="0"/>
        <v>9</v>
      </c>
      <c r="F7" s="123"/>
      <c r="G7" s="123"/>
      <c r="H7" s="127">
        <v>3</v>
      </c>
      <c r="I7" s="128" t="s">
        <v>87</v>
      </c>
      <c r="J7" s="123"/>
      <c r="K7" s="137" t="s">
        <v>88</v>
      </c>
      <c r="L7" s="138" t="s">
        <v>89</v>
      </c>
      <c r="M7" s="123"/>
      <c r="N7" s="10"/>
      <c r="O7" s="10"/>
    </row>
    <row r="8" spans="2:15" x14ac:dyDescent="0.2">
      <c r="B8" s="139" t="s">
        <v>90</v>
      </c>
      <c r="C8" s="140">
        <v>4</v>
      </c>
      <c r="D8" s="140">
        <v>2</v>
      </c>
      <c r="E8" s="133">
        <f t="shared" si="0"/>
        <v>8</v>
      </c>
      <c r="F8" s="123"/>
      <c r="G8" s="123"/>
      <c r="H8" s="127">
        <v>4</v>
      </c>
      <c r="I8" s="128" t="s">
        <v>91</v>
      </c>
      <c r="J8" s="123"/>
      <c r="K8" s="141"/>
      <c r="L8" s="123"/>
      <c r="M8" s="123"/>
      <c r="N8" s="10"/>
      <c r="O8" s="10"/>
    </row>
    <row r="9" spans="2:15" x14ac:dyDescent="0.2">
      <c r="B9" s="142" t="s">
        <v>92</v>
      </c>
      <c r="C9" s="143">
        <v>2</v>
      </c>
      <c r="D9" s="143">
        <v>3</v>
      </c>
      <c r="E9" s="133">
        <f t="shared" si="0"/>
        <v>6</v>
      </c>
      <c r="F9" s="123"/>
      <c r="G9" s="123"/>
      <c r="H9" s="144">
        <v>5</v>
      </c>
      <c r="I9" s="145" t="s">
        <v>93</v>
      </c>
      <c r="J9" s="123"/>
      <c r="K9" s="146"/>
      <c r="L9" s="147"/>
      <c r="M9" s="123"/>
      <c r="N9" s="10"/>
      <c r="O9" s="10"/>
    </row>
    <row r="10" spans="2:15" x14ac:dyDescent="0.2">
      <c r="B10" s="148" t="s">
        <v>94</v>
      </c>
      <c r="C10" s="149">
        <v>1</v>
      </c>
      <c r="D10" s="149">
        <v>1</v>
      </c>
      <c r="E10" s="150">
        <f t="shared" si="0"/>
        <v>1</v>
      </c>
      <c r="F10" s="123"/>
      <c r="G10" s="123"/>
      <c r="H10" s="123"/>
      <c r="I10" s="123"/>
      <c r="J10" s="123"/>
      <c r="K10" s="123"/>
      <c r="L10" s="123"/>
      <c r="M10" s="123"/>
    </row>
    <row r="11" spans="2:15" x14ac:dyDescent="0.2">
      <c r="B11" s="147"/>
      <c r="C11" s="147"/>
      <c r="D11" s="147"/>
      <c r="E11" s="147"/>
      <c r="F11" s="123"/>
      <c r="G11" s="123"/>
      <c r="H11" s="123"/>
      <c r="I11" s="123"/>
      <c r="J11" s="123"/>
      <c r="K11" s="123"/>
      <c r="L11" s="123"/>
      <c r="M11" s="123"/>
    </row>
    <row r="12" spans="2:15" x14ac:dyDescent="0.2">
      <c r="B12" s="147"/>
      <c r="C12" s="147"/>
      <c r="D12" s="147"/>
      <c r="E12" s="147"/>
      <c r="F12" s="123"/>
      <c r="G12" s="123"/>
      <c r="H12" s="173" t="s">
        <v>70</v>
      </c>
      <c r="I12" s="174"/>
      <c r="J12" s="123"/>
      <c r="K12" s="123"/>
      <c r="L12" s="123"/>
      <c r="M12" s="123"/>
      <c r="N12" s="176"/>
      <c r="O12" s="176"/>
    </row>
    <row r="13" spans="2:15" x14ac:dyDescent="0.2">
      <c r="B13" s="123"/>
      <c r="C13" s="123"/>
      <c r="D13" s="123"/>
      <c r="E13" s="123"/>
      <c r="F13" s="123"/>
      <c r="G13" s="123"/>
      <c r="H13" s="127">
        <v>0</v>
      </c>
      <c r="I13" s="128" t="s">
        <v>95</v>
      </c>
      <c r="J13" s="123"/>
      <c r="K13" s="123"/>
      <c r="L13" s="123"/>
      <c r="M13" s="123"/>
      <c r="N13" s="10"/>
      <c r="O13" s="10"/>
    </row>
    <row r="14" spans="2:15" x14ac:dyDescent="0.2">
      <c r="B14" s="123"/>
      <c r="C14" s="123"/>
      <c r="D14" s="123"/>
      <c r="E14" s="123"/>
      <c r="F14" s="123"/>
      <c r="G14" s="123"/>
      <c r="H14" s="127">
        <v>1</v>
      </c>
      <c r="I14" s="128" t="s">
        <v>96</v>
      </c>
      <c r="J14" s="123"/>
      <c r="K14" s="123"/>
      <c r="L14" s="123"/>
      <c r="M14" s="123"/>
      <c r="N14" s="10"/>
      <c r="O14" s="10"/>
    </row>
    <row r="15" spans="2:15" x14ac:dyDescent="0.2">
      <c r="B15" s="123"/>
      <c r="C15" s="123"/>
      <c r="D15" s="123"/>
      <c r="E15" s="123"/>
      <c r="F15" s="123"/>
      <c r="G15" s="123"/>
      <c r="H15" s="127">
        <v>2</v>
      </c>
      <c r="I15" s="128" t="s">
        <v>97</v>
      </c>
      <c r="J15" s="123"/>
      <c r="K15" s="123"/>
      <c r="L15" s="123"/>
      <c r="M15" s="123"/>
      <c r="N15" s="10"/>
      <c r="O15" s="10"/>
    </row>
    <row r="16" spans="2:15" x14ac:dyDescent="0.2">
      <c r="B16" s="123"/>
      <c r="C16" s="123"/>
      <c r="D16" s="123"/>
      <c r="E16" s="123"/>
      <c r="F16" s="123"/>
      <c r="G16" s="123"/>
      <c r="H16" s="127">
        <v>3</v>
      </c>
      <c r="I16" s="128" t="s">
        <v>98</v>
      </c>
      <c r="J16" s="123"/>
      <c r="K16" s="123"/>
      <c r="L16" s="123"/>
      <c r="M16" s="123"/>
      <c r="N16" s="10"/>
      <c r="O16" s="10"/>
    </row>
    <row r="17" spans="2:15" x14ac:dyDescent="0.2">
      <c r="B17" s="123"/>
      <c r="C17" s="123"/>
      <c r="D17" s="123"/>
      <c r="E17" s="123"/>
      <c r="F17" s="123"/>
      <c r="G17" s="123"/>
      <c r="H17" s="127">
        <v>4</v>
      </c>
      <c r="I17" s="128" t="s">
        <v>99</v>
      </c>
      <c r="J17" s="123"/>
      <c r="K17" s="123"/>
      <c r="L17" s="123"/>
      <c r="M17" s="123"/>
      <c r="N17" s="10"/>
      <c r="O17" s="10"/>
    </row>
    <row r="18" spans="2:15" x14ac:dyDescent="0.2">
      <c r="B18" s="123"/>
      <c r="C18" s="123"/>
      <c r="D18" s="123"/>
      <c r="E18" s="123"/>
      <c r="F18" s="123"/>
      <c r="G18" s="123"/>
      <c r="H18" s="144">
        <v>5</v>
      </c>
      <c r="I18" s="145" t="s">
        <v>100</v>
      </c>
      <c r="J18" s="123"/>
      <c r="K18" s="123"/>
      <c r="L18" s="123"/>
      <c r="M18" s="123"/>
      <c r="N18" s="10"/>
      <c r="O18" s="10"/>
    </row>
    <row r="19" spans="2:15" x14ac:dyDescent="0.2"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2:15" x14ac:dyDescent="0.2"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</sheetData>
  <mergeCells count="5">
    <mergeCell ref="H3:I3"/>
    <mergeCell ref="H12:I12"/>
    <mergeCell ref="N3:O3"/>
    <mergeCell ref="N12:O12"/>
    <mergeCell ref="K3:L3"/>
  </mergeCells>
  <conditionalFormatting sqref="E4:E10">
    <cfRule type="cellIs" dxfId="11" priority="1" operator="between">
      <formula>11</formula>
      <formula>15</formula>
    </cfRule>
    <cfRule type="cellIs" dxfId="10" priority="2" operator="between">
      <formula>7</formula>
      <formula>10</formula>
    </cfRule>
    <cfRule type="cellIs" dxfId="9" priority="3" operator="between">
      <formula>4</formula>
      <formula>6</formula>
    </cfRule>
    <cfRule type="cellIs" dxfId="8" priority="4" operator="between">
      <formula>1</formula>
      <formula>3</formula>
    </cfRule>
    <cfRule type="cellIs" dxfId="7" priority="5" operator="between">
      <formula>1</formula>
      <formula>3</formula>
    </cfRule>
    <cfRule type="cellIs" dxfId="6" priority="6" operator="between">
      <formula>13</formula>
      <formula>15</formula>
    </cfRule>
    <cfRule type="cellIs" dxfId="5" priority="7" operator="between">
      <formula>10</formula>
      <formula>12</formula>
    </cfRule>
    <cfRule type="cellIs" dxfId="4" priority="8" operator="between">
      <formula>7</formula>
      <formula>9</formula>
    </cfRule>
    <cfRule type="cellIs" dxfId="3" priority="9" operator="between">
      <formula>4</formula>
      <formula>6</formula>
    </cfRule>
    <cfRule type="cellIs" dxfId="2" priority="10" operator="between">
      <formula>1</formula>
      <formula>3</formula>
    </cfRule>
  </conditionalFormatting>
  <conditionalFormatting sqref="K4:K7">
    <cfRule type="cellIs" dxfId="1" priority="11" operator="between">
      <formula>1</formula>
      <formula>3</formula>
    </cfRule>
    <cfRule type="colorScale" priority="12">
      <colorScale>
        <cfvo type="min"/>
        <cfvo type="percentile" val="50"/>
        <cfvo type="max"/>
        <color theme="9" tint="0.39997558519241921"/>
        <color rgb="FFFFEB84"/>
        <color rgb="FFFF00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0" priority="14" rank="5"/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A397-0243-4F20-B1FE-2AE0F47DDA6A}">
  <sheetPr>
    <tabColor theme="5" tint="-0.249977111117893"/>
  </sheetPr>
  <dimension ref="B1:J91"/>
  <sheetViews>
    <sheetView tabSelected="1" zoomScale="69" zoomScaleNormal="69" workbookViewId="0">
      <selection activeCell="H3" sqref="H3"/>
    </sheetView>
  </sheetViews>
  <sheetFormatPr baseColWidth="10" defaultColWidth="8.83203125" defaultRowHeight="15" x14ac:dyDescent="0.2"/>
  <cols>
    <col min="2" max="2" width="43.83203125" customWidth="1"/>
    <col min="3" max="3" width="23.83203125" customWidth="1"/>
    <col min="4" max="4" width="19.6640625" customWidth="1"/>
    <col min="5" max="5" width="21.1640625" customWidth="1"/>
    <col min="6" max="6" width="19.1640625" customWidth="1"/>
    <col min="7" max="7" width="18.5" customWidth="1"/>
    <col min="8" max="8" width="15.5" customWidth="1"/>
    <col min="9" max="9" width="14.6640625" customWidth="1"/>
    <col min="10" max="10" width="20.1640625" customWidth="1"/>
  </cols>
  <sheetData>
    <row r="1" spans="2:10" ht="16" thickBot="1" x14ac:dyDescent="0.25"/>
    <row r="2" spans="2:10" x14ac:dyDescent="0.2">
      <c r="B2" s="118" t="s">
        <v>101</v>
      </c>
      <c r="C2" s="119" t="s">
        <v>102</v>
      </c>
      <c r="D2" s="120" t="s">
        <v>103</v>
      </c>
      <c r="E2" s="120" t="s">
        <v>104</v>
      </c>
      <c r="F2" s="120" t="s">
        <v>105</v>
      </c>
      <c r="G2" s="118" t="s">
        <v>106</v>
      </c>
      <c r="H2" s="120" t="s">
        <v>107</v>
      </c>
      <c r="I2" s="119" t="s">
        <v>108</v>
      </c>
      <c r="J2" s="118" t="s">
        <v>109</v>
      </c>
    </row>
    <row r="3" spans="2:10" x14ac:dyDescent="0.2">
      <c r="B3" s="153" t="s">
        <v>110</v>
      </c>
      <c r="C3" s="83" t="s">
        <v>111</v>
      </c>
      <c r="D3" s="81">
        <v>0.2</v>
      </c>
      <c r="E3" s="85">
        <f>$C$8</f>
        <v>-244091.86940432768</v>
      </c>
      <c r="F3" s="89">
        <f>SUM(G16:G31)</f>
        <v>-510821.35255798994</v>
      </c>
      <c r="G3" s="157">
        <f>F3-E3</f>
        <v>-266729.4831536623</v>
      </c>
      <c r="H3" s="86">
        <f>$C$9</f>
        <v>2.177473084580142</v>
      </c>
      <c r="I3" s="86">
        <f>-(F3/G16)</f>
        <v>-3.7533158572251448</v>
      </c>
      <c r="J3" s="88">
        <f>I3-H3</f>
        <v>-5.9307889418052868</v>
      </c>
    </row>
    <row r="4" spans="2:10" x14ac:dyDescent="0.2">
      <c r="B4" s="153" t="s">
        <v>112</v>
      </c>
      <c r="C4" s="83" t="s">
        <v>111</v>
      </c>
      <c r="D4" s="81">
        <v>0.2</v>
      </c>
      <c r="E4" s="85">
        <f>$C$8</f>
        <v>-244091.86940432768</v>
      </c>
      <c r="F4" s="89">
        <f>SUM(G36:G51)</f>
        <v>-529116.31792314583</v>
      </c>
      <c r="G4" s="157">
        <f>F4-E4</f>
        <v>-285024.44851881813</v>
      </c>
      <c r="H4" s="86">
        <f>$C$9</f>
        <v>2.177473084580142</v>
      </c>
      <c r="I4" s="86">
        <f>-(F4/G36)</f>
        <v>-3.8877401197751897</v>
      </c>
      <c r="J4" s="88">
        <f>I4-H4</f>
        <v>-6.0652132043553317</v>
      </c>
    </row>
    <row r="5" spans="2:10" x14ac:dyDescent="0.2">
      <c r="B5" s="153" t="s">
        <v>113</v>
      </c>
      <c r="C5" s="84" t="s">
        <v>114</v>
      </c>
      <c r="D5" s="82">
        <v>15000</v>
      </c>
      <c r="E5" s="85">
        <f>$C$8</f>
        <v>-244091.86940432768</v>
      </c>
      <c r="F5" s="89">
        <f>SUM(G56:G71)</f>
        <v>-505285.43601426191</v>
      </c>
      <c r="G5" s="157">
        <f>F5-E5</f>
        <v>-261193.56660993423</v>
      </c>
      <c r="H5" s="86">
        <f>$C$9</f>
        <v>2.177473084580142</v>
      </c>
      <c r="I5" s="86">
        <f>-(F5/G56)</f>
        <v>-3.7126401038647945</v>
      </c>
      <c r="J5" s="88">
        <f>I5-H5</f>
        <v>-5.8901131884449365</v>
      </c>
    </row>
    <row r="6" spans="2:10" x14ac:dyDescent="0.2">
      <c r="B6" s="153" t="s">
        <v>115</v>
      </c>
      <c r="C6" s="83" t="s">
        <v>116</v>
      </c>
      <c r="D6" s="81">
        <v>0.5</v>
      </c>
      <c r="E6" s="85">
        <f>$C$8</f>
        <v>-244091.86940432768</v>
      </c>
      <c r="F6" s="89">
        <f>SUM(G76:G91)</f>
        <v>-492888.66373471834</v>
      </c>
      <c r="G6" s="157">
        <f>F6-E6</f>
        <v>-248796.79433039066</v>
      </c>
      <c r="H6" s="86">
        <f>$C$9</f>
        <v>2.177473084580142</v>
      </c>
      <c r="I6" s="86">
        <f>-(F6/G76)</f>
        <v>-3.6215534612602491</v>
      </c>
      <c r="J6" s="88">
        <f>I6-H6</f>
        <v>-5.7990265458403911</v>
      </c>
    </row>
    <row r="8" spans="2:10" x14ac:dyDescent="0.2">
      <c r="B8" s="158" t="s">
        <v>117</v>
      </c>
      <c r="C8" s="160">
        <f>'Ekonomická analýza '!C33</f>
        <v>-244091.86940432768</v>
      </c>
    </row>
    <row r="9" spans="2:10" x14ac:dyDescent="0.2">
      <c r="B9" s="159" t="s">
        <v>107</v>
      </c>
      <c r="C9" s="161">
        <f>'Ekonomická analýza '!D33</f>
        <v>2.177473084580142</v>
      </c>
    </row>
    <row r="13" spans="2:10" x14ac:dyDescent="0.2">
      <c r="B13" s="120" t="s">
        <v>118</v>
      </c>
    </row>
    <row r="14" spans="2:10" ht="16" thickBot="1" x14ac:dyDescent="0.25"/>
    <row r="15" spans="2:10" x14ac:dyDescent="0.2">
      <c r="B15" s="118" t="s">
        <v>34</v>
      </c>
      <c r="C15" s="118" t="s">
        <v>45</v>
      </c>
      <c r="D15" s="118" t="s">
        <v>46</v>
      </c>
      <c r="E15" s="118" t="s">
        <v>119</v>
      </c>
      <c r="F15" s="118" t="s">
        <v>37</v>
      </c>
      <c r="G15" s="118" t="s">
        <v>49</v>
      </c>
    </row>
    <row r="16" spans="2:10" x14ac:dyDescent="0.2">
      <c r="B16" s="151">
        <v>0</v>
      </c>
      <c r="C16" s="80">
        <f>'Finanční analýza'!C4</f>
        <v>-161645.5</v>
      </c>
      <c r="D16" s="80">
        <f>'Ekonomická analýza '!E6</f>
        <v>0</v>
      </c>
      <c r="E16" s="80">
        <f>'Ekonomická analýza '!G6</f>
        <v>25546.815000000002</v>
      </c>
      <c r="F16" s="80">
        <f>SUM(C16:E16)</f>
        <v>-136098.685</v>
      </c>
      <c r="G16" s="87">
        <f>F16/(1+'Finanční analýza'!$C$22)^B16</f>
        <v>-136098.685</v>
      </c>
    </row>
    <row r="17" spans="2:7" x14ac:dyDescent="0.2">
      <c r="B17" s="151">
        <v>1</v>
      </c>
      <c r="C17" s="80">
        <f>'Finanční analýza'!C5</f>
        <v>-39994</v>
      </c>
      <c r="D17" s="80">
        <f>'Ekonomická analýza '!E7</f>
        <v>0</v>
      </c>
      <c r="E17" s="80">
        <f>'Ekonomická analýza '!G7</f>
        <v>1902</v>
      </c>
      <c r="F17" s="80">
        <f t="shared" ref="F17:F31" si="0">SUM(C17:E17)</f>
        <v>-38092</v>
      </c>
      <c r="G17" s="87">
        <f>F17/(1+'Finanční analýza'!$C$22)^B17</f>
        <v>-35746.996996996997</v>
      </c>
    </row>
    <row r="18" spans="2:7" x14ac:dyDescent="0.2">
      <c r="B18" s="151">
        <v>2</v>
      </c>
      <c r="C18" s="80">
        <f>'Finanční analýza'!C6</f>
        <v>-39994</v>
      </c>
      <c r="D18" s="80">
        <f>'Ekonomická analýza '!E8</f>
        <v>0</v>
      </c>
      <c r="E18" s="80">
        <f>'Ekonomická analýza '!G8</f>
        <v>1902</v>
      </c>
      <c r="F18" s="80">
        <f t="shared" si="0"/>
        <v>-38092</v>
      </c>
      <c r="G18" s="87">
        <f>F18/(1+'Finanční analýza'!$C$22)^B18</f>
        <v>-33546.356040725404</v>
      </c>
    </row>
    <row r="19" spans="2:7" x14ac:dyDescent="0.2">
      <c r="B19" s="151">
        <v>3</v>
      </c>
      <c r="C19" s="80">
        <f>('Finanční analýza'!C7)-(('Kalkulace nákladů'!$T$8+'Kalkulace nákladů'!$T$7)*0.2)</f>
        <v>-42370</v>
      </c>
      <c r="D19" s="80">
        <f>'Ekonomická analýza '!E9</f>
        <v>0</v>
      </c>
      <c r="E19" s="80">
        <f>'Ekonomická analýza '!G9</f>
        <v>1902</v>
      </c>
      <c r="F19" s="80">
        <f t="shared" si="0"/>
        <v>-40468</v>
      </c>
      <c r="G19" s="87">
        <f>F19/(1+'Finanční analýza'!$C$22)^B19</f>
        <v>-33444.838707237926</v>
      </c>
    </row>
    <row r="20" spans="2:7" x14ac:dyDescent="0.2">
      <c r="B20" s="151">
        <v>4</v>
      </c>
      <c r="C20" s="80">
        <f>('Finanční analýza'!C8)-(('Kalkulace nákladů'!$T$8+'Kalkulace nákladů'!$T$7)*0.2)</f>
        <v>-42370</v>
      </c>
      <c r="D20" s="80">
        <f>'Ekonomická analýza '!E10</f>
        <v>0</v>
      </c>
      <c r="E20" s="80">
        <f>'Ekonomická analýza '!G10</f>
        <v>1902</v>
      </c>
      <c r="F20" s="80">
        <f t="shared" si="0"/>
        <v>-40468</v>
      </c>
      <c r="G20" s="87">
        <f>F20/(1+'Finanční analýza'!$C$22)^B20</f>
        <v>-31385.922210245797</v>
      </c>
    </row>
    <row r="21" spans="2:7" x14ac:dyDescent="0.2">
      <c r="B21" s="151">
        <v>5</v>
      </c>
      <c r="C21" s="80">
        <f>('Finanční analýza'!C9)-(('Kalkulace nákladů'!$T$8+'Kalkulace nákladů'!$T$7)*0.2)</f>
        <v>-42370</v>
      </c>
      <c r="D21" s="80">
        <f>'Ekonomická analýza '!E11</f>
        <v>0</v>
      </c>
      <c r="E21" s="80">
        <f>'Ekonomická analýza '!G11</f>
        <v>1902</v>
      </c>
      <c r="F21" s="80">
        <f t="shared" si="0"/>
        <v>-40468</v>
      </c>
      <c r="G21" s="87">
        <f>F21/(1+'Finanční analýza'!$C$22)^B21</f>
        <v>-29453.755827933364</v>
      </c>
    </row>
    <row r="22" spans="2:7" x14ac:dyDescent="0.2">
      <c r="B22" s="151">
        <v>6</v>
      </c>
      <c r="C22" s="80">
        <f>('Finanční analýza'!C10)-(('Kalkulace nákladů'!$T$8+'Kalkulace nákladů'!$T$7)*0.2)</f>
        <v>-42370</v>
      </c>
      <c r="D22" s="80">
        <f>'Ekonomická analýza '!E12</f>
        <v>0</v>
      </c>
      <c r="E22" s="80">
        <f>'Ekonomická analýza '!G12</f>
        <v>1902</v>
      </c>
      <c r="F22" s="80">
        <f t="shared" si="0"/>
        <v>-40468</v>
      </c>
      <c r="G22" s="87">
        <f>F22/(1+'Finanční analýza'!$C$22)^B22</f>
        <v>-27640.536625312838</v>
      </c>
    </row>
    <row r="23" spans="2:7" x14ac:dyDescent="0.2">
      <c r="B23" s="151">
        <v>7</v>
      </c>
      <c r="C23" s="80">
        <f>('Finanční analýza'!C11)-(('Kalkulace nákladů'!$T$8+'Kalkulace nákladů'!$T$7)*0.2)</f>
        <v>-42370</v>
      </c>
      <c r="D23" s="80">
        <f>'Ekonomická analýza '!E13</f>
        <v>0</v>
      </c>
      <c r="E23" s="80">
        <f>'Ekonomická analýza '!G13</f>
        <v>1902</v>
      </c>
      <c r="F23" s="80">
        <f t="shared" si="0"/>
        <v>-40468</v>
      </c>
      <c r="G23" s="87">
        <f>F23/(1+'Finanční analýza'!$C$22)^B23</f>
        <v>-25938.942028259047</v>
      </c>
    </row>
    <row r="24" spans="2:7" x14ac:dyDescent="0.2">
      <c r="B24" s="151">
        <v>8</v>
      </c>
      <c r="C24" s="80">
        <f>('Finanční analýza'!C12)-(('Kalkulace nákladů'!$T$8+'Kalkulace nákladů'!$T$7)*0.2)</f>
        <v>-42370</v>
      </c>
      <c r="D24" s="80">
        <f>'Ekonomická analýza '!E14</f>
        <v>0</v>
      </c>
      <c r="E24" s="80">
        <f>'Ekonomická analýza '!G14</f>
        <v>1902</v>
      </c>
      <c r="F24" s="80">
        <f t="shared" si="0"/>
        <v>-40468</v>
      </c>
      <c r="G24" s="87">
        <f>F24/(1+'Finanční analýza'!$C$22)^B24</f>
        <v>-24342.100251744596</v>
      </c>
    </row>
    <row r="25" spans="2:7" x14ac:dyDescent="0.2">
      <c r="B25" s="151">
        <v>9</v>
      </c>
      <c r="C25" s="80">
        <f>('Finanční analýza'!C13)-(('Kalkulace nákladů'!$T$8+'Kalkulace nákladů'!$T$7)*0.2)</f>
        <v>-42370</v>
      </c>
      <c r="D25" s="80">
        <f>'Ekonomická analýza '!E15</f>
        <v>0</v>
      </c>
      <c r="E25" s="80">
        <f>'Ekonomická analýza '!G15</f>
        <v>1902</v>
      </c>
      <c r="F25" s="80">
        <f t="shared" si="0"/>
        <v>-40468</v>
      </c>
      <c r="G25" s="87">
        <f>F25/(1+'Finanční analýza'!$C$22)^B25</f>
        <v>-22843.562548559115</v>
      </c>
    </row>
    <row r="26" spans="2:7" x14ac:dyDescent="0.2">
      <c r="B26" s="151">
        <v>10</v>
      </c>
      <c r="C26" s="80">
        <f>('Finanční analýza'!C14)-(('Kalkulace nákladů'!$T$8+'Kalkulace nákladů'!$T$7)*0.2)</f>
        <v>-42370</v>
      </c>
      <c r="D26" s="80">
        <f>'Ekonomická analýza '!E16</f>
        <v>0</v>
      </c>
      <c r="E26" s="80">
        <f>'Ekonomická analýza '!G16</f>
        <v>1902</v>
      </c>
      <c r="F26" s="80">
        <f t="shared" si="0"/>
        <v>-40468</v>
      </c>
      <c r="G26" s="87">
        <f>F26/(1+'Finanční analýza'!$C$22)^B26</f>
        <v>-21437.27716644061</v>
      </c>
    </row>
    <row r="27" spans="2:7" x14ac:dyDescent="0.2">
      <c r="B27" s="151">
        <v>11</v>
      </c>
      <c r="C27" s="80">
        <f>('Finanční analýza'!C15)-(('Kalkulace nákladů'!$T$8+'Kalkulace nákladů'!$T$7)*0.2)</f>
        <v>-42370</v>
      </c>
      <c r="D27" s="80">
        <f>'Ekonomická analýza '!E17</f>
        <v>0</v>
      </c>
      <c r="E27" s="80">
        <f>'Ekonomická analýza '!G17</f>
        <v>1902</v>
      </c>
      <c r="F27" s="80">
        <f t="shared" si="0"/>
        <v>-40468</v>
      </c>
      <c r="G27" s="87">
        <f>F27/(1+'Finanční analýza'!$C$22)^B27</f>
        <v>-20117.564908446522</v>
      </c>
    </row>
    <row r="28" spans="2:7" x14ac:dyDescent="0.2">
      <c r="B28" s="151">
        <v>12</v>
      </c>
      <c r="C28" s="80">
        <f>('Finanční analýza'!C16)-(('Kalkulace nákladů'!$T$8+'Kalkulace nákladů'!$T$7)*0.2)</f>
        <v>-42370</v>
      </c>
      <c r="D28" s="80">
        <f>'Ekonomická analýza '!E18</f>
        <v>0</v>
      </c>
      <c r="E28" s="80">
        <f>'Ekonomická analýza '!G18</f>
        <v>1902</v>
      </c>
      <c r="F28" s="80">
        <f t="shared" si="0"/>
        <v>-40468</v>
      </c>
      <c r="G28" s="87">
        <f>F28/(1+'Finanční analýza'!$C$22)^B28</f>
        <v>-18879.096197866475</v>
      </c>
    </row>
    <row r="29" spans="2:7" x14ac:dyDescent="0.2">
      <c r="B29" s="151">
        <v>13</v>
      </c>
      <c r="C29" s="80">
        <f>('Finanční analýza'!C17)-(('Kalkulace nákladů'!$T$8+'Kalkulace nákladů'!$T$7)*0.2)</f>
        <v>-42370</v>
      </c>
      <c r="D29" s="80">
        <f>'Ekonomická analýza '!E19</f>
        <v>0</v>
      </c>
      <c r="E29" s="80">
        <f>'Ekonomická analýza '!G19</f>
        <v>1902</v>
      </c>
      <c r="F29" s="80">
        <f t="shared" si="0"/>
        <v>-40468</v>
      </c>
      <c r="G29" s="87">
        <f>F29/(1+'Finanční analýza'!$C$22)^B29</f>
        <v>-17716.869555054873</v>
      </c>
    </row>
    <row r="30" spans="2:7" x14ac:dyDescent="0.2">
      <c r="B30" s="151">
        <v>14</v>
      </c>
      <c r="C30" s="80">
        <f>('Finanční analýza'!C18)-(('Kalkulace nákladů'!$T$8+'Kalkulace nákladů'!$T$7)*0.2)</f>
        <v>-42370</v>
      </c>
      <c r="D30" s="80">
        <f>'Ekonomická analýza '!E20</f>
        <v>0</v>
      </c>
      <c r="E30" s="80">
        <f>'Ekonomická analýza '!G20</f>
        <v>1902</v>
      </c>
      <c r="F30" s="80">
        <f t="shared" si="0"/>
        <v>-40468</v>
      </c>
      <c r="G30" s="87">
        <f>F30/(1+'Finanční analýza'!$C$22)^B30</f>
        <v>-16626.191399263207</v>
      </c>
    </row>
    <row r="31" spans="2:7" x14ac:dyDescent="0.2">
      <c r="B31" s="151">
        <v>15</v>
      </c>
      <c r="C31" s="80">
        <f>('Finanční analýza'!C19)-(('Kalkulace nákladů'!$T$8+'Kalkulace nákladů'!$T$7)*0.2)</f>
        <v>-42370</v>
      </c>
      <c r="D31" s="80">
        <f>'Ekonomická analýza '!E21</f>
        <v>0</v>
      </c>
      <c r="E31" s="80">
        <f>'Ekonomická analýza '!G21</f>
        <v>1902</v>
      </c>
      <c r="F31" s="80">
        <f t="shared" si="0"/>
        <v>-40468</v>
      </c>
      <c r="G31" s="87">
        <f>F31/(1+'Finanční analýza'!$C$22)^B31</f>
        <v>-15602.657093903161</v>
      </c>
    </row>
    <row r="32" spans="2:7" ht="16" thickBot="1" x14ac:dyDescent="0.25"/>
    <row r="33" spans="2:7" x14ac:dyDescent="0.2">
      <c r="B33" s="120" t="s">
        <v>120</v>
      </c>
    </row>
    <row r="34" spans="2:7" ht="16" thickBot="1" x14ac:dyDescent="0.25"/>
    <row r="35" spans="2:7" x14ac:dyDescent="0.2">
      <c r="B35" s="118" t="s">
        <v>34</v>
      </c>
      <c r="C35" s="118" t="s">
        <v>45</v>
      </c>
      <c r="D35" s="118" t="s">
        <v>46</v>
      </c>
      <c r="E35" s="118" t="s">
        <v>119</v>
      </c>
      <c r="F35" s="118" t="s">
        <v>37</v>
      </c>
      <c r="G35" s="118" t="s">
        <v>49</v>
      </c>
    </row>
    <row r="36" spans="2:7" x14ac:dyDescent="0.2">
      <c r="B36" s="151">
        <v>0</v>
      </c>
      <c r="C36" s="80">
        <f>'Finanční analýza'!C4</f>
        <v>-161645.5</v>
      </c>
      <c r="D36" s="80">
        <f>'Ekonomická analýza '!E6</f>
        <v>0</v>
      </c>
      <c r="E36" s="80">
        <f>'Ekonomická analýza '!G6</f>
        <v>25546.815000000002</v>
      </c>
      <c r="F36" s="80">
        <f t="shared" ref="F36:F51" si="1">SUM(C36:E36)</f>
        <v>-136098.685</v>
      </c>
      <c r="G36" s="80">
        <f>F36/(1+'Finanční analýza'!$C$22)^B36</f>
        <v>-136098.685</v>
      </c>
    </row>
    <row r="37" spans="2:7" x14ac:dyDescent="0.2">
      <c r="B37" s="151">
        <v>1</v>
      </c>
      <c r="C37" s="80">
        <f>'Finanční analýza'!C5</f>
        <v>-39994</v>
      </c>
      <c r="D37" s="80">
        <f>'Ekonomická analýza '!E7</f>
        <v>0</v>
      </c>
      <c r="E37" s="80">
        <f>'Ekonomická analýza '!G7</f>
        <v>1902</v>
      </c>
      <c r="F37" s="80">
        <f t="shared" si="1"/>
        <v>-38092</v>
      </c>
      <c r="G37" s="80">
        <f>F37/(1+'Finanční analýza'!$C$22)^B37</f>
        <v>-35746.996996996997</v>
      </c>
    </row>
    <row r="38" spans="2:7" x14ac:dyDescent="0.2">
      <c r="B38" s="151">
        <v>2</v>
      </c>
      <c r="C38" s="80">
        <f>'Finanční analýza'!C6</f>
        <v>-39994</v>
      </c>
      <c r="D38" s="80">
        <f>'Ekonomická analýza '!E8</f>
        <v>0</v>
      </c>
      <c r="E38" s="80">
        <f>'Ekonomická analýza '!G8</f>
        <v>1902</v>
      </c>
      <c r="F38" s="80">
        <f t="shared" si="1"/>
        <v>-38092</v>
      </c>
      <c r="G38" s="80">
        <f>F38/(1+'Finanční analýza'!$C$22)^B38</f>
        <v>-33546.356040725404</v>
      </c>
    </row>
    <row r="39" spans="2:7" x14ac:dyDescent="0.2">
      <c r="B39" s="151">
        <v>3</v>
      </c>
      <c r="C39" s="80">
        <f>('Finanční analýza'!C7)-('Kalkulace nákladů'!$T$10*0.2)</f>
        <v>-44794</v>
      </c>
      <c r="D39" s="80">
        <f>'Ekonomická analýza '!E9</f>
        <v>0</v>
      </c>
      <c r="E39" s="80">
        <f>'Ekonomická analýza '!G9</f>
        <v>1902</v>
      </c>
      <c r="F39" s="80">
        <f t="shared" si="1"/>
        <v>-42892</v>
      </c>
      <c r="G39" s="80">
        <f>F39/(1+'Finanční analýza'!$C$22)^B39</f>
        <v>-35448.157107612162</v>
      </c>
    </row>
    <row r="40" spans="2:7" x14ac:dyDescent="0.2">
      <c r="B40" s="151">
        <v>4</v>
      </c>
      <c r="C40" s="80">
        <f>('Finanční analýza'!C8)-('Kalkulace nákladů'!$T$10*0.2)</f>
        <v>-44794</v>
      </c>
      <c r="D40" s="80">
        <f>'Ekonomická analýza '!E10</f>
        <v>0</v>
      </c>
      <c r="E40" s="80">
        <f>'Ekonomická analýza '!G10</f>
        <v>1902</v>
      </c>
      <c r="F40" s="80">
        <f t="shared" si="1"/>
        <v>-42892</v>
      </c>
      <c r="G40" s="80">
        <f>F40/(1+'Finanční analýza'!$C$22)^B40</f>
        <v>-33265.913201587988</v>
      </c>
    </row>
    <row r="41" spans="2:7" x14ac:dyDescent="0.2">
      <c r="B41" s="151">
        <v>5</v>
      </c>
      <c r="C41" s="80">
        <f>('Finanční analýza'!C9)-('Kalkulace nákladů'!$T$10*0.2)</f>
        <v>-44794</v>
      </c>
      <c r="D41" s="80">
        <f>'Ekonomická analýza '!E11</f>
        <v>0</v>
      </c>
      <c r="E41" s="80">
        <f>'Ekonomická analýza '!G11</f>
        <v>1902</v>
      </c>
      <c r="F41" s="80">
        <f t="shared" si="1"/>
        <v>-42892</v>
      </c>
      <c r="G41" s="80">
        <f>F41/(1+'Finanční analýza'!$C$22)^B41</f>
        <v>-31218.01163812686</v>
      </c>
    </row>
    <row r="42" spans="2:7" x14ac:dyDescent="0.2">
      <c r="B42" s="151">
        <v>6</v>
      </c>
      <c r="C42" s="80">
        <f>('Finanční analýza'!C10)-('Kalkulace nákladů'!$T$10*0.2)</f>
        <v>-44794</v>
      </c>
      <c r="D42" s="80">
        <f>'Ekonomická analýza '!E12</f>
        <v>0</v>
      </c>
      <c r="E42" s="80">
        <f>'Ekonomická analýza '!G12</f>
        <v>1902</v>
      </c>
      <c r="F42" s="80">
        <f t="shared" si="1"/>
        <v>-42892</v>
      </c>
      <c r="G42" s="80">
        <f>F42/(1+'Finanční analýza'!$C$22)^B42</f>
        <v>-29296.182092836767</v>
      </c>
    </row>
    <row r="43" spans="2:7" x14ac:dyDescent="0.2">
      <c r="B43" s="151">
        <v>7</v>
      </c>
      <c r="C43" s="80">
        <f>('Finanční analýza'!C11)-('Kalkulace nákladů'!$T$10*0.2)</f>
        <v>-44794</v>
      </c>
      <c r="D43" s="80">
        <f>'Ekonomická analýza '!E13</f>
        <v>0</v>
      </c>
      <c r="E43" s="80">
        <f>'Ekonomická analýza '!G13</f>
        <v>1902</v>
      </c>
      <c r="F43" s="80">
        <f t="shared" si="1"/>
        <v>-42892</v>
      </c>
      <c r="G43" s="80">
        <f>F43/(1+'Finanční analýza'!$C$22)^B43</f>
        <v>-27492.66337540988</v>
      </c>
    </row>
    <row r="44" spans="2:7" x14ac:dyDescent="0.2">
      <c r="B44" s="151">
        <v>8</v>
      </c>
      <c r="C44" s="80">
        <f>('Finanční analýza'!C12)-('Kalkulace nákladů'!$T$10*0.2)</f>
        <v>-44794</v>
      </c>
      <c r="D44" s="80">
        <f>'Ekonomická analýza '!E14</f>
        <v>0</v>
      </c>
      <c r="E44" s="80">
        <f>'Ekonomická analýza '!G14</f>
        <v>1902</v>
      </c>
      <c r="F44" s="80">
        <f t="shared" si="1"/>
        <v>-42892</v>
      </c>
      <c r="G44" s="80">
        <f>F44/(1+'Finanční analýza'!$C$22)^B44</f>
        <v>-25800.17208653329</v>
      </c>
    </row>
    <row r="45" spans="2:7" x14ac:dyDescent="0.2">
      <c r="B45" s="151">
        <v>9</v>
      </c>
      <c r="C45" s="80">
        <f>('Finanční analýza'!C13)-('Kalkulace nákladů'!$T$10*0.2)</f>
        <v>-44794</v>
      </c>
      <c r="D45" s="80">
        <f>'Ekonomická analýza '!E15</f>
        <v>0</v>
      </c>
      <c r="E45" s="80">
        <f>'Ekonomická analýza '!G15</f>
        <v>1902</v>
      </c>
      <c r="F45" s="80">
        <f t="shared" si="1"/>
        <v>-42892</v>
      </c>
      <c r="G45" s="80">
        <f>F45/(1+'Finanční analýza'!$C$22)^B45</f>
        <v>-24211.873204329288</v>
      </c>
    </row>
    <row r="46" spans="2:7" x14ac:dyDescent="0.2">
      <c r="B46" s="151">
        <v>10</v>
      </c>
      <c r="C46" s="80">
        <f>('Finanční analýza'!C14)-('Kalkulace nákladů'!$T$10*0.2)</f>
        <v>-44794</v>
      </c>
      <c r="D46" s="80">
        <f>'Ekonomická analýza '!E16</f>
        <v>0</v>
      </c>
      <c r="E46" s="80">
        <f>'Ekonomická analýza '!G16</f>
        <v>1902</v>
      </c>
      <c r="F46" s="80">
        <f t="shared" si="1"/>
        <v>-42892</v>
      </c>
      <c r="G46" s="80">
        <f>F46/(1+'Finanční analýza'!$C$22)^B46</f>
        <v>-22721.352481540245</v>
      </c>
    </row>
    <row r="47" spans="2:7" x14ac:dyDescent="0.2">
      <c r="B47" s="151">
        <v>11</v>
      </c>
      <c r="C47" s="80">
        <f>('Finanční analýza'!C15)-('Kalkulace nákladů'!$T$10*0.2)</f>
        <v>-44794</v>
      </c>
      <c r="D47" s="80">
        <f>'Ekonomická analýza '!E17</f>
        <v>0</v>
      </c>
      <c r="E47" s="80">
        <f>'Ekonomická analýza '!G17</f>
        <v>1902</v>
      </c>
      <c r="F47" s="80">
        <f t="shared" si="1"/>
        <v>-42892</v>
      </c>
      <c r="G47" s="80">
        <f>F47/(1+'Finanční analýza'!$C$22)^B47</f>
        <v>-21322.590541985966</v>
      </c>
    </row>
    <row r="48" spans="2:7" x14ac:dyDescent="0.2">
      <c r="B48" s="151">
        <v>12</v>
      </c>
      <c r="C48" s="80">
        <f>('Finanční analýza'!C16)-('Kalkulace nákladů'!$T$10*0.2)</f>
        <v>-44794</v>
      </c>
      <c r="D48" s="80">
        <f>'Ekonomická analýza '!E18</f>
        <v>0</v>
      </c>
      <c r="E48" s="80">
        <f>'Ekonomická analýza '!G18</f>
        <v>1902</v>
      </c>
      <c r="F48" s="80">
        <f t="shared" si="1"/>
        <v>-42892</v>
      </c>
      <c r="G48" s="80">
        <f>F48/(1+'Finanční analýza'!$C$22)^B48</f>
        <v>-20009.938571683524</v>
      </c>
    </row>
    <row r="49" spans="2:7" x14ac:dyDescent="0.2">
      <c r="B49" s="151">
        <v>13</v>
      </c>
      <c r="C49" s="80">
        <f>('Finanční analýza'!C17)-('Kalkulace nákladů'!$T$10*0.2)</f>
        <v>-44794</v>
      </c>
      <c r="D49" s="80">
        <f>'Ekonomická analýza '!E19</f>
        <v>0</v>
      </c>
      <c r="E49" s="80">
        <f>'Ekonomická analýza '!G19</f>
        <v>1902</v>
      </c>
      <c r="F49" s="80">
        <f t="shared" si="1"/>
        <v>-42892</v>
      </c>
      <c r="G49" s="80">
        <f>F49/(1+'Finanční analýza'!$C$22)^B49</f>
        <v>-18778.095506459758</v>
      </c>
    </row>
    <row r="50" spans="2:7" x14ac:dyDescent="0.2">
      <c r="B50" s="151">
        <v>14</v>
      </c>
      <c r="C50" s="80">
        <f>('Finanční analýza'!C18)-('Kalkulace nákladů'!$T$10*0.2)</f>
        <v>-44794</v>
      </c>
      <c r="D50" s="80">
        <f>'Ekonomická analýza '!E20</f>
        <v>0</v>
      </c>
      <c r="E50" s="80">
        <f>'Ekonomická analýza '!G20</f>
        <v>1902</v>
      </c>
      <c r="F50" s="80">
        <f t="shared" si="1"/>
        <v>-42892</v>
      </c>
      <c r="G50" s="80">
        <f>F50/(1+'Finanční analýza'!$C$22)^B50</f>
        <v>-17622.086623929954</v>
      </c>
    </row>
    <row r="51" spans="2:7" x14ac:dyDescent="0.2">
      <c r="B51" s="151">
        <v>15</v>
      </c>
      <c r="C51" s="80">
        <f>('Finanční analýza'!C19)-('Kalkulace nákladů'!$T$10*0.2)</f>
        <v>-44794</v>
      </c>
      <c r="D51" s="80">
        <f>'Ekonomická analýza '!E21</f>
        <v>0</v>
      </c>
      <c r="E51" s="80">
        <f>'Ekonomická analýza '!G21</f>
        <v>1902</v>
      </c>
      <c r="F51" s="80">
        <f t="shared" si="1"/>
        <v>-42892</v>
      </c>
      <c r="G51" s="80">
        <f>F51/(1+'Finanční analýza'!$C$22)^B51</f>
        <v>-16537.24345338772</v>
      </c>
    </row>
    <row r="53" spans="2:7" x14ac:dyDescent="0.2">
      <c r="B53" s="120" t="s">
        <v>121</v>
      </c>
      <c r="C53" s="152"/>
    </row>
    <row r="55" spans="2:7" x14ac:dyDescent="0.2">
      <c r="B55" s="118" t="s">
        <v>34</v>
      </c>
      <c r="C55" s="118" t="s">
        <v>45</v>
      </c>
      <c r="D55" s="118" t="s">
        <v>46</v>
      </c>
      <c r="E55" s="118" t="s">
        <v>119</v>
      </c>
      <c r="F55" s="118" t="s">
        <v>37</v>
      </c>
      <c r="G55" s="118" t="s">
        <v>49</v>
      </c>
    </row>
    <row r="56" spans="2:7" x14ac:dyDescent="0.2">
      <c r="B56" s="151">
        <v>0</v>
      </c>
      <c r="C56" s="80">
        <f>'Finanční analýza'!C4</f>
        <v>-161645.5</v>
      </c>
      <c r="D56" s="80">
        <f>'Ekonomická analýza '!E6</f>
        <v>0</v>
      </c>
      <c r="E56" s="80">
        <f>'Ekonomická analýza '!G6</f>
        <v>25546.815000000002</v>
      </c>
      <c r="F56" s="80">
        <f t="shared" ref="F56:F71" si="2">SUM(C56:E56)</f>
        <v>-136098.685</v>
      </c>
      <c r="G56" s="80">
        <f>F56/(1+'Finanční analýza'!$C$22)^B56</f>
        <v>-136098.685</v>
      </c>
    </row>
    <row r="57" spans="2:7" x14ac:dyDescent="0.2">
      <c r="B57" s="151">
        <v>1</v>
      </c>
      <c r="C57" s="80">
        <f>'Finanční analýza'!C5</f>
        <v>-39994</v>
      </c>
      <c r="D57" s="80">
        <f>'Ekonomická analýza '!E7</f>
        <v>0</v>
      </c>
      <c r="E57" s="80">
        <f>'Ekonomická analýza '!G7</f>
        <v>1902</v>
      </c>
      <c r="F57" s="80">
        <f t="shared" si="2"/>
        <v>-38092</v>
      </c>
      <c r="G57" s="80">
        <f>F57/(1+'Finanční analýza'!$C$22)^B57</f>
        <v>-35746.996996996997</v>
      </c>
    </row>
    <row r="58" spans="2:7" x14ac:dyDescent="0.2">
      <c r="B58" s="151">
        <v>2</v>
      </c>
      <c r="C58" s="80">
        <f>'Finanční analýza'!C6</f>
        <v>-39994</v>
      </c>
      <c r="D58" s="80">
        <f>'Ekonomická analýza '!E8</f>
        <v>0</v>
      </c>
      <c r="E58" s="80">
        <f>'Ekonomická analýza '!G8</f>
        <v>1902</v>
      </c>
      <c r="F58" s="80">
        <f t="shared" si="2"/>
        <v>-38092</v>
      </c>
      <c r="G58" s="80">
        <f>F58/(1+'Finanční analýza'!$C$22)^B58</f>
        <v>-33546.356040725404</v>
      </c>
    </row>
    <row r="59" spans="2:7" x14ac:dyDescent="0.2">
      <c r="B59" s="151">
        <v>3</v>
      </c>
      <c r="C59" s="80">
        <f>'Finanční analýza'!C7-15000</f>
        <v>-54994</v>
      </c>
      <c r="D59" s="80">
        <f>'Ekonomická analýza '!E9</f>
        <v>0</v>
      </c>
      <c r="E59" s="80">
        <f>'Ekonomická analýza '!G9</f>
        <v>1902</v>
      </c>
      <c r="F59" s="80">
        <f t="shared" si="2"/>
        <v>-53092</v>
      </c>
      <c r="G59" s="80">
        <f>F59/(1+'Finanční analýza'!$C$22)^B59</f>
        <v>-43877.962257701787</v>
      </c>
    </row>
    <row r="60" spans="2:7" x14ac:dyDescent="0.2">
      <c r="B60" s="151">
        <v>4</v>
      </c>
      <c r="C60" s="80">
        <f>'Finanční analýza'!C8</f>
        <v>-39994</v>
      </c>
      <c r="D60" s="80">
        <f>'Ekonomická analýza '!E10</f>
        <v>0</v>
      </c>
      <c r="E60" s="80">
        <f>'Ekonomická analýza '!G10</f>
        <v>1902</v>
      </c>
      <c r="F60" s="80">
        <f t="shared" si="2"/>
        <v>-38092</v>
      </c>
      <c r="G60" s="80">
        <f>F60/(1+'Finanční analýza'!$C$22)^B60</f>
        <v>-29543.158763286618</v>
      </c>
    </row>
    <row r="61" spans="2:7" x14ac:dyDescent="0.2">
      <c r="B61" s="151">
        <v>5</v>
      </c>
      <c r="C61" s="80">
        <f>'Finanční analýza'!C9</f>
        <v>-39994</v>
      </c>
      <c r="D61" s="80">
        <f>'Ekonomická analýza '!E11</f>
        <v>0</v>
      </c>
      <c r="E61" s="80">
        <f>'Ekonomická analýza '!G11</f>
        <v>1902</v>
      </c>
      <c r="F61" s="80">
        <f t="shared" si="2"/>
        <v>-38092</v>
      </c>
      <c r="G61" s="80">
        <f>F61/(1+'Finanční analýza'!$C$22)^B61</f>
        <v>-27724.435776357557</v>
      </c>
    </row>
    <row r="62" spans="2:7" x14ac:dyDescent="0.2">
      <c r="B62" s="151">
        <v>6</v>
      </c>
      <c r="C62" s="80">
        <f>'Finanční analýza'!C10</f>
        <v>-39994</v>
      </c>
      <c r="D62" s="80">
        <f>'Ekonomická analýza '!E12</f>
        <v>0</v>
      </c>
      <c r="E62" s="80">
        <f>'Ekonomická analýza '!G12</f>
        <v>1902</v>
      </c>
      <c r="F62" s="80">
        <f t="shared" si="2"/>
        <v>-38092</v>
      </c>
      <c r="G62" s="80">
        <f>F62/(1+'Finanční analýza'!$C$22)^B62</f>
        <v>-26017.676216551761</v>
      </c>
    </row>
    <row r="63" spans="2:7" x14ac:dyDescent="0.2">
      <c r="B63" s="151">
        <v>7</v>
      </c>
      <c r="C63" s="80">
        <f>'Finanční analýza'!C11</f>
        <v>-39994</v>
      </c>
      <c r="D63" s="80">
        <f>'Ekonomická analýza '!E13</f>
        <v>0</v>
      </c>
      <c r="E63" s="80">
        <f>'Ekonomická analýza '!G13</f>
        <v>1902</v>
      </c>
      <c r="F63" s="80">
        <f t="shared" si="2"/>
        <v>-38092</v>
      </c>
      <c r="G63" s="80">
        <f>F63/(1+'Finanční analýza'!$C$22)^B63</f>
        <v>-24415.987440457735</v>
      </c>
    </row>
    <row r="64" spans="2:7" x14ac:dyDescent="0.2">
      <c r="B64" s="151">
        <v>8</v>
      </c>
      <c r="C64" s="80">
        <f>'Finanční analýza'!C12</f>
        <v>-39994</v>
      </c>
      <c r="D64" s="80">
        <f>'Ekonomická analýza '!E14</f>
        <v>0</v>
      </c>
      <c r="E64" s="80">
        <f>'Ekonomická analýza '!G14</f>
        <v>1902</v>
      </c>
      <c r="F64" s="80">
        <f t="shared" si="2"/>
        <v>-38092</v>
      </c>
      <c r="G64" s="80">
        <f>F64/(1+'Finanční analýza'!$C$22)^B64</f>
        <v>-22912.901126555676</v>
      </c>
    </row>
    <row r="65" spans="2:7" x14ac:dyDescent="0.2">
      <c r="B65" s="151">
        <v>9</v>
      </c>
      <c r="C65" s="80">
        <f>'Finanční analýza'!C13</f>
        <v>-39994</v>
      </c>
      <c r="D65" s="80">
        <f>'Ekonomická analýza '!E15</f>
        <v>0</v>
      </c>
      <c r="E65" s="80">
        <f>'Ekonomická analýza '!G15</f>
        <v>1902</v>
      </c>
      <c r="F65" s="80">
        <f t="shared" si="2"/>
        <v>-38092</v>
      </c>
      <c r="G65" s="80">
        <f>F65/(1+'Finanční analýza'!$C$22)^B65</f>
        <v>-21502.347153299244</v>
      </c>
    </row>
    <row r="66" spans="2:7" x14ac:dyDescent="0.2">
      <c r="B66" s="151">
        <v>10</v>
      </c>
      <c r="C66" s="80">
        <f>'Finanční analýza'!C14</f>
        <v>-39994</v>
      </c>
      <c r="D66" s="80">
        <f>'Ekonomická analýza '!E16</f>
        <v>0</v>
      </c>
      <c r="E66" s="80">
        <f>'Ekonomická analýza '!G16</f>
        <v>1902</v>
      </c>
      <c r="F66" s="80">
        <f t="shared" si="2"/>
        <v>-38092</v>
      </c>
      <c r="G66" s="80">
        <f>F66/(1+'Finanční analýza'!$C$22)^B66</f>
        <v>-20178.629085303346</v>
      </c>
    </row>
    <row r="67" spans="2:7" x14ac:dyDescent="0.2">
      <c r="B67" s="151">
        <v>11</v>
      </c>
      <c r="C67" s="80">
        <f>'Finanční analýza'!C15</f>
        <v>-39994</v>
      </c>
      <c r="D67" s="80">
        <f>'Ekonomická analýza '!E17</f>
        <v>0</v>
      </c>
      <c r="E67" s="80">
        <f>'Ekonomická analýza '!G17</f>
        <v>1902</v>
      </c>
      <c r="F67" s="80">
        <f t="shared" si="2"/>
        <v>-38092</v>
      </c>
      <c r="G67" s="80">
        <f>F67/(1+'Finanční analýza'!$C$22)^B67</f>
        <v>-18936.401168640528</v>
      </c>
    </row>
    <row r="68" spans="2:7" x14ac:dyDescent="0.2">
      <c r="B68" s="151">
        <v>12</v>
      </c>
      <c r="C68" s="80">
        <f>'Finanční analýza'!C16</f>
        <v>-39994</v>
      </c>
      <c r="D68" s="80">
        <f>'Ekonomická analýza '!E18</f>
        <v>0</v>
      </c>
      <c r="E68" s="80">
        <f>'Ekonomická analýza '!G18</f>
        <v>1902</v>
      </c>
      <c r="F68" s="80">
        <f t="shared" si="2"/>
        <v>-38092</v>
      </c>
      <c r="G68" s="80">
        <f>F68/(1+'Finanční analýza'!$C$22)^B68</f>
        <v>-17770.646742342833</v>
      </c>
    </row>
    <row r="69" spans="2:7" x14ac:dyDescent="0.2">
      <c r="B69" s="151">
        <v>13</v>
      </c>
      <c r="C69" s="80">
        <f>'Finanční analýza'!C17</f>
        <v>-39994</v>
      </c>
      <c r="D69" s="80">
        <f>'Ekonomická analýza '!E19</f>
        <v>0</v>
      </c>
      <c r="E69" s="80">
        <f>'Ekonomická analýza '!G19</f>
        <v>1902</v>
      </c>
      <c r="F69" s="80">
        <f t="shared" si="2"/>
        <v>-38092</v>
      </c>
      <c r="G69" s="80">
        <f>F69/(1+'Finanční analýza'!$C$22)^B69</f>
        <v>-16676.657978925326</v>
      </c>
    </row>
    <row r="70" spans="2:7" x14ac:dyDescent="0.2">
      <c r="B70" s="151">
        <v>14</v>
      </c>
      <c r="C70" s="80">
        <f>'Finanční analýza'!C18</f>
        <v>-39994</v>
      </c>
      <c r="D70" s="80">
        <f>'Ekonomická analýza '!E20</f>
        <v>0</v>
      </c>
      <c r="E70" s="80">
        <f>'Ekonomická analýza '!G20</f>
        <v>1902</v>
      </c>
      <c r="F70" s="80">
        <f t="shared" si="2"/>
        <v>-38092</v>
      </c>
      <c r="G70" s="80">
        <f>F70/(1+'Finanční analýza'!$C$22)^B70</f>
        <v>-15650.016872114611</v>
      </c>
    </row>
    <row r="71" spans="2:7" x14ac:dyDescent="0.2">
      <c r="B71" s="151">
        <v>15</v>
      </c>
      <c r="C71" s="80">
        <f>'Finanční analýza'!C19</f>
        <v>-39994</v>
      </c>
      <c r="D71" s="80">
        <f>'Ekonomická analýza '!E21</f>
        <v>0</v>
      </c>
      <c r="E71" s="80">
        <f>'Ekonomická analýza '!G21</f>
        <v>1902</v>
      </c>
      <c r="F71" s="80">
        <f t="shared" si="2"/>
        <v>-38092</v>
      </c>
      <c r="G71" s="80">
        <f>F71/(1+'Finanční analýza'!$C$22)^B71</f>
        <v>-14686.57739500245</v>
      </c>
    </row>
    <row r="72" spans="2:7" ht="16" thickBot="1" x14ac:dyDescent="0.25"/>
    <row r="73" spans="2:7" x14ac:dyDescent="0.2">
      <c r="B73" s="120" t="s">
        <v>122</v>
      </c>
    </row>
    <row r="74" spans="2:7" ht="16" thickBot="1" x14ac:dyDescent="0.25"/>
    <row r="75" spans="2:7" x14ac:dyDescent="0.2">
      <c r="B75" s="118" t="s">
        <v>34</v>
      </c>
      <c r="C75" s="118" t="s">
        <v>45</v>
      </c>
      <c r="D75" s="118" t="s">
        <v>46</v>
      </c>
      <c r="E75" s="118" t="s">
        <v>119</v>
      </c>
      <c r="F75" s="118" t="s">
        <v>37</v>
      </c>
      <c r="G75" s="118" t="s">
        <v>49</v>
      </c>
    </row>
    <row r="76" spans="2:7" x14ac:dyDescent="0.2">
      <c r="B76" s="151">
        <v>0</v>
      </c>
      <c r="C76" s="80">
        <f>'Finanční analýza'!C4</f>
        <v>-161645.5</v>
      </c>
      <c r="D76" s="80">
        <f>'Ekonomická analýza '!E6</f>
        <v>0</v>
      </c>
      <c r="E76" s="80">
        <f>'Ekonomická analýza '!G6</f>
        <v>25546.815000000002</v>
      </c>
      <c r="F76" s="80">
        <f t="shared" ref="F76:F91" si="3">SUM(C76:E76)</f>
        <v>-136098.685</v>
      </c>
      <c r="G76" s="80">
        <f>F76/(1+'Finanční analýza'!$C$22)^B76</f>
        <v>-136098.685</v>
      </c>
    </row>
    <row r="77" spans="2:7" x14ac:dyDescent="0.2">
      <c r="B77" s="151">
        <v>1</v>
      </c>
      <c r="C77" s="80">
        <f>'Finanční analýza'!C5</f>
        <v>-39994</v>
      </c>
      <c r="D77" s="80">
        <f>'Ekonomická analýza '!E7</f>
        <v>0</v>
      </c>
      <c r="E77" s="80">
        <f>'Ekonomická analýza '!G7</f>
        <v>1902</v>
      </c>
      <c r="F77" s="80">
        <f t="shared" si="3"/>
        <v>-38092</v>
      </c>
      <c r="G77" s="80">
        <f>F77/(1+'Finanční analýza'!$C$22)^B77</f>
        <v>-35746.996996996997</v>
      </c>
    </row>
    <row r="78" spans="2:7" x14ac:dyDescent="0.2">
      <c r="B78" s="151">
        <v>2</v>
      </c>
      <c r="C78" s="80">
        <f>'Finanční analýza'!C6</f>
        <v>-39994</v>
      </c>
      <c r="D78" s="80">
        <f>'Ekonomická analýza '!E8</f>
        <v>0</v>
      </c>
      <c r="E78" s="80">
        <f>'Ekonomická analýza '!G8</f>
        <v>1902</v>
      </c>
      <c r="F78" s="80">
        <f t="shared" si="3"/>
        <v>-38092</v>
      </c>
      <c r="G78" s="80">
        <f>F78/(1+'Finanční analýza'!$C$22)^B78</f>
        <v>-33546.356040725404</v>
      </c>
    </row>
    <row r="79" spans="2:7" x14ac:dyDescent="0.2">
      <c r="B79" s="151">
        <v>3</v>
      </c>
      <c r="C79" s="80">
        <f>'Finanční analýza'!C7</f>
        <v>-39994</v>
      </c>
      <c r="D79" s="80">
        <f>'Ekonomická analýza '!E9</f>
        <v>0</v>
      </c>
      <c r="E79" s="80">
        <f>'Ekonomická analýza '!G9</f>
        <v>1902</v>
      </c>
      <c r="F79" s="80">
        <f t="shared" si="3"/>
        <v>-38092</v>
      </c>
      <c r="G79" s="80">
        <f>F79/(1+'Finanční analýza'!$C$22)^B79</f>
        <v>-31481.189978158225</v>
      </c>
    </row>
    <row r="80" spans="2:7" x14ac:dyDescent="0.2">
      <c r="B80" s="151">
        <v>4</v>
      </c>
      <c r="C80" s="80">
        <f>'Finanční analýza'!C8</f>
        <v>-39994</v>
      </c>
      <c r="D80" s="80">
        <f>'Ekonomická analýza '!E10</f>
        <v>0</v>
      </c>
      <c r="E80" s="80">
        <f>'Ekonomická analýza '!G10</f>
        <v>1902</v>
      </c>
      <c r="F80" s="80">
        <f t="shared" si="3"/>
        <v>-38092</v>
      </c>
      <c r="G80" s="80">
        <f>F80/(1+'Finanční analýza'!$C$22)^B80</f>
        <v>-29543.158763286618</v>
      </c>
    </row>
    <row r="81" spans="2:7" x14ac:dyDescent="0.2">
      <c r="B81" s="151">
        <v>5</v>
      </c>
      <c r="C81" s="80">
        <f>'Finanční analýza'!C9</f>
        <v>-39994</v>
      </c>
      <c r="D81" s="80">
        <f>'Ekonomická analýza '!E11</f>
        <v>0</v>
      </c>
      <c r="E81" s="80">
        <f>'Ekonomická analýza '!G11</f>
        <v>1902</v>
      </c>
      <c r="F81" s="80">
        <f t="shared" si="3"/>
        <v>-38092</v>
      </c>
      <c r="G81" s="80">
        <f>F81/(1+'Finanční analýza'!$C$22)^B81</f>
        <v>-27724.435776357557</v>
      </c>
    </row>
    <row r="82" spans="2:7" x14ac:dyDescent="0.2">
      <c r="B82" s="151">
        <v>6</v>
      </c>
      <c r="C82" s="80">
        <f>'Finanční analýza'!C10</f>
        <v>-39994</v>
      </c>
      <c r="D82" s="80">
        <f>'Ekonomická analýza '!E12</f>
        <v>0</v>
      </c>
      <c r="E82" s="80">
        <f>'Ekonomická analýza '!G12</f>
        <v>1902</v>
      </c>
      <c r="F82" s="80">
        <f t="shared" si="3"/>
        <v>-38092</v>
      </c>
      <c r="G82" s="80">
        <f>F82/(1+'Finanční analýza'!$C$22)^B82</f>
        <v>-26017.676216551761</v>
      </c>
    </row>
    <row r="83" spans="2:7" x14ac:dyDescent="0.2">
      <c r="B83" s="151">
        <v>7</v>
      </c>
      <c r="C83" s="80">
        <f>'Finanční analýza'!C11</f>
        <v>-39994</v>
      </c>
      <c r="D83" s="80">
        <f>'Ekonomická analýza '!E13</f>
        <v>0</v>
      </c>
      <c r="E83" s="80">
        <f>'Ekonomická analýza '!G13</f>
        <v>1902</v>
      </c>
      <c r="F83" s="80">
        <f t="shared" si="3"/>
        <v>-38092</v>
      </c>
      <c r="G83" s="80">
        <f>F83/(1+'Finanční analýza'!$C$22)^B83</f>
        <v>-24415.987440457735</v>
      </c>
    </row>
    <row r="84" spans="2:7" x14ac:dyDescent="0.2">
      <c r="B84" s="151">
        <v>8</v>
      </c>
      <c r="C84" s="80">
        <f>'Finanční analýza'!C12</f>
        <v>-39994</v>
      </c>
      <c r="D84" s="80">
        <f>'Ekonomická analýza '!E14</f>
        <v>0</v>
      </c>
      <c r="E84" s="80">
        <f>'Ekonomická analýza '!G14</f>
        <v>1902</v>
      </c>
      <c r="F84" s="80">
        <f t="shared" si="3"/>
        <v>-38092</v>
      </c>
      <c r="G84" s="80">
        <f>F84/(1+'Finanční analýza'!$C$22)^B84</f>
        <v>-22912.901126555676</v>
      </c>
    </row>
    <row r="85" spans="2:7" x14ac:dyDescent="0.2">
      <c r="B85" s="151">
        <v>9</v>
      </c>
      <c r="C85" s="80">
        <f>'Finanční analýza'!C13</f>
        <v>-39994</v>
      </c>
      <c r="D85" s="80">
        <f>'Ekonomická analýza '!E15</f>
        <v>0</v>
      </c>
      <c r="E85" s="80">
        <f>'Ekonomická analýza '!G15</f>
        <v>1902</v>
      </c>
      <c r="F85" s="80">
        <f t="shared" si="3"/>
        <v>-38092</v>
      </c>
      <c r="G85" s="80">
        <f>F85/(1+'Finanční analýza'!$C$22)^B85</f>
        <v>-21502.347153299244</v>
      </c>
    </row>
    <row r="86" spans="2:7" x14ac:dyDescent="0.2">
      <c r="B86" s="151">
        <v>10</v>
      </c>
      <c r="C86" s="80">
        <f>'Finanční analýza'!C14</f>
        <v>-39994</v>
      </c>
      <c r="D86" s="80">
        <f>'Ekonomická analýza '!E16</f>
        <v>0</v>
      </c>
      <c r="E86" s="80">
        <f>'Ekonomická analýza '!G16</f>
        <v>1902</v>
      </c>
      <c r="F86" s="80">
        <f t="shared" si="3"/>
        <v>-38092</v>
      </c>
      <c r="G86" s="80">
        <f>F86/(1+'Finanční analýza'!$C$22)^B86</f>
        <v>-20178.629085303346</v>
      </c>
    </row>
    <row r="87" spans="2:7" x14ac:dyDescent="0.2">
      <c r="B87" s="151">
        <v>11</v>
      </c>
      <c r="C87" s="80">
        <f>'Finanční analýza'!C15</f>
        <v>-39994</v>
      </c>
      <c r="D87" s="80">
        <f>'Ekonomická analýza '!E17</f>
        <v>0</v>
      </c>
      <c r="E87" s="80">
        <f>'Ekonomická analýza '!G17</f>
        <v>1902</v>
      </c>
      <c r="F87" s="80">
        <f t="shared" si="3"/>
        <v>-38092</v>
      </c>
      <c r="G87" s="80">
        <f>F87/(1+'Finanční analýza'!$C$22)^B87</f>
        <v>-18936.401168640528</v>
      </c>
    </row>
    <row r="88" spans="2:7" x14ac:dyDescent="0.2">
      <c r="B88" s="151">
        <v>12</v>
      </c>
      <c r="C88" s="80">
        <f>'Finanční analýza'!C16</f>
        <v>-39994</v>
      </c>
      <c r="D88" s="80">
        <f>'Ekonomická analýza '!E18</f>
        <v>0</v>
      </c>
      <c r="E88" s="80">
        <f>'Ekonomická analýza '!G18</f>
        <v>1902</v>
      </c>
      <c r="F88" s="80">
        <f t="shared" si="3"/>
        <v>-38092</v>
      </c>
      <c r="G88" s="80">
        <f>F88/(1+'Finanční analýza'!$C$22)^B88</f>
        <v>-17770.646742342833</v>
      </c>
    </row>
    <row r="89" spans="2:7" x14ac:dyDescent="0.2">
      <c r="B89" s="151">
        <v>13</v>
      </c>
      <c r="C89" s="80">
        <f>'Finanční analýza'!C17</f>
        <v>-39994</v>
      </c>
      <c r="D89" s="80">
        <f>'Ekonomická analýza '!E19</f>
        <v>0</v>
      </c>
      <c r="E89" s="80">
        <f>'Ekonomická analýza '!G19</f>
        <v>1902</v>
      </c>
      <c r="F89" s="80">
        <f t="shared" si="3"/>
        <v>-38092</v>
      </c>
      <c r="G89" s="80">
        <f>F89/(1+'Finanční analýza'!$C$22)^B89</f>
        <v>-16676.657978925326</v>
      </c>
    </row>
    <row r="90" spans="2:7" x14ac:dyDescent="0.2">
      <c r="B90" s="151">
        <v>14</v>
      </c>
      <c r="C90" s="80">
        <f>'Finanční analýza'!C18</f>
        <v>-39994</v>
      </c>
      <c r="D90" s="80">
        <f>'Ekonomická analýza '!E20</f>
        <v>0</v>
      </c>
      <c r="E90" s="80">
        <f>'Ekonomická analýza '!G20</f>
        <v>1902</v>
      </c>
      <c r="F90" s="80">
        <f t="shared" si="3"/>
        <v>-38092</v>
      </c>
      <c r="G90" s="80">
        <f>F90/(1+'Finanční analýza'!$C$22)^B90</f>
        <v>-15650.016872114611</v>
      </c>
    </row>
    <row r="91" spans="2:7" x14ac:dyDescent="0.2">
      <c r="B91" s="151">
        <v>15</v>
      </c>
      <c r="C91" s="80">
        <f>'Finanční analýza'!C19</f>
        <v>-39994</v>
      </c>
      <c r="D91" s="80">
        <f>'Ekonomická analýza '!E21</f>
        <v>0</v>
      </c>
      <c r="E91" s="80">
        <f>'Ekonomická analýza '!G21</f>
        <v>1902</v>
      </c>
      <c r="F91" s="80">
        <f t="shared" si="3"/>
        <v>-38092</v>
      </c>
      <c r="G91" s="80">
        <f>F91/(1+'Finanční analýza'!$C$22)^B91</f>
        <v>-14686.57739500245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15FAEF63310F4C80745DF1CA234831" ma:contentTypeVersion="16" ma:contentTypeDescription="Vytvoří nový dokument" ma:contentTypeScope="" ma:versionID="4e472157457985cd2c3b04d34a346c6d">
  <xsd:schema xmlns:xsd="http://www.w3.org/2001/XMLSchema" xmlns:xs="http://www.w3.org/2001/XMLSchema" xmlns:p="http://schemas.microsoft.com/office/2006/metadata/properties" xmlns:ns3="07a37181-e9b5-4b2f-b622-3c9c84602de9" xmlns:ns4="3769c0dd-8346-4b1c-9755-8265cffc5f24" targetNamespace="http://schemas.microsoft.com/office/2006/metadata/properties" ma:root="true" ma:fieldsID="08343dd6a4698fcacb70f772aeec7191" ns3:_="" ns4:_="">
    <xsd:import namespace="07a37181-e9b5-4b2f-b622-3c9c84602de9"/>
    <xsd:import namespace="3769c0dd-8346-4b1c-9755-8265cffc5f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37181-e9b5-4b2f-b622-3c9c84602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c0dd-8346-4b1c-9755-8265cffc5f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7a37181-e9b5-4b2f-b622-3c9c84602de9" xsi:nil="true"/>
  </documentManagement>
</p:properties>
</file>

<file path=customXml/itemProps1.xml><?xml version="1.0" encoding="utf-8"?>
<ds:datastoreItem xmlns:ds="http://schemas.openxmlformats.org/officeDocument/2006/customXml" ds:itemID="{886168E7-45DB-4633-A3E1-D2A3C78930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51EF74-9090-4B4F-8710-84D0E5444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37181-e9b5-4b2f-b622-3c9c84602de9"/>
    <ds:schemaRef ds:uri="3769c0dd-8346-4b1c-9755-8265cffc5f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A85529-2178-48A3-97FC-12630A1CCAA3}">
  <ds:schemaRefs>
    <ds:schemaRef ds:uri="http://schemas.microsoft.com/office/2006/metadata/properties"/>
    <ds:schemaRef ds:uri="http://schemas.microsoft.com/office/infopath/2007/PartnerControls"/>
    <ds:schemaRef ds:uri="07a37181-e9b5-4b2f-b622-3c9c84602de9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Kalkulace nákladů</vt:lpstr>
      <vt:lpstr>Finanční analýza</vt:lpstr>
      <vt:lpstr>Ekonomická analýza </vt:lpstr>
      <vt:lpstr>Ocenění netržních přínosů</vt:lpstr>
      <vt:lpstr>Analýza rizik</vt:lpstr>
      <vt:lpstr>Citlivostní analýza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Tereza Böhmová</dc:creator>
  <cp:keywords/>
  <dc:description/>
  <cp:lastModifiedBy>Lenka Kostelníková</cp:lastModifiedBy>
  <cp:revision/>
  <dcterms:created xsi:type="dcterms:W3CDTF">2024-04-22T08:16:39Z</dcterms:created>
  <dcterms:modified xsi:type="dcterms:W3CDTF">2024-05-10T21:14:14Z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0x0101008E15FAEF63310F4C80745DF1CA234831</vt:lpwstr>
  </property>
</Properties>
</file>