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FRS for SMEs 2018\Seminars\"/>
    </mc:Choice>
  </mc:AlternateContent>
  <bookViews>
    <workbookView xWindow="0" yWindow="0" windowWidth="19200" windowHeight="694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2" i="2" l="1"/>
  <c r="AE46" i="2"/>
  <c r="AL45" i="2"/>
  <c r="AG27" i="2"/>
  <c r="AG10" i="2"/>
  <c r="AF8" i="2"/>
  <c r="Z114" i="2"/>
  <c r="Z113" i="2"/>
  <c r="X113" i="2"/>
  <c r="U112" i="2"/>
  <c r="Z107" i="2"/>
  <c r="Z106" i="2"/>
  <c r="Z105" i="2"/>
  <c r="X106" i="2"/>
  <c r="U105" i="2"/>
  <c r="Z100" i="2"/>
  <c r="Z99" i="2"/>
  <c r="X100" i="2"/>
  <c r="U99" i="2"/>
  <c r="X95" i="2"/>
  <c r="X94" i="2"/>
  <c r="V94" i="2"/>
  <c r="U94" i="2"/>
  <c r="X93" i="2"/>
  <c r="V93" i="2"/>
  <c r="U93" i="2"/>
  <c r="Z79" i="2"/>
  <c r="Z78" i="2"/>
  <c r="Z77" i="2"/>
  <c r="X78" i="2"/>
  <c r="Z72" i="2"/>
  <c r="Z71" i="2"/>
  <c r="X72" i="2"/>
  <c r="U71" i="2"/>
  <c r="X63" i="2"/>
  <c r="Z49" i="2"/>
  <c r="Z48" i="2"/>
  <c r="Z47" i="2"/>
  <c r="X48" i="2"/>
  <c r="U47" i="2"/>
  <c r="Z21" i="2"/>
  <c r="X21" i="2"/>
  <c r="U20" i="2"/>
  <c r="X13" i="2"/>
  <c r="V13" i="2"/>
  <c r="X10" i="2"/>
  <c r="W10" i="2"/>
  <c r="V10" i="2"/>
  <c r="X9" i="2"/>
  <c r="W9" i="2"/>
  <c r="V9" i="2"/>
  <c r="U9" i="2"/>
  <c r="Q52" i="2"/>
  <c r="Q51" i="2"/>
  <c r="O51" i="2"/>
  <c r="Q41" i="2"/>
  <c r="L41" i="2"/>
  <c r="Q40" i="2"/>
  <c r="O40" i="2"/>
  <c r="O11" i="2"/>
  <c r="O10" i="2"/>
  <c r="N9" i="2"/>
  <c r="O9" i="2"/>
  <c r="Q30" i="2"/>
  <c r="Q29" i="2"/>
  <c r="O29" i="2"/>
  <c r="L28" i="2"/>
  <c r="Q23" i="2"/>
  <c r="Q22" i="2"/>
  <c r="Q21" i="2"/>
  <c r="O22" i="2"/>
  <c r="L21" i="2"/>
  <c r="Q16" i="2"/>
  <c r="O16" i="2"/>
  <c r="O15" i="2"/>
  <c r="L15" i="2"/>
  <c r="N11" i="2"/>
  <c r="M11" i="2"/>
  <c r="L11" i="2"/>
  <c r="M10" i="2"/>
  <c r="L10" i="2"/>
  <c r="M9" i="2"/>
  <c r="AG25" i="2" l="1"/>
  <c r="AG18" i="2"/>
  <c r="AG20" i="2" s="1"/>
  <c r="AG21" i="2" s="1"/>
  <c r="AG5" i="2"/>
  <c r="AG4" i="2"/>
  <c r="Z112" i="2"/>
  <c r="W95" i="2"/>
  <c r="W94" i="2"/>
  <c r="W93" i="2"/>
  <c r="W66" i="2"/>
  <c r="W65" i="2"/>
  <c r="W64" i="2"/>
  <c r="W63" i="2"/>
  <c r="U63" i="2"/>
  <c r="V63" i="2" s="1"/>
  <c r="W13" i="2"/>
  <c r="W12" i="2"/>
  <c r="W11" i="2"/>
  <c r="X27" i="2"/>
  <c r="X34" i="2" s="1"/>
  <c r="X41" i="2" s="1"/>
  <c r="O53" i="2"/>
  <c r="L51" i="2"/>
  <c r="L52" i="2" s="1"/>
  <c r="L40" i="2"/>
  <c r="Q28" i="2"/>
  <c r="Q15" i="2"/>
  <c r="N10" i="2"/>
  <c r="L9" i="2"/>
  <c r="I4" i="2"/>
  <c r="F3" i="2"/>
  <c r="AG28" i="2" l="1"/>
  <c r="AG11" i="2"/>
  <c r="X101" i="2"/>
  <c r="U100" i="2"/>
  <c r="X73" i="2"/>
  <c r="X43" i="2"/>
  <c r="Z20" i="2"/>
  <c r="U72" i="2"/>
  <c r="U21" i="2"/>
  <c r="Z28" i="2" s="1"/>
  <c r="Q53" i="2"/>
  <c r="L16" i="2"/>
  <c r="Q42" i="2"/>
  <c r="X108" i="2" l="1"/>
  <c r="Z22" i="2"/>
  <c r="U10" i="2"/>
  <c r="U26" i="2" s="1"/>
  <c r="X22" i="2"/>
  <c r="Q17" i="2"/>
  <c r="O42" i="2"/>
  <c r="Z101" i="2" l="1"/>
  <c r="Z73" i="2"/>
  <c r="U64" i="2"/>
  <c r="V64" i="2" s="1"/>
  <c r="U27" i="2"/>
  <c r="Z27" i="2" s="1"/>
  <c r="O17" i="2"/>
  <c r="U106" i="2" l="1"/>
  <c r="X64" i="2"/>
  <c r="U11" i="2"/>
  <c r="V11" i="2" s="1"/>
  <c r="U33" i="2" s="1"/>
  <c r="Z26" i="2"/>
  <c r="U65" i="2"/>
  <c r="X29" i="2"/>
  <c r="Z29" i="2"/>
  <c r="Z35" i="2"/>
  <c r="L22" i="2"/>
  <c r="X11" i="2" l="1"/>
  <c r="Z33" i="2" s="1"/>
  <c r="V65" i="2"/>
  <c r="Z80" i="2" s="1"/>
  <c r="U34" i="2"/>
  <c r="Z34" i="2" s="1"/>
  <c r="Z36" i="2" s="1"/>
  <c r="Q24" i="2"/>
  <c r="X65" i="2" l="1"/>
  <c r="U66" i="2" s="1"/>
  <c r="U12" i="2"/>
  <c r="V12" i="2" s="1"/>
  <c r="U40" i="2" s="1"/>
  <c r="U41" i="2" s="1"/>
  <c r="Z41" i="2" s="1"/>
  <c r="Z108" i="2"/>
  <c r="U95" i="2"/>
  <c r="V95" i="2" s="1"/>
  <c r="Z42" i="2"/>
  <c r="V66" i="2"/>
  <c r="X66" i="2" s="1"/>
  <c r="W67" i="2" s="1"/>
  <c r="X80" i="2" s="1"/>
  <c r="X12" i="2"/>
  <c r="O21" i="2"/>
  <c r="O24" i="2" s="1"/>
  <c r="U113" i="2" l="1"/>
  <c r="U13" i="2"/>
  <c r="U48" i="2" s="1"/>
  <c r="Z50" i="2" s="1"/>
  <c r="Z40" i="2"/>
  <c r="Z43" i="2" s="1"/>
  <c r="V67" i="2"/>
  <c r="X36" i="2"/>
  <c r="L29" i="2"/>
  <c r="Q31" i="2" s="1"/>
  <c r="W14" i="2" l="1"/>
  <c r="X50" i="2" s="1"/>
  <c r="W96" i="2"/>
  <c r="X115" i="2" s="1"/>
  <c r="Z115" i="2" l="1"/>
  <c r="N12" i="2"/>
  <c r="O12" i="2" l="1"/>
  <c r="O28" i="2" s="1"/>
  <c r="O31" i="2" s="1"/>
</calcChain>
</file>

<file path=xl/sharedStrings.xml><?xml version="1.0" encoding="utf-8"?>
<sst xmlns="http://schemas.openxmlformats.org/spreadsheetml/2006/main" count="254" uniqueCount="90">
  <si>
    <t>=&gt;</t>
  </si>
  <si>
    <t>PV</t>
  </si>
  <si>
    <t>Year</t>
  </si>
  <si>
    <t>Bank</t>
  </si>
  <si>
    <t>Nonfin transaction =&gt;</t>
  </si>
  <si>
    <t>at FV through PL =&gt;</t>
  </si>
  <si>
    <t>at FV through OCI =&gt;</t>
  </si>
  <si>
    <t>FV cannot be defined =&gt;</t>
  </si>
  <si>
    <t>at Transaction price (TP) =&gt;</t>
  </si>
  <si>
    <t>if it would be fin transaction =&gt;</t>
  </si>
  <si>
    <t>at PV</t>
  </si>
  <si>
    <t>Ex.1 (initial measurement, FA)</t>
  </si>
  <si>
    <t>Ex.2 (initial measurement, FA)</t>
  </si>
  <si>
    <t>Ex.3 (initial measurement, FA)</t>
  </si>
  <si>
    <t>Ex.4 (initial measurement, FL)</t>
  </si>
  <si>
    <t>Ex.5 (initial measurement, FL)</t>
  </si>
  <si>
    <t>Ex.6 (initial measurement, FL)</t>
  </si>
  <si>
    <t>Scenario a:</t>
  </si>
  <si>
    <t>Scebario b:</t>
  </si>
  <si>
    <t>Ex.7 (subsequent measurement, FA)</t>
  </si>
  <si>
    <t>Investment</t>
  </si>
  <si>
    <t>% income</t>
  </si>
  <si>
    <t>Incoming payment (% payment)</t>
  </si>
  <si>
    <t xml:space="preserve">Investment term </t>
  </si>
  <si>
    <t>3 years</t>
  </si>
  <si>
    <t>Amortization schedule</t>
  </si>
  <si>
    <t>OB (=b/f balance)</t>
  </si>
  <si>
    <t>Incoming payment</t>
  </si>
  <si>
    <t>CB (=c/f balance)</t>
  </si>
  <si>
    <t>PL_1</t>
  </si>
  <si>
    <t>BS_1</t>
  </si>
  <si>
    <t>Other fin liab</t>
  </si>
  <si>
    <t>Business result for the year</t>
  </si>
  <si>
    <t>Business result</t>
  </si>
  <si>
    <t>PL_2</t>
  </si>
  <si>
    <t>BS_2</t>
  </si>
  <si>
    <t>Retained earnings</t>
  </si>
  <si>
    <t>Ex.8 (subsequent measurement, FA)</t>
  </si>
  <si>
    <t>shares</t>
  </si>
  <si>
    <t>Purchase price</t>
  </si>
  <si>
    <t>per share</t>
  </si>
  <si>
    <t>Closing price</t>
  </si>
  <si>
    <t>PL</t>
  </si>
  <si>
    <t>BS</t>
  </si>
  <si>
    <t>Capital gain</t>
  </si>
  <si>
    <t>Ex.9 (subsequent measurement, FA)</t>
  </si>
  <si>
    <t>Ex.8 (subsequent measurement, FL)</t>
  </si>
  <si>
    <t>Loan</t>
  </si>
  <si>
    <t>Outgoing payment (% payment)</t>
  </si>
  <si>
    <t>% cost</t>
  </si>
  <si>
    <t>Loan term</t>
  </si>
  <si>
    <t>5 years</t>
  </si>
  <si>
    <t>PL_3</t>
  </si>
  <si>
    <t>BS_3</t>
  </si>
  <si>
    <t>Outgoing payment</t>
  </si>
  <si>
    <t>PL_4</t>
  </si>
  <si>
    <t>BS_4</t>
  </si>
  <si>
    <t>PL_5</t>
  </si>
  <si>
    <t>BS_5</t>
  </si>
  <si>
    <t>Ex.9 (subsequent measurement, FL)</t>
  </si>
  <si>
    <t>PL_1-PL_4</t>
  </si>
  <si>
    <t>Retained earning</t>
  </si>
  <si>
    <t>BS_1 - BS_3</t>
  </si>
  <si>
    <t>Ex.10 (subsequent measurement, FL)</t>
  </si>
  <si>
    <t>Ex. 11</t>
  </si>
  <si>
    <t>Trade receivable</t>
  </si>
  <si>
    <t>Scenario b:</t>
  </si>
  <si>
    <t>Db. Impairment loss (PL)</t>
  </si>
  <si>
    <t>Cr. Trade receivable</t>
  </si>
  <si>
    <t>Cr. Trade receivable (BS)</t>
  </si>
  <si>
    <t>e.g. 10%</t>
  </si>
  <si>
    <t>Ex. 12</t>
  </si>
  <si>
    <t>Cr. Impairment loss (PL)</t>
  </si>
  <si>
    <t>Db. Trade receivable (BS)</t>
  </si>
  <si>
    <t>Db. Bank</t>
  </si>
  <si>
    <t>Ex. 13</t>
  </si>
  <si>
    <t>Total EAT</t>
  </si>
  <si>
    <t>Price/earning</t>
  </si>
  <si>
    <t>Discount for lack of marketability</t>
  </si>
  <si>
    <t>FV of investment = Total market cap / Number of shares outstanding * Number of shares purchased</t>
  </si>
  <si>
    <t>Total market cap =</t>
  </si>
  <si>
    <t>EAT</t>
  </si>
  <si>
    <t>*</t>
  </si>
  <si>
    <t>(1-Discount)</t>
  </si>
  <si>
    <t>15CU of purchase price for 1CU of earnings</t>
  </si>
  <si>
    <t>FV of investment=</t>
  </si>
  <si>
    <t>Number of shares outstanding (i.e. issued and not redeemed)</t>
  </si>
  <si>
    <t>Number of shares bought by investor</t>
  </si>
  <si>
    <t>FV of investment = Net assets / Number of shares outstanding * Number of shares purchased</t>
  </si>
  <si>
    <t>PL (OCI)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</si>
</sst>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0" applyNumberForma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0" xfId="0" applyBorder="1"/>
    <xf numFmtId="165" fontId="0" fillId="0" borderId="0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6" fontId="0" fillId="0" borderId="0" xfId="0" applyNumberFormat="1"/>
    <xf numFmtId="165" fontId="0" fillId="0" borderId="0" xfId="1" applyNumberFormat="1" applyFont="1"/>
    <xf numFmtId="0" fontId="0" fillId="0" borderId="4" xfId="0" applyBorder="1"/>
    <xf numFmtId="165" fontId="0" fillId="0" borderId="5" xfId="0" applyNumberForma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5"/>
  <sheetViews>
    <sheetView tabSelected="1" topLeftCell="Q1" zoomScaleNormal="100" workbookViewId="0">
      <selection activeCell="AE52" sqref="AE52"/>
    </sheetView>
  </sheetViews>
  <sheetFormatPr defaultRowHeight="15" x14ac:dyDescent="0.25"/>
  <cols>
    <col min="1" max="1" width="12.5703125" customWidth="1"/>
    <col min="2" max="2" width="13.42578125" customWidth="1"/>
    <col min="4" max="4" width="12.85546875" customWidth="1"/>
    <col min="8" max="8" width="10.140625" bestFit="1" customWidth="1"/>
    <col min="12" max="12" width="16.5703125" customWidth="1"/>
    <col min="29" max="29" width="25.28515625" customWidth="1"/>
    <col min="30" max="31" width="10.140625" bestFit="1" customWidth="1"/>
    <col min="32" max="32" width="12.85546875" customWidth="1"/>
  </cols>
  <sheetData>
    <row r="1" spans="1:33" x14ac:dyDescent="0.25">
      <c r="A1" t="s">
        <v>11</v>
      </c>
      <c r="K1" t="s">
        <v>19</v>
      </c>
      <c r="T1" t="s">
        <v>46</v>
      </c>
      <c r="AC1" t="s">
        <v>64</v>
      </c>
    </row>
    <row r="2" spans="1:33" x14ac:dyDescent="0.25">
      <c r="A2" t="s">
        <v>17</v>
      </c>
      <c r="B2" t="s">
        <v>4</v>
      </c>
      <c r="D2" t="s">
        <v>5</v>
      </c>
      <c r="F2">
        <v>500</v>
      </c>
      <c r="K2" t="s">
        <v>20</v>
      </c>
      <c r="N2" s="11">
        <v>5000</v>
      </c>
      <c r="T2" t="s">
        <v>47</v>
      </c>
      <c r="W2" s="11">
        <v>1000</v>
      </c>
      <c r="AC2" t="s">
        <v>65</v>
      </c>
      <c r="AE2">
        <v>1000</v>
      </c>
    </row>
    <row r="3" spans="1:33" x14ac:dyDescent="0.25">
      <c r="D3" t="s">
        <v>6</v>
      </c>
      <c r="F3">
        <f>500+10</f>
        <v>510</v>
      </c>
      <c r="K3" t="s">
        <v>22</v>
      </c>
      <c r="L3" s="2"/>
      <c r="N3" s="2">
        <v>0.1</v>
      </c>
      <c r="T3" t="s">
        <v>48</v>
      </c>
      <c r="U3" s="2"/>
      <c r="W3" s="10">
        <v>5.8999999999999997E-2</v>
      </c>
    </row>
    <row r="4" spans="1:33" x14ac:dyDescent="0.25">
      <c r="A4" t="s">
        <v>18</v>
      </c>
      <c r="B4" t="s">
        <v>4</v>
      </c>
      <c r="D4" t="s">
        <v>7</v>
      </c>
      <c r="F4" t="s">
        <v>8</v>
      </c>
      <c r="I4">
        <f>500+10</f>
        <v>510</v>
      </c>
      <c r="K4" t="s">
        <v>21</v>
      </c>
      <c r="N4" s="2">
        <v>0.12</v>
      </c>
      <c r="T4" t="s">
        <v>49</v>
      </c>
      <c r="W4" s="2">
        <v>0.1</v>
      </c>
      <c r="AC4" t="s">
        <v>17</v>
      </c>
      <c r="AE4" t="s">
        <v>67</v>
      </c>
      <c r="AG4">
        <f>AE2</f>
        <v>1000</v>
      </c>
    </row>
    <row r="5" spans="1:33" x14ac:dyDescent="0.25">
      <c r="K5" t="s">
        <v>23</v>
      </c>
      <c r="N5" t="s">
        <v>24</v>
      </c>
      <c r="T5" t="s">
        <v>50</v>
      </c>
      <c r="W5" t="s">
        <v>51</v>
      </c>
      <c r="AE5" t="s">
        <v>69</v>
      </c>
      <c r="AG5">
        <f>AG4</f>
        <v>1000</v>
      </c>
    </row>
    <row r="7" spans="1:33" x14ac:dyDescent="0.25">
      <c r="A7" t="s">
        <v>12</v>
      </c>
      <c r="K7" t="s">
        <v>25</v>
      </c>
      <c r="T7" t="s">
        <v>25</v>
      </c>
      <c r="AC7" t="s">
        <v>66</v>
      </c>
      <c r="AE7" t="s">
        <v>70</v>
      </c>
    </row>
    <row r="8" spans="1:33" x14ac:dyDescent="0.25">
      <c r="A8" t="s">
        <v>4</v>
      </c>
      <c r="C8" t="s">
        <v>7</v>
      </c>
      <c r="E8" t="s">
        <v>8</v>
      </c>
      <c r="H8">
        <v>200</v>
      </c>
      <c r="K8" t="s">
        <v>2</v>
      </c>
      <c r="L8" t="s">
        <v>26</v>
      </c>
      <c r="M8" t="s">
        <v>21</v>
      </c>
      <c r="N8" t="s">
        <v>27</v>
      </c>
      <c r="O8" t="s">
        <v>28</v>
      </c>
      <c r="T8" t="s">
        <v>2</v>
      </c>
      <c r="U8" t="s">
        <v>26</v>
      </c>
      <c r="V8" t="s">
        <v>49</v>
      </c>
      <c r="W8" t="s">
        <v>54</v>
      </c>
      <c r="X8" t="s">
        <v>28</v>
      </c>
      <c r="AE8" t="s">
        <v>1</v>
      </c>
      <c r="AF8" s="3">
        <f>AG4/1.1</f>
        <v>909.09090909090901</v>
      </c>
    </row>
    <row r="9" spans="1:33" x14ac:dyDescent="0.25">
      <c r="K9">
        <v>1</v>
      </c>
      <c r="L9" s="3">
        <f>N2</f>
        <v>5000</v>
      </c>
      <c r="M9" s="3">
        <f>L9*$N$4</f>
        <v>600</v>
      </c>
      <c r="N9" s="3">
        <f>N2*$N$3</f>
        <v>500</v>
      </c>
      <c r="O9" s="3">
        <f>L9+(M9-N9)</f>
        <v>5100</v>
      </c>
      <c r="T9">
        <v>1</v>
      </c>
      <c r="U9" s="3">
        <f>W2</f>
        <v>1000</v>
      </c>
      <c r="V9" s="3">
        <f>(U9*$W$4)</f>
        <v>100</v>
      </c>
      <c r="W9" s="3">
        <f>$W$2*$W$3</f>
        <v>59</v>
      </c>
      <c r="X9" s="3">
        <f>U9+(V9-W9)</f>
        <v>1041</v>
      </c>
    </row>
    <row r="10" spans="1:33" x14ac:dyDescent="0.25">
      <c r="K10">
        <v>2</v>
      </c>
      <c r="L10" s="3">
        <f>O9</f>
        <v>5100</v>
      </c>
      <c r="M10" s="3">
        <f>L10*$N$4</f>
        <v>612</v>
      </c>
      <c r="N10" s="3">
        <f>$N$2*$N$3</f>
        <v>500</v>
      </c>
      <c r="O10" s="3">
        <f>L10+(M10-N10)</f>
        <v>5212</v>
      </c>
      <c r="T10">
        <v>2</v>
      </c>
      <c r="U10" s="3">
        <f>X9</f>
        <v>1041</v>
      </c>
      <c r="V10" s="3">
        <f>(U10*$W$4)</f>
        <v>104.10000000000001</v>
      </c>
      <c r="W10" s="3">
        <f>$W$2*$W$3</f>
        <v>59</v>
      </c>
      <c r="X10" s="3">
        <f>U10+(V10-W10)</f>
        <v>1086.0999999999999</v>
      </c>
      <c r="AE10" t="s">
        <v>67</v>
      </c>
      <c r="AG10" s="3">
        <f>AE2-AF8</f>
        <v>90.909090909090992</v>
      </c>
    </row>
    <row r="11" spans="1:33" x14ac:dyDescent="0.25">
      <c r="A11" t="s">
        <v>13</v>
      </c>
      <c r="K11" s="17">
        <v>43103</v>
      </c>
      <c r="L11" s="3">
        <f>O10</f>
        <v>5212</v>
      </c>
      <c r="M11" s="3">
        <f>L11*$N$4</f>
        <v>625.43999999999994</v>
      </c>
      <c r="N11" s="3">
        <f>$N$2*$N$3</f>
        <v>500</v>
      </c>
      <c r="O11" s="3">
        <f>L11+(M11-N11)</f>
        <v>5337.44</v>
      </c>
      <c r="T11">
        <v>3</v>
      </c>
      <c r="U11" s="3">
        <f t="shared" ref="U11:U13" si="0">X10</f>
        <v>1086.0999999999999</v>
      </c>
      <c r="V11" s="3">
        <f t="shared" ref="V10:V13" si="1">(U11*$W$4)</f>
        <v>108.61</v>
      </c>
      <c r="W11" s="3">
        <f t="shared" ref="W10:W13" si="2">$W$2*$W$3</f>
        <v>59</v>
      </c>
      <c r="X11" s="3">
        <f t="shared" ref="X10:X12" si="3">U11+(V11-W11)</f>
        <v>1135.7099999999998</v>
      </c>
      <c r="AE11" t="s">
        <v>69</v>
      </c>
      <c r="AG11" s="3">
        <f>AG10</f>
        <v>90.909090909090992</v>
      </c>
    </row>
    <row r="12" spans="1:33" x14ac:dyDescent="0.25">
      <c r="A12" t="s">
        <v>4</v>
      </c>
      <c r="C12" t="s">
        <v>7</v>
      </c>
      <c r="E12" t="s">
        <v>8</v>
      </c>
      <c r="H12" s="11">
        <v>20000</v>
      </c>
      <c r="K12" s="17">
        <v>43134</v>
      </c>
      <c r="N12" s="3">
        <f>O11</f>
        <v>5337.44</v>
      </c>
      <c r="O12" s="3">
        <f>O11-N12</f>
        <v>0</v>
      </c>
      <c r="T12">
        <v>4</v>
      </c>
      <c r="U12" s="3">
        <f t="shared" si="0"/>
        <v>1135.7099999999998</v>
      </c>
      <c r="V12" s="3">
        <f t="shared" si="1"/>
        <v>113.57099999999998</v>
      </c>
      <c r="W12" s="3">
        <f t="shared" si="2"/>
        <v>59</v>
      </c>
      <c r="X12" s="3">
        <f t="shared" si="3"/>
        <v>1190.2809999999997</v>
      </c>
    </row>
    <row r="13" spans="1:33" x14ac:dyDescent="0.25">
      <c r="T13" s="17">
        <v>43105</v>
      </c>
      <c r="U13" s="3">
        <f t="shared" si="0"/>
        <v>1190.2809999999997</v>
      </c>
      <c r="V13" s="3">
        <f>(U13*$W$4)</f>
        <v>119.02809999999998</v>
      </c>
      <c r="W13" s="3">
        <f t="shared" si="2"/>
        <v>59</v>
      </c>
      <c r="X13" s="3">
        <f>U13+(V13-W13)</f>
        <v>1250.3090999999997</v>
      </c>
    </row>
    <row r="14" spans="1:33" x14ac:dyDescent="0.25">
      <c r="A14" t="s">
        <v>9</v>
      </c>
      <c r="D14" t="s">
        <v>10</v>
      </c>
      <c r="K14" t="s">
        <v>29</v>
      </c>
      <c r="N14" t="s">
        <v>30</v>
      </c>
      <c r="T14" s="17">
        <v>43136</v>
      </c>
      <c r="W14" s="3">
        <f>X13</f>
        <v>1250.3090999999997</v>
      </c>
      <c r="AC14" t="s">
        <v>71</v>
      </c>
    </row>
    <row r="15" spans="1:33" x14ac:dyDescent="0.25">
      <c r="K15" s="4" t="s">
        <v>21</v>
      </c>
      <c r="L15" s="5">
        <f>M9</f>
        <v>600</v>
      </c>
      <c r="N15" t="s">
        <v>20</v>
      </c>
      <c r="O15" s="8">
        <f>O9</f>
        <v>5100</v>
      </c>
      <c r="P15" t="s">
        <v>31</v>
      </c>
      <c r="Q15" s="3">
        <f>$N$2</f>
        <v>5000</v>
      </c>
    </row>
    <row r="16" spans="1:33" x14ac:dyDescent="0.25">
      <c r="K16" t="s">
        <v>33</v>
      </c>
      <c r="L16" s="3">
        <f>L15</f>
        <v>600</v>
      </c>
      <c r="N16" s="4" t="s">
        <v>3</v>
      </c>
      <c r="O16" s="9">
        <f>N9</f>
        <v>500</v>
      </c>
      <c r="P16" s="4" t="s">
        <v>32</v>
      </c>
      <c r="Q16" s="5">
        <f>L16</f>
        <v>600</v>
      </c>
      <c r="AC16" t="s">
        <v>17</v>
      </c>
    </row>
    <row r="17" spans="1:33" x14ac:dyDescent="0.25">
      <c r="A17" t="s">
        <v>14</v>
      </c>
      <c r="O17" s="8">
        <f>SUM(O15:O16)</f>
        <v>5600</v>
      </c>
      <c r="Q17" s="8">
        <f>SUM(Q15:Q16)</f>
        <v>5600</v>
      </c>
      <c r="AE17" t="s">
        <v>72</v>
      </c>
      <c r="AG17" s="3">
        <v>200</v>
      </c>
    </row>
    <row r="18" spans="1:33" x14ac:dyDescent="0.25">
      <c r="A18" t="s">
        <v>4</v>
      </c>
      <c r="C18" t="s">
        <v>7</v>
      </c>
      <c r="E18" t="s">
        <v>8</v>
      </c>
      <c r="H18">
        <v>400</v>
      </c>
      <c r="AE18" t="s">
        <v>73</v>
      </c>
      <c r="AG18" s="3">
        <f>AG17</f>
        <v>200</v>
      </c>
    </row>
    <row r="19" spans="1:33" x14ac:dyDescent="0.25">
      <c r="T19" t="s">
        <v>29</v>
      </c>
      <c r="W19" t="s">
        <v>30</v>
      </c>
    </row>
    <row r="20" spans="1:33" x14ac:dyDescent="0.25">
      <c r="K20" t="s">
        <v>34</v>
      </c>
      <c r="N20" t="s">
        <v>35</v>
      </c>
      <c r="T20" s="4" t="s">
        <v>49</v>
      </c>
      <c r="U20" s="5">
        <f>-V9</f>
        <v>-100</v>
      </c>
      <c r="X20" s="8"/>
      <c r="Y20" t="s">
        <v>47</v>
      </c>
      <c r="Z20" s="3">
        <f>X9</f>
        <v>1041</v>
      </c>
      <c r="AE20" t="s">
        <v>68</v>
      </c>
      <c r="AG20" s="3">
        <f>AG18</f>
        <v>200</v>
      </c>
    </row>
    <row r="21" spans="1:33" x14ac:dyDescent="0.25">
      <c r="A21" t="s">
        <v>15</v>
      </c>
      <c r="K21" s="4" t="s">
        <v>21</v>
      </c>
      <c r="L21" s="5">
        <f>M10</f>
        <v>612</v>
      </c>
      <c r="N21" t="s">
        <v>20</v>
      </c>
      <c r="O21" s="8">
        <f>O10</f>
        <v>5212</v>
      </c>
      <c r="P21" t="s">
        <v>31</v>
      </c>
      <c r="Q21" s="3">
        <f>$N$2</f>
        <v>5000</v>
      </c>
      <c r="T21" t="s">
        <v>33</v>
      </c>
      <c r="U21" s="3">
        <f>U20</f>
        <v>-100</v>
      </c>
      <c r="W21" s="4" t="s">
        <v>3</v>
      </c>
      <c r="X21" s="9">
        <f>$W$2-W9</f>
        <v>941</v>
      </c>
      <c r="Y21" s="4" t="s">
        <v>32</v>
      </c>
      <c r="Z21" s="5">
        <f>U21</f>
        <v>-100</v>
      </c>
      <c r="AE21" t="s">
        <v>74</v>
      </c>
      <c r="AG21" s="3">
        <f>AG20</f>
        <v>200</v>
      </c>
    </row>
    <row r="22" spans="1:33" x14ac:dyDescent="0.25">
      <c r="A22" t="s">
        <v>4</v>
      </c>
      <c r="C22" t="s">
        <v>7</v>
      </c>
      <c r="E22" t="s">
        <v>8</v>
      </c>
      <c r="H22" s="11">
        <v>1500</v>
      </c>
      <c r="K22" t="s">
        <v>33</v>
      </c>
      <c r="L22" s="3">
        <f>L21</f>
        <v>612</v>
      </c>
      <c r="N22" s="6" t="s">
        <v>3</v>
      </c>
      <c r="O22" s="8">
        <f>O16+N10</f>
        <v>1000</v>
      </c>
      <c r="P22" s="6" t="s">
        <v>32</v>
      </c>
      <c r="Q22" s="7">
        <f>L22</f>
        <v>612</v>
      </c>
      <c r="X22" s="8">
        <f>SUM(X20:X21)</f>
        <v>941</v>
      </c>
      <c r="Z22" s="8">
        <f>SUM(Z20:Z21)</f>
        <v>941</v>
      </c>
    </row>
    <row r="23" spans="1:33" x14ac:dyDescent="0.25">
      <c r="N23" s="4"/>
      <c r="O23" s="9"/>
      <c r="P23" s="4" t="s">
        <v>36</v>
      </c>
      <c r="Q23" s="5">
        <f>Q16</f>
        <v>600</v>
      </c>
      <c r="AC23" t="s">
        <v>66</v>
      </c>
    </row>
    <row r="24" spans="1:33" x14ac:dyDescent="0.25">
      <c r="N24" s="12"/>
      <c r="O24" s="13">
        <f>SUM(O21:O23)</f>
        <v>6212</v>
      </c>
      <c r="P24" s="12"/>
      <c r="Q24" s="13">
        <f>SUM(Q21:Q23)</f>
        <v>6212</v>
      </c>
      <c r="AE24" t="s">
        <v>68</v>
      </c>
      <c r="AG24" s="3">
        <v>200</v>
      </c>
    </row>
    <row r="25" spans="1:33" x14ac:dyDescent="0.25">
      <c r="A25" t="s">
        <v>16</v>
      </c>
      <c r="T25" t="s">
        <v>34</v>
      </c>
      <c r="W25" t="s">
        <v>35</v>
      </c>
      <c r="AE25" t="s">
        <v>74</v>
      </c>
      <c r="AG25" s="3">
        <f>AG24</f>
        <v>200</v>
      </c>
    </row>
    <row r="26" spans="1:33" x14ac:dyDescent="0.25">
      <c r="A26" t="s">
        <v>17</v>
      </c>
      <c r="B26" t="s">
        <v>4</v>
      </c>
      <c r="D26" t="s">
        <v>7</v>
      </c>
      <c r="F26" t="s">
        <v>8</v>
      </c>
      <c r="I26" s="11">
        <v>5000</v>
      </c>
      <c r="T26" s="4" t="s">
        <v>49</v>
      </c>
      <c r="U26" s="5">
        <f>-V10</f>
        <v>-104.10000000000001</v>
      </c>
      <c r="X26" s="8"/>
      <c r="Y26" t="s">
        <v>47</v>
      </c>
      <c r="Z26" s="3">
        <f>X10</f>
        <v>1086.0999999999999</v>
      </c>
    </row>
    <row r="27" spans="1:33" x14ac:dyDescent="0.25">
      <c r="A27" t="s">
        <v>18</v>
      </c>
      <c r="B27" t="s">
        <v>4</v>
      </c>
      <c r="D27" t="s">
        <v>7</v>
      </c>
      <c r="F27" t="s">
        <v>8</v>
      </c>
      <c r="I27" s="11">
        <v>5000</v>
      </c>
      <c r="K27" t="s">
        <v>52</v>
      </c>
      <c r="N27" t="s">
        <v>53</v>
      </c>
      <c r="T27" t="s">
        <v>33</v>
      </c>
      <c r="U27" s="3">
        <f>U26</f>
        <v>-104.10000000000001</v>
      </c>
      <c r="W27" s="6" t="s">
        <v>3</v>
      </c>
      <c r="X27" s="8">
        <f>X21-W10</f>
        <v>882</v>
      </c>
      <c r="Y27" s="6" t="s">
        <v>32</v>
      </c>
      <c r="Z27" s="7">
        <f>U27</f>
        <v>-104.10000000000001</v>
      </c>
      <c r="AE27" t="s">
        <v>67</v>
      </c>
      <c r="AG27" s="3">
        <f>AF8-AG24</f>
        <v>709.09090909090901</v>
      </c>
    </row>
    <row r="28" spans="1:33" x14ac:dyDescent="0.25">
      <c r="K28" s="4" t="s">
        <v>21</v>
      </c>
      <c r="L28" s="5">
        <f>M11</f>
        <v>625.43999999999994</v>
      </c>
      <c r="N28" t="s">
        <v>20</v>
      </c>
      <c r="O28" s="8">
        <f>O12</f>
        <v>0</v>
      </c>
      <c r="P28" t="s">
        <v>31</v>
      </c>
      <c r="Q28" s="3">
        <f>$N$2</f>
        <v>5000</v>
      </c>
      <c r="W28" s="4"/>
      <c r="X28" s="9"/>
      <c r="Y28" s="4" t="s">
        <v>36</v>
      </c>
      <c r="Z28" s="5">
        <f>Z21</f>
        <v>-100</v>
      </c>
      <c r="AE28" t="s">
        <v>69</v>
      </c>
      <c r="AG28" s="3">
        <f>AG27</f>
        <v>709.09090909090901</v>
      </c>
    </row>
    <row r="29" spans="1:33" x14ac:dyDescent="0.25">
      <c r="K29" t="s">
        <v>33</v>
      </c>
      <c r="L29" s="3">
        <f>L28</f>
        <v>625.43999999999994</v>
      </c>
      <c r="N29" s="6" t="s">
        <v>3</v>
      </c>
      <c r="O29" s="8">
        <f>O22+N11+N12</f>
        <v>6837.44</v>
      </c>
      <c r="P29" s="6" t="s">
        <v>32</v>
      </c>
      <c r="Q29" s="7">
        <f>L29</f>
        <v>625.43999999999994</v>
      </c>
      <c r="W29" s="12"/>
      <c r="X29" s="13">
        <f>SUM(X26:X28)</f>
        <v>882</v>
      </c>
      <c r="Y29" s="12"/>
      <c r="Z29" s="13">
        <f>SUM(Z26:Z28)</f>
        <v>881.99999999999989</v>
      </c>
    </row>
    <row r="30" spans="1:33" x14ac:dyDescent="0.25">
      <c r="N30" s="4"/>
      <c r="O30" s="9"/>
      <c r="P30" s="4" t="s">
        <v>36</v>
      </c>
      <c r="Q30" s="5">
        <f>Q23+Q22</f>
        <v>1212</v>
      </c>
    </row>
    <row r="31" spans="1:33" x14ac:dyDescent="0.25">
      <c r="N31" s="12"/>
      <c r="O31" s="13">
        <f>SUM(O28:O30)</f>
        <v>6837.44</v>
      </c>
      <c r="P31" s="12"/>
      <c r="Q31" s="13">
        <f>SUM(Q28:Q30)</f>
        <v>6837.44</v>
      </c>
      <c r="AC31" t="s">
        <v>75</v>
      </c>
    </row>
    <row r="32" spans="1:33" x14ac:dyDescent="0.25">
      <c r="T32" t="s">
        <v>52</v>
      </c>
      <c r="W32" t="s">
        <v>53</v>
      </c>
    </row>
    <row r="33" spans="11:38" x14ac:dyDescent="0.25">
      <c r="T33" s="4" t="s">
        <v>49</v>
      </c>
      <c r="U33" s="5">
        <f>-V11</f>
        <v>-108.61</v>
      </c>
      <c r="X33" s="8"/>
      <c r="Y33" t="s">
        <v>47</v>
      </c>
      <c r="Z33" s="3">
        <f>X11</f>
        <v>1135.7099999999998</v>
      </c>
      <c r="AC33" t="s">
        <v>17</v>
      </c>
    </row>
    <row r="34" spans="11:38" x14ac:dyDescent="0.25">
      <c r="K34" t="s">
        <v>37</v>
      </c>
      <c r="T34" t="s">
        <v>33</v>
      </c>
      <c r="U34" s="3">
        <f>U33</f>
        <v>-108.61</v>
      </c>
      <c r="W34" s="6" t="s">
        <v>3</v>
      </c>
      <c r="X34" s="8">
        <f>X27-W11</f>
        <v>823</v>
      </c>
      <c r="Y34" s="6" t="s">
        <v>32</v>
      </c>
      <c r="Z34" s="7">
        <f>U34</f>
        <v>-108.61</v>
      </c>
    </row>
    <row r="35" spans="11:38" x14ac:dyDescent="0.25">
      <c r="K35" t="s">
        <v>20</v>
      </c>
      <c r="N35" s="11">
        <v>10000</v>
      </c>
      <c r="O35" t="s">
        <v>38</v>
      </c>
      <c r="W35" s="4"/>
      <c r="X35" s="9"/>
      <c r="Y35" s="4" t="s">
        <v>36</v>
      </c>
      <c r="Z35" s="5">
        <f>Z28+Z27</f>
        <v>-204.10000000000002</v>
      </c>
      <c r="AC35" t="s">
        <v>76</v>
      </c>
      <c r="AD35" s="11">
        <v>70000</v>
      </c>
    </row>
    <row r="36" spans="11:38" x14ac:dyDescent="0.25">
      <c r="K36" t="s">
        <v>39</v>
      </c>
      <c r="L36" s="2"/>
      <c r="N36" s="14">
        <v>4.2</v>
      </c>
      <c r="O36" t="s">
        <v>40</v>
      </c>
      <c r="W36" s="12"/>
      <c r="X36" s="13">
        <f>SUM(X33:X35)</f>
        <v>823</v>
      </c>
      <c r="Y36" s="12"/>
      <c r="Z36" s="13">
        <f>SUM(Z33:Z35)</f>
        <v>822.99999999999989</v>
      </c>
      <c r="AC36" t="s">
        <v>77</v>
      </c>
      <c r="AD36">
        <v>15</v>
      </c>
      <c r="AE36" s="16" t="s">
        <v>0</v>
      </c>
      <c r="AF36" t="s">
        <v>84</v>
      </c>
    </row>
    <row r="37" spans="11:38" x14ac:dyDescent="0.25">
      <c r="K37" t="s">
        <v>41</v>
      </c>
      <c r="N37" s="14">
        <v>4.9000000000000004</v>
      </c>
      <c r="O37" t="s">
        <v>40</v>
      </c>
      <c r="AC37" t="s">
        <v>78</v>
      </c>
      <c r="AD37" s="2">
        <v>0.2</v>
      </c>
    </row>
    <row r="38" spans="11:38" x14ac:dyDescent="0.25">
      <c r="AC38" t="s">
        <v>86</v>
      </c>
      <c r="AD38">
        <v>5000</v>
      </c>
    </row>
    <row r="39" spans="11:38" x14ac:dyDescent="0.25">
      <c r="K39" t="s">
        <v>42</v>
      </c>
      <c r="N39" t="s">
        <v>43</v>
      </c>
      <c r="T39" t="s">
        <v>55</v>
      </c>
      <c r="W39" t="s">
        <v>56</v>
      </c>
      <c r="AC39" t="s">
        <v>87</v>
      </c>
      <c r="AD39">
        <v>250</v>
      </c>
    </row>
    <row r="40" spans="11:38" x14ac:dyDescent="0.25">
      <c r="K40" s="4" t="s">
        <v>44</v>
      </c>
      <c r="L40" s="5">
        <f>(N37-N36)*N35</f>
        <v>7000.0000000000018</v>
      </c>
      <c r="N40" t="s">
        <v>20</v>
      </c>
      <c r="O40" s="8">
        <f>N35*N37</f>
        <v>49000</v>
      </c>
      <c r="P40" t="s">
        <v>31</v>
      </c>
      <c r="Q40" s="3">
        <f>N35*N36</f>
        <v>42000</v>
      </c>
      <c r="T40" s="4" t="s">
        <v>49</v>
      </c>
      <c r="U40" s="5">
        <f>-V12</f>
        <v>-113.57099999999998</v>
      </c>
      <c r="X40" s="8"/>
      <c r="Y40" t="s">
        <v>47</v>
      </c>
      <c r="Z40" s="3">
        <f>X12</f>
        <v>1190.2809999999997</v>
      </c>
    </row>
    <row r="41" spans="11:38" x14ac:dyDescent="0.25">
      <c r="K41" t="s">
        <v>33</v>
      </c>
      <c r="L41" s="3">
        <f>L40</f>
        <v>7000.0000000000018</v>
      </c>
      <c r="N41" s="4"/>
      <c r="O41" s="9"/>
      <c r="P41" s="4" t="s">
        <v>32</v>
      </c>
      <c r="Q41" s="5">
        <f>L41</f>
        <v>7000.0000000000018</v>
      </c>
      <c r="T41" t="s">
        <v>33</v>
      </c>
      <c r="U41" s="3">
        <f>U40</f>
        <v>-113.57099999999998</v>
      </c>
      <c r="W41" s="6" t="s">
        <v>3</v>
      </c>
      <c r="X41" s="8">
        <f>X34-W12</f>
        <v>764</v>
      </c>
      <c r="Y41" s="6" t="s">
        <v>32</v>
      </c>
      <c r="Z41" s="7">
        <f>U41</f>
        <v>-113.57099999999998</v>
      </c>
    </row>
    <row r="42" spans="11:38" x14ac:dyDescent="0.25">
      <c r="O42" s="8">
        <f>SUM(O40:O41)</f>
        <v>49000</v>
      </c>
      <c r="Q42" s="8">
        <f>SUM(Q40:Q41)</f>
        <v>49000</v>
      </c>
      <c r="W42" s="4"/>
      <c r="X42" s="9"/>
      <c r="Y42" s="4" t="s">
        <v>36</v>
      </c>
      <c r="Z42" s="5">
        <f>Z35+Z34</f>
        <v>-312.71000000000004</v>
      </c>
      <c r="AC42" t="s">
        <v>79</v>
      </c>
    </row>
    <row r="43" spans="11:38" x14ac:dyDescent="0.25">
      <c r="W43" s="12"/>
      <c r="X43" s="13">
        <f>SUM(X40:X42)</f>
        <v>764</v>
      </c>
      <c r="Y43" s="12"/>
      <c r="Z43" s="13">
        <f>SUM(Z40:Z42)</f>
        <v>763.99999999999977</v>
      </c>
    </row>
    <row r="45" spans="11:38" x14ac:dyDescent="0.25">
      <c r="K45" t="s">
        <v>45</v>
      </c>
      <c r="AC45" t="s">
        <v>80</v>
      </c>
      <c r="AE45" s="15" t="s">
        <v>81</v>
      </c>
      <c r="AF45" s="15" t="s">
        <v>82</v>
      </c>
      <c r="AG45" t="s">
        <v>77</v>
      </c>
      <c r="AH45" s="15" t="s">
        <v>82</v>
      </c>
      <c r="AI45" t="s">
        <v>83</v>
      </c>
      <c r="AK45" s="1" t="s">
        <v>0</v>
      </c>
      <c r="AL45" s="11">
        <f>AD35*AD36*(1-AD37)</f>
        <v>840000</v>
      </c>
    </row>
    <row r="46" spans="11:38" x14ac:dyDescent="0.25">
      <c r="K46" t="s">
        <v>20</v>
      </c>
      <c r="N46" s="11">
        <v>20000</v>
      </c>
      <c r="O46" t="s">
        <v>38</v>
      </c>
      <c r="T46" t="s">
        <v>57</v>
      </c>
      <c r="W46" t="s">
        <v>58</v>
      </c>
      <c r="AC46" t="s">
        <v>85</v>
      </c>
      <c r="AE46" s="11">
        <f>AL45/AD38*AD39</f>
        <v>42000</v>
      </c>
    </row>
    <row r="47" spans="11:38" x14ac:dyDescent="0.25">
      <c r="K47" t="s">
        <v>39</v>
      </c>
      <c r="L47" s="2"/>
      <c r="N47" s="14">
        <v>3.8</v>
      </c>
      <c r="O47" t="s">
        <v>40</v>
      </c>
      <c r="T47" s="4" t="s">
        <v>49</v>
      </c>
      <c r="U47" s="5">
        <f>-V13</f>
        <v>-119.02809999999998</v>
      </c>
      <c r="X47" s="8"/>
      <c r="Y47" t="s">
        <v>47</v>
      </c>
      <c r="Z47" s="3">
        <f>X14</f>
        <v>0</v>
      </c>
    </row>
    <row r="48" spans="11:38" x14ac:dyDescent="0.25">
      <c r="K48" t="s">
        <v>41</v>
      </c>
      <c r="N48" s="14">
        <v>3.4</v>
      </c>
      <c r="O48" t="s">
        <v>40</v>
      </c>
      <c r="T48" t="s">
        <v>33</v>
      </c>
      <c r="U48" s="3">
        <f>U47</f>
        <v>-119.02809999999998</v>
      </c>
      <c r="W48" s="6" t="s">
        <v>3</v>
      </c>
      <c r="X48" s="8">
        <f>X41-W13-W14</f>
        <v>-545.30909999999972</v>
      </c>
      <c r="Y48" s="6" t="s">
        <v>32</v>
      </c>
      <c r="Z48" s="7">
        <f>U48</f>
        <v>-119.02809999999998</v>
      </c>
    </row>
    <row r="49" spans="11:31" x14ac:dyDescent="0.25">
      <c r="W49" s="4"/>
      <c r="X49" s="9"/>
      <c r="Y49" s="4" t="s">
        <v>36</v>
      </c>
      <c r="Z49" s="5">
        <f>Z42+Z41</f>
        <v>-426.28100000000001</v>
      </c>
      <c r="AC49" t="s">
        <v>66</v>
      </c>
    </row>
    <row r="50" spans="11:31" x14ac:dyDescent="0.25">
      <c r="K50" t="s">
        <v>89</v>
      </c>
      <c r="N50" t="s">
        <v>43</v>
      </c>
      <c r="W50" s="12"/>
      <c r="X50" s="13">
        <f>SUM(X47:X49)</f>
        <v>-545.30909999999972</v>
      </c>
      <c r="Y50" s="12"/>
      <c r="Z50" s="13">
        <f>SUM(Z47:Z49)</f>
        <v>-545.30909999999994</v>
      </c>
    </row>
    <row r="51" spans="11:31" x14ac:dyDescent="0.25">
      <c r="K51" s="4" t="s">
        <v>44</v>
      </c>
      <c r="L51" s="5">
        <f>(N48-N47)*N46</f>
        <v>-7999.9999999999982</v>
      </c>
      <c r="N51" t="s">
        <v>20</v>
      </c>
      <c r="O51" s="8">
        <f>N46*N48</f>
        <v>68000</v>
      </c>
      <c r="P51" t="s">
        <v>31</v>
      </c>
      <c r="Q51" s="3">
        <f>N46*N47</f>
        <v>76000</v>
      </c>
      <c r="AC51" t="s">
        <v>88</v>
      </c>
    </row>
    <row r="52" spans="11:31" x14ac:dyDescent="0.25">
      <c r="K52" t="s">
        <v>33</v>
      </c>
      <c r="L52" s="3">
        <f>L51</f>
        <v>-7999.9999999999982</v>
      </c>
      <c r="N52" s="4"/>
      <c r="O52" s="9"/>
      <c r="P52" s="4" t="s">
        <v>32</v>
      </c>
      <c r="Q52" s="5">
        <f>L52</f>
        <v>-7999.9999999999982</v>
      </c>
      <c r="AC52" t="s">
        <v>85</v>
      </c>
      <c r="AE52" s="11">
        <f>850000/AD38*AD39</f>
        <v>42500</v>
      </c>
    </row>
    <row r="53" spans="11:31" x14ac:dyDescent="0.25">
      <c r="O53" s="8">
        <f>SUM(O51:O52)</f>
        <v>68000</v>
      </c>
      <c r="Q53" s="8">
        <f>SUM(Q51:Q52)</f>
        <v>68000</v>
      </c>
    </row>
    <row r="55" spans="11:31" x14ac:dyDescent="0.25">
      <c r="T55" t="s">
        <v>59</v>
      </c>
    </row>
    <row r="56" spans="11:31" x14ac:dyDescent="0.25">
      <c r="T56" t="s">
        <v>47</v>
      </c>
      <c r="W56" s="11">
        <v>20000</v>
      </c>
    </row>
    <row r="57" spans="11:31" x14ac:dyDescent="0.25">
      <c r="T57" t="s">
        <v>48</v>
      </c>
      <c r="U57" s="2"/>
      <c r="W57" s="10">
        <v>0.05</v>
      </c>
    </row>
    <row r="58" spans="11:31" x14ac:dyDescent="0.25">
      <c r="T58" t="s">
        <v>49</v>
      </c>
      <c r="W58" s="10">
        <v>0.05</v>
      </c>
    </row>
    <row r="59" spans="11:31" x14ac:dyDescent="0.25">
      <c r="T59" t="s">
        <v>50</v>
      </c>
      <c r="W59" t="s">
        <v>51</v>
      </c>
    </row>
    <row r="61" spans="11:31" x14ac:dyDescent="0.25">
      <c r="T61" t="s">
        <v>25</v>
      </c>
    </row>
    <row r="62" spans="11:31" x14ac:dyDescent="0.25">
      <c r="T62" t="s">
        <v>2</v>
      </c>
      <c r="U62" t="s">
        <v>26</v>
      </c>
      <c r="V62" t="s">
        <v>49</v>
      </c>
      <c r="W62" t="s">
        <v>54</v>
      </c>
      <c r="X62" t="s">
        <v>28</v>
      </c>
    </row>
    <row r="63" spans="11:31" x14ac:dyDescent="0.25">
      <c r="T63">
        <v>1</v>
      </c>
      <c r="U63" s="3">
        <f>W56</f>
        <v>20000</v>
      </c>
      <c r="V63" s="3">
        <f>(U63*$W$58)</f>
        <v>1000</v>
      </c>
      <c r="W63" s="3">
        <f>$W$56*$W$57</f>
        <v>1000</v>
      </c>
      <c r="X63" s="3">
        <f>U63+(V63-W63)</f>
        <v>20000</v>
      </c>
    </row>
    <row r="64" spans="11:31" x14ac:dyDescent="0.25">
      <c r="T64">
        <v>2</v>
      </c>
      <c r="U64" s="3">
        <f>X63</f>
        <v>20000</v>
      </c>
      <c r="V64" s="3">
        <f t="shared" ref="V64:V66" si="4">(U64*$W$58)</f>
        <v>1000</v>
      </c>
      <c r="W64" s="3">
        <f t="shared" ref="W64:W66" si="5">$W$56*$W$57</f>
        <v>1000</v>
      </c>
      <c r="X64" s="3">
        <f t="shared" ref="X64:X66" si="6">U64+(V64-W64)</f>
        <v>20000</v>
      </c>
    </row>
    <row r="65" spans="20:26" x14ac:dyDescent="0.25">
      <c r="T65">
        <v>3</v>
      </c>
      <c r="U65" s="3">
        <f t="shared" ref="U65:U66" si="7">X64</f>
        <v>20000</v>
      </c>
      <c r="V65" s="3">
        <f t="shared" si="4"/>
        <v>1000</v>
      </c>
      <c r="W65" s="3">
        <f t="shared" si="5"/>
        <v>1000</v>
      </c>
      <c r="X65" s="3">
        <f t="shared" si="6"/>
        <v>20000</v>
      </c>
    </row>
    <row r="66" spans="20:26" x14ac:dyDescent="0.25">
      <c r="T66">
        <v>4.0999999999999996</v>
      </c>
      <c r="U66" s="3">
        <f t="shared" si="7"/>
        <v>20000</v>
      </c>
      <c r="V66" s="3">
        <f t="shared" si="4"/>
        <v>1000</v>
      </c>
      <c r="W66" s="3">
        <f t="shared" si="5"/>
        <v>1000</v>
      </c>
      <c r="X66" s="3">
        <f t="shared" si="6"/>
        <v>20000</v>
      </c>
    </row>
    <row r="67" spans="20:26" x14ac:dyDescent="0.25">
      <c r="T67">
        <v>4.2</v>
      </c>
      <c r="U67" s="3"/>
      <c r="V67" s="3">
        <f t="shared" ref="V67" si="8">(U67*$W$4)</f>
        <v>0</v>
      </c>
      <c r="W67" s="3">
        <f>X66</f>
        <v>20000</v>
      </c>
      <c r="X67" s="3">
        <v>0</v>
      </c>
    </row>
    <row r="68" spans="20:26" x14ac:dyDescent="0.25">
      <c r="W68" s="3"/>
    </row>
    <row r="70" spans="20:26" x14ac:dyDescent="0.25">
      <c r="T70" t="s">
        <v>60</v>
      </c>
      <c r="W70" t="s">
        <v>62</v>
      </c>
    </row>
    <row r="71" spans="20:26" x14ac:dyDescent="0.25">
      <c r="T71" s="4" t="s">
        <v>49</v>
      </c>
      <c r="U71" s="5">
        <f>-V63</f>
        <v>-1000</v>
      </c>
      <c r="X71" s="8"/>
      <c r="Y71" t="s">
        <v>47</v>
      </c>
      <c r="Z71" s="3">
        <f>X63</f>
        <v>20000</v>
      </c>
    </row>
    <row r="72" spans="20:26" x14ac:dyDescent="0.25">
      <c r="T72" t="s">
        <v>33</v>
      </c>
      <c r="U72" s="3">
        <f>U71</f>
        <v>-1000</v>
      </c>
      <c r="W72" s="4" t="s">
        <v>3</v>
      </c>
      <c r="X72" s="9">
        <f>W56-W63*1</f>
        <v>19000</v>
      </c>
      <c r="Y72" s="4" t="s">
        <v>32</v>
      </c>
      <c r="Z72" s="5">
        <f>U72</f>
        <v>-1000</v>
      </c>
    </row>
    <row r="73" spans="20:26" x14ac:dyDescent="0.25">
      <c r="X73" s="8">
        <f>SUM(X71:X72)</f>
        <v>19000</v>
      </c>
      <c r="Z73" s="8">
        <f>SUM(Z71:Z72)</f>
        <v>19000</v>
      </c>
    </row>
    <row r="76" spans="20:26" x14ac:dyDescent="0.25">
      <c r="W76" t="s">
        <v>56</v>
      </c>
    </row>
    <row r="77" spans="20:26" x14ac:dyDescent="0.25">
      <c r="X77" s="8"/>
      <c r="Y77" t="s">
        <v>47</v>
      </c>
      <c r="Z77" s="3">
        <f>X67</f>
        <v>0</v>
      </c>
    </row>
    <row r="78" spans="20:26" x14ac:dyDescent="0.25">
      <c r="W78" s="6" t="s">
        <v>3</v>
      </c>
      <c r="X78" s="7">
        <f>W56-SUM(W63:W67)</f>
        <v>-4000</v>
      </c>
      <c r="Y78" s="6" t="s">
        <v>32</v>
      </c>
      <c r="Z78" s="7">
        <f>U72</f>
        <v>-1000</v>
      </c>
    </row>
    <row r="79" spans="20:26" x14ac:dyDescent="0.25">
      <c r="W79" s="4"/>
      <c r="X79" s="9"/>
      <c r="Y79" s="4" t="s">
        <v>61</v>
      </c>
      <c r="Z79" s="5">
        <f>-SUM(V63:V65)</f>
        <v>-3000</v>
      </c>
    </row>
    <row r="80" spans="20:26" x14ac:dyDescent="0.25">
      <c r="X80" s="8">
        <f>SUM(X77:X78)</f>
        <v>-4000</v>
      </c>
      <c r="Z80" s="8">
        <f>SUM(Z77:Z79)</f>
        <v>-4000</v>
      </c>
    </row>
    <row r="85" spans="20:25" x14ac:dyDescent="0.25">
      <c r="T85" t="s">
        <v>63</v>
      </c>
    </row>
    <row r="86" spans="20:25" x14ac:dyDescent="0.25">
      <c r="T86" t="s">
        <v>47</v>
      </c>
      <c r="W86" s="11">
        <v>40000</v>
      </c>
    </row>
    <row r="87" spans="20:25" x14ac:dyDescent="0.25">
      <c r="T87" t="s">
        <v>48</v>
      </c>
      <c r="U87" s="2"/>
      <c r="W87" s="10"/>
    </row>
    <row r="88" spans="20:25" x14ac:dyDescent="0.25">
      <c r="T88" t="s">
        <v>49</v>
      </c>
      <c r="W88" s="2">
        <v>0.09</v>
      </c>
    </row>
    <row r="89" spans="20:25" x14ac:dyDescent="0.25">
      <c r="T89" t="s">
        <v>50</v>
      </c>
      <c r="W89" t="s">
        <v>24</v>
      </c>
    </row>
    <row r="91" spans="20:25" x14ac:dyDescent="0.25">
      <c r="T91" t="s">
        <v>25</v>
      </c>
    </row>
    <row r="92" spans="20:25" x14ac:dyDescent="0.25">
      <c r="T92" t="s">
        <v>2</v>
      </c>
      <c r="U92" t="s">
        <v>26</v>
      </c>
      <c r="V92" t="s">
        <v>49</v>
      </c>
      <c r="W92" t="s">
        <v>54</v>
      </c>
      <c r="X92" t="s">
        <v>28</v>
      </c>
    </row>
    <row r="93" spans="20:25" x14ac:dyDescent="0.25">
      <c r="T93">
        <v>1</v>
      </c>
      <c r="U93" s="3">
        <f>W86</f>
        <v>40000</v>
      </c>
      <c r="V93" s="3">
        <f>(U93*$W$88)</f>
        <v>3600</v>
      </c>
      <c r="W93" s="3">
        <f>$W$87</f>
        <v>0</v>
      </c>
      <c r="X93" s="3">
        <f>U93+(V93-W93)</f>
        <v>43600</v>
      </c>
    </row>
    <row r="94" spans="20:25" x14ac:dyDescent="0.25">
      <c r="T94">
        <v>2</v>
      </c>
      <c r="U94" s="3">
        <f>X93</f>
        <v>43600</v>
      </c>
      <c r="V94" s="3">
        <f>(U94*$W$88)</f>
        <v>3924</v>
      </c>
      <c r="W94" s="3">
        <f t="shared" ref="W94:W95" si="9">$W$87</f>
        <v>0</v>
      </c>
      <c r="X94" s="3">
        <f>U94+(V94-W94)</f>
        <v>47524</v>
      </c>
    </row>
    <row r="95" spans="20:25" x14ac:dyDescent="0.25">
      <c r="T95">
        <v>3.1</v>
      </c>
      <c r="U95" s="3">
        <f t="shared" ref="U95" si="10">X94</f>
        <v>47524</v>
      </c>
      <c r="V95" s="3">
        <f t="shared" ref="V94:V95" si="11">(U95*$W$88)</f>
        <v>4277.16</v>
      </c>
      <c r="W95" s="3">
        <f t="shared" si="9"/>
        <v>0</v>
      </c>
      <c r="X95" s="3">
        <f>U95+(V95-W95)</f>
        <v>51801.16</v>
      </c>
      <c r="Y95" s="3"/>
    </row>
    <row r="96" spans="20:25" x14ac:dyDescent="0.25">
      <c r="T96">
        <v>3.2</v>
      </c>
      <c r="U96" s="3"/>
      <c r="V96" s="3"/>
      <c r="W96" s="3">
        <f>X95</f>
        <v>51801.16</v>
      </c>
      <c r="X96" s="3">
        <v>0</v>
      </c>
    </row>
    <row r="98" spans="20:26" x14ac:dyDescent="0.25">
      <c r="T98" t="s">
        <v>29</v>
      </c>
      <c r="W98" t="s">
        <v>30</v>
      </c>
    </row>
    <row r="99" spans="20:26" x14ac:dyDescent="0.25">
      <c r="T99" s="4" t="s">
        <v>49</v>
      </c>
      <c r="U99" s="5">
        <f>-V93</f>
        <v>-3600</v>
      </c>
      <c r="X99" s="8"/>
      <c r="Y99" t="s">
        <v>47</v>
      </c>
      <c r="Z99" s="3">
        <f>X93</f>
        <v>43600</v>
      </c>
    </row>
    <row r="100" spans="20:26" x14ac:dyDescent="0.25">
      <c r="T100" t="s">
        <v>33</v>
      </c>
      <c r="U100" s="3">
        <f>U99</f>
        <v>-3600</v>
      </c>
      <c r="W100" s="4" t="s">
        <v>3</v>
      </c>
      <c r="X100" s="9">
        <f>W86</f>
        <v>40000</v>
      </c>
      <c r="Y100" s="4" t="s">
        <v>32</v>
      </c>
      <c r="Z100" s="5">
        <f>U100</f>
        <v>-3600</v>
      </c>
    </row>
    <row r="101" spans="20:26" x14ac:dyDescent="0.25">
      <c r="X101" s="8">
        <f>SUM(X99:X100)</f>
        <v>40000</v>
      </c>
      <c r="Z101" s="8">
        <f>SUM(Z99:Z100)</f>
        <v>40000</v>
      </c>
    </row>
    <row r="104" spans="20:26" x14ac:dyDescent="0.25">
      <c r="T104" t="s">
        <v>34</v>
      </c>
      <c r="W104" t="s">
        <v>35</v>
      </c>
    </row>
    <row r="105" spans="20:26" x14ac:dyDescent="0.25">
      <c r="T105" s="4" t="s">
        <v>49</v>
      </c>
      <c r="U105" s="5">
        <f>-V94</f>
        <v>-3924</v>
      </c>
      <c r="X105" s="8"/>
      <c r="Y105" t="s">
        <v>47</v>
      </c>
      <c r="Z105" s="3">
        <f>X94</f>
        <v>47524</v>
      </c>
    </row>
    <row r="106" spans="20:26" x14ac:dyDescent="0.25">
      <c r="T106" t="s">
        <v>33</v>
      </c>
      <c r="U106" s="3">
        <f>U105</f>
        <v>-3924</v>
      </c>
      <c r="W106" s="6" t="s">
        <v>3</v>
      </c>
      <c r="X106" s="8">
        <f>X100-W94</f>
        <v>40000</v>
      </c>
      <c r="Y106" s="6" t="s">
        <v>32</v>
      </c>
      <c r="Z106" s="7">
        <f>U106</f>
        <v>-3924</v>
      </c>
    </row>
    <row r="107" spans="20:26" x14ac:dyDescent="0.25">
      <c r="W107" s="4"/>
      <c r="X107" s="9"/>
      <c r="Y107" s="4" t="s">
        <v>36</v>
      </c>
      <c r="Z107" s="5">
        <f>Z100</f>
        <v>-3600</v>
      </c>
    </row>
    <row r="108" spans="20:26" x14ac:dyDescent="0.25">
      <c r="W108" s="12"/>
      <c r="X108" s="13">
        <f>SUM(X105:X107)</f>
        <v>40000</v>
      </c>
      <c r="Y108" s="12"/>
      <c r="Z108" s="13">
        <f>SUM(Z105:Z107)</f>
        <v>40000</v>
      </c>
    </row>
    <row r="111" spans="20:26" x14ac:dyDescent="0.25">
      <c r="T111" t="s">
        <v>52</v>
      </c>
      <c r="W111" t="s">
        <v>53</v>
      </c>
    </row>
    <row r="112" spans="20:26" x14ac:dyDescent="0.25">
      <c r="T112" s="4" t="s">
        <v>49</v>
      </c>
      <c r="U112" s="5">
        <f>-V95</f>
        <v>-4277.16</v>
      </c>
      <c r="X112" s="8"/>
      <c r="Y112" t="s">
        <v>47</v>
      </c>
      <c r="Z112" s="3">
        <f>X96</f>
        <v>0</v>
      </c>
    </row>
    <row r="113" spans="20:26" x14ac:dyDescent="0.25">
      <c r="T113" t="s">
        <v>33</v>
      </c>
      <c r="U113" s="3">
        <f>U112</f>
        <v>-4277.16</v>
      </c>
      <c r="W113" s="6" t="s">
        <v>3</v>
      </c>
      <c r="X113" s="8">
        <f>X106-W95-W96</f>
        <v>-11801.160000000003</v>
      </c>
      <c r="Y113" s="6" t="s">
        <v>32</v>
      </c>
      <c r="Z113" s="7">
        <f>U113</f>
        <v>-4277.16</v>
      </c>
    </row>
    <row r="114" spans="20:26" x14ac:dyDescent="0.25">
      <c r="W114" s="4"/>
      <c r="X114" s="9"/>
      <c r="Y114" s="4" t="s">
        <v>36</v>
      </c>
      <c r="Z114" s="5">
        <f>Z107+Z106</f>
        <v>-7524</v>
      </c>
    </row>
    <row r="115" spans="20:26" x14ac:dyDescent="0.25">
      <c r="W115" s="12"/>
      <c r="X115" s="13">
        <f>SUM(X112:X114)</f>
        <v>-11801.160000000003</v>
      </c>
      <c r="Y115" s="12"/>
      <c r="Z115" s="13">
        <f>SUM(Z112:Z114)</f>
        <v>-11801.16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CIKT</cp:lastModifiedBy>
  <dcterms:created xsi:type="dcterms:W3CDTF">2018-11-04T15:47:01Z</dcterms:created>
  <dcterms:modified xsi:type="dcterms:W3CDTF">2018-11-15T18:08:37Z</dcterms:modified>
</cp:coreProperties>
</file>