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FRS for SMEs 2018\Seminars\"/>
    </mc:Choice>
  </mc:AlternateContent>
  <bookViews>
    <workbookView xWindow="0" yWindow="0" windowWidth="19200" windowHeight="6945" activeTab="1"/>
  </bookViews>
  <sheets>
    <sheet name="Sheet2" sheetId="2" r:id="rId1"/>
    <sheet name="Sheet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3" l="1"/>
  <c r="S30" i="3"/>
  <c r="Q30" i="3"/>
  <c r="S26" i="3"/>
  <c r="S24" i="3"/>
  <c r="V20" i="3"/>
  <c r="V18" i="3"/>
  <c r="V19" i="3"/>
  <c r="V15" i="3"/>
  <c r="V16" i="3"/>
  <c r="V9" i="3"/>
  <c r="V8" i="3"/>
  <c r="V6" i="3"/>
  <c r="V5" i="3"/>
  <c r="S6" i="3"/>
  <c r="Q8" i="3"/>
  <c r="L60" i="3"/>
  <c r="L59" i="3"/>
  <c r="L58" i="3"/>
  <c r="J57" i="3"/>
  <c r="L50" i="3"/>
  <c r="L49" i="3"/>
  <c r="L33" i="3"/>
  <c r="L32" i="3"/>
  <c r="L31" i="3"/>
  <c r="J30" i="3"/>
  <c r="L23" i="3"/>
  <c r="E37" i="3"/>
  <c r="E36" i="3"/>
  <c r="C35" i="3"/>
  <c r="E29" i="3"/>
  <c r="E12" i="3"/>
  <c r="E6" i="3"/>
  <c r="Q35" i="3" l="1"/>
  <c r="S19" i="3"/>
  <c r="Q18" i="3"/>
  <c r="Q20" i="3" s="1"/>
  <c r="S16" i="3"/>
  <c r="S18" i="3" s="1"/>
  <c r="S15" i="3"/>
  <c r="S8" i="3"/>
  <c r="Q10" i="3"/>
  <c r="S5" i="3"/>
  <c r="L53" i="3"/>
  <c r="J48" i="3"/>
  <c r="J62" i="3" s="1"/>
  <c r="L24" i="3"/>
  <c r="L26" i="3"/>
  <c r="L22" i="3"/>
  <c r="J21" i="3"/>
  <c r="J26" i="3"/>
  <c r="L15" i="3"/>
  <c r="J12" i="3"/>
  <c r="J17" i="3" s="1"/>
  <c r="L14" i="3"/>
  <c r="L13" i="3"/>
  <c r="L17" i="3" s="1"/>
  <c r="J5" i="3"/>
  <c r="J8" i="3" s="1"/>
  <c r="L6" i="3"/>
  <c r="L8" i="3" s="1"/>
  <c r="E28" i="3"/>
  <c r="E30" i="3" s="1"/>
  <c r="C27" i="3"/>
  <c r="C30" i="3" s="1"/>
  <c r="C19" i="3"/>
  <c r="E18" i="3"/>
  <c r="E19" i="3" s="1"/>
  <c r="E17" i="3"/>
  <c r="E11" i="3"/>
  <c r="E13" i="3" s="1"/>
  <c r="E10" i="3"/>
  <c r="E7" i="3"/>
  <c r="E5" i="3"/>
  <c r="C16" i="3"/>
  <c r="C4" i="3"/>
  <c r="C7" i="3" s="1"/>
  <c r="J35" i="3" l="1"/>
  <c r="J53" i="3"/>
  <c r="L62" i="3"/>
  <c r="S10" i="3"/>
  <c r="S35" i="3"/>
  <c r="S20" i="3"/>
  <c r="L35" i="3"/>
  <c r="C39" i="3"/>
  <c r="E39" i="3"/>
  <c r="AE52" i="2"/>
  <c r="AL45" i="2"/>
  <c r="AE46" i="2" s="1"/>
  <c r="AG27" i="2"/>
  <c r="AG28" i="2" s="1"/>
  <c r="AG25" i="2"/>
  <c r="AG18" i="2"/>
  <c r="AG20" i="2" s="1"/>
  <c r="AG21" i="2" s="1"/>
  <c r="AF8" i="2"/>
  <c r="AG10" i="2" s="1"/>
  <c r="AG11" i="2" s="1"/>
  <c r="AG5" i="2"/>
  <c r="AG4" i="2"/>
  <c r="Z112" i="2"/>
  <c r="X100" i="2"/>
  <c r="W95" i="2"/>
  <c r="W94" i="2"/>
  <c r="W93" i="2"/>
  <c r="U93" i="2"/>
  <c r="V93" i="2" s="1"/>
  <c r="Z77" i="2"/>
  <c r="W66" i="2"/>
  <c r="W65" i="2"/>
  <c r="W64" i="2"/>
  <c r="W63" i="2"/>
  <c r="U63" i="2"/>
  <c r="V63" i="2" s="1"/>
  <c r="Z47" i="2"/>
  <c r="W13" i="2"/>
  <c r="W12" i="2"/>
  <c r="W11" i="2"/>
  <c r="W10" i="2"/>
  <c r="W9" i="2"/>
  <c r="X21" i="2" s="1"/>
  <c r="X27" i="2" s="1"/>
  <c r="X34" i="2" s="1"/>
  <c r="X41" i="2" s="1"/>
  <c r="U9" i="2"/>
  <c r="V9" i="2" s="1"/>
  <c r="U20" i="2" s="1"/>
  <c r="Q51" i="2"/>
  <c r="O51" i="2"/>
  <c r="O53" i="2" s="1"/>
  <c r="L51" i="2"/>
  <c r="L52" i="2" s="1"/>
  <c r="Q52" i="2" s="1"/>
  <c r="Q40" i="2"/>
  <c r="O40" i="2"/>
  <c r="L40" i="2"/>
  <c r="L41" i="2" s="1"/>
  <c r="Q41" i="2" s="1"/>
  <c r="Q28" i="2"/>
  <c r="Q15" i="2"/>
  <c r="Q21" i="2"/>
  <c r="N11" i="2"/>
  <c r="N10" i="2"/>
  <c r="N9" i="2"/>
  <c r="O16" i="2" s="1"/>
  <c r="L9" i="2"/>
  <c r="I4" i="2"/>
  <c r="F3" i="2"/>
  <c r="X106" i="2" l="1"/>
  <c r="X101" i="2"/>
  <c r="U99" i="2"/>
  <c r="U100" i="2" s="1"/>
  <c r="Z100" i="2" s="1"/>
  <c r="Z107" i="2" s="1"/>
  <c r="X72" i="2"/>
  <c r="X73" i="2" s="1"/>
  <c r="X43" i="2"/>
  <c r="X9" i="2"/>
  <c r="Z20" i="2" s="1"/>
  <c r="U71" i="2"/>
  <c r="U72" i="2" s="1"/>
  <c r="U21" i="2"/>
  <c r="Z21" i="2" s="1"/>
  <c r="Z28" i="2" s="1"/>
  <c r="Q53" i="2"/>
  <c r="O22" i="2"/>
  <c r="M9" i="2"/>
  <c r="L15" i="2" s="1"/>
  <c r="L16" i="2" s="1"/>
  <c r="Q16" i="2" s="1"/>
  <c r="Q23" i="2" s="1"/>
  <c r="Q42" i="2"/>
  <c r="Z72" i="2" l="1"/>
  <c r="Z78" i="2"/>
  <c r="X108" i="2"/>
  <c r="X93" i="2"/>
  <c r="X63" i="2"/>
  <c r="Z22" i="2"/>
  <c r="U10" i="2"/>
  <c r="V10" i="2" s="1"/>
  <c r="U26" i="2" s="1"/>
  <c r="X22" i="2"/>
  <c r="Q17" i="2"/>
  <c r="O9" i="2"/>
  <c r="O42" i="2"/>
  <c r="Z99" i="2" l="1"/>
  <c r="Z101" i="2" s="1"/>
  <c r="U94" i="2"/>
  <c r="V94" i="2" s="1"/>
  <c r="Z71" i="2"/>
  <c r="Z73" i="2" s="1"/>
  <c r="U64" i="2"/>
  <c r="V64" i="2" s="1"/>
  <c r="X10" i="2"/>
  <c r="U27" i="2"/>
  <c r="Z27" i="2" s="1"/>
  <c r="L10" i="2"/>
  <c r="O15" i="2"/>
  <c r="O17" i="2" s="1"/>
  <c r="U105" i="2" l="1"/>
  <c r="U106" i="2" s="1"/>
  <c r="Z106" i="2" s="1"/>
  <c r="Z114" i="2" s="1"/>
  <c r="X64" i="2"/>
  <c r="U11" i="2"/>
  <c r="V11" i="2" s="1"/>
  <c r="U33" i="2" s="1"/>
  <c r="Z26" i="2"/>
  <c r="Z29" i="2" s="1"/>
  <c r="U65" i="2"/>
  <c r="X29" i="2"/>
  <c r="Z35" i="2"/>
  <c r="M10" i="2"/>
  <c r="L21" i="2" s="1"/>
  <c r="L22" i="2" s="1"/>
  <c r="Q22" i="2" s="1"/>
  <c r="X94" i="2" l="1"/>
  <c r="X11" i="2"/>
  <c r="Z33" i="2" s="1"/>
  <c r="V65" i="2"/>
  <c r="Z79" i="2" s="1"/>
  <c r="Z80" i="2" s="1"/>
  <c r="X65" i="2"/>
  <c r="U66" i="2" s="1"/>
  <c r="U34" i="2"/>
  <c r="Z34" i="2" s="1"/>
  <c r="Z36" i="2" s="1"/>
  <c r="Q24" i="2"/>
  <c r="Q30" i="2"/>
  <c r="O10" i="2"/>
  <c r="U12" i="2" l="1"/>
  <c r="V12" i="2" s="1"/>
  <c r="U40" i="2" s="1"/>
  <c r="U41" i="2" s="1"/>
  <c r="Z41" i="2" s="1"/>
  <c r="Z105" i="2"/>
  <c r="Z108" i="2" s="1"/>
  <c r="U95" i="2"/>
  <c r="V95" i="2" s="1"/>
  <c r="Z42" i="2"/>
  <c r="V66" i="2"/>
  <c r="X66" i="2" s="1"/>
  <c r="W67" i="2" s="1"/>
  <c r="X78" i="2" s="1"/>
  <c r="X80" i="2" s="1"/>
  <c r="X12" i="2"/>
  <c r="O21" i="2"/>
  <c r="O24" i="2" s="1"/>
  <c r="L11" i="2"/>
  <c r="Z49" i="2" l="1"/>
  <c r="U112" i="2"/>
  <c r="U113" i="2" s="1"/>
  <c r="Z113" i="2" s="1"/>
  <c r="U13" i="2"/>
  <c r="V13" i="2" s="1"/>
  <c r="U47" i="2" s="1"/>
  <c r="U48" i="2" s="1"/>
  <c r="Z48" i="2" s="1"/>
  <c r="Z40" i="2"/>
  <c r="Z43" i="2" s="1"/>
  <c r="V67" i="2"/>
  <c r="X36" i="2"/>
  <c r="M11" i="2"/>
  <c r="L28" i="2" s="1"/>
  <c r="L29" i="2" s="1"/>
  <c r="Q29" i="2" s="1"/>
  <c r="Q31" i="2" s="1"/>
  <c r="Z50" i="2" l="1"/>
  <c r="X13" i="2"/>
  <c r="W14" i="2" s="1"/>
  <c r="X48" i="2" s="1"/>
  <c r="X50" i="2" s="1"/>
  <c r="X95" i="2"/>
  <c r="W96" i="2" s="1"/>
  <c r="X113" i="2" s="1"/>
  <c r="X115" i="2" s="1"/>
  <c r="O11" i="2"/>
  <c r="Z115" i="2" l="1"/>
  <c r="N12" i="2"/>
  <c r="O29" i="2" s="1"/>
  <c r="O12" i="2" l="1"/>
  <c r="O28" i="2" s="1"/>
  <c r="O31" i="2" s="1"/>
</calcChain>
</file>

<file path=xl/sharedStrings.xml><?xml version="1.0" encoding="utf-8"?>
<sst xmlns="http://schemas.openxmlformats.org/spreadsheetml/2006/main" count="359" uniqueCount="134">
  <si>
    <t>=&gt;</t>
  </si>
  <si>
    <t>PV</t>
  </si>
  <si>
    <t>Year</t>
  </si>
  <si>
    <t>Bank</t>
  </si>
  <si>
    <t>Nonfin transaction =&gt;</t>
  </si>
  <si>
    <t>at FV through PL =&gt;</t>
  </si>
  <si>
    <t>at FV through OCI =&gt;</t>
  </si>
  <si>
    <t>FV cannot be defined =&gt;</t>
  </si>
  <si>
    <t>at Transaction price (TP) =&gt;</t>
  </si>
  <si>
    <t>if it would be fin transaction =&gt;</t>
  </si>
  <si>
    <t>at PV</t>
  </si>
  <si>
    <t>Ex.1 (initial measurement, FA)</t>
  </si>
  <si>
    <t>Ex.2 (initial measurement, FA)</t>
  </si>
  <si>
    <t>Ex.3 (initial measurement, FA)</t>
  </si>
  <si>
    <t>Ex.4 (initial measurement, FL)</t>
  </si>
  <si>
    <t>Ex.5 (initial measurement, FL)</t>
  </si>
  <si>
    <t>Ex.6 (initial measurement, FL)</t>
  </si>
  <si>
    <t>Scenario a:</t>
  </si>
  <si>
    <t>Scebario b:</t>
  </si>
  <si>
    <t>Ex.7 (subsequent measurement, FA)</t>
  </si>
  <si>
    <t>Investment</t>
  </si>
  <si>
    <t>% income</t>
  </si>
  <si>
    <t>Incoming payment (% payment)</t>
  </si>
  <si>
    <t xml:space="preserve">Investment term </t>
  </si>
  <si>
    <t>3 years</t>
  </si>
  <si>
    <t>Amortization schedule</t>
  </si>
  <si>
    <t>OB (=b/f balance)</t>
  </si>
  <si>
    <t>Incoming payment</t>
  </si>
  <si>
    <t>CB (=c/f balance)</t>
  </si>
  <si>
    <t>PL_1</t>
  </si>
  <si>
    <t>BS_1</t>
  </si>
  <si>
    <t>Other fin liab</t>
  </si>
  <si>
    <t>Business result for the year</t>
  </si>
  <si>
    <t>Business result</t>
  </si>
  <si>
    <t>PL_2</t>
  </si>
  <si>
    <t>BS_2</t>
  </si>
  <si>
    <t>Retained earnings</t>
  </si>
  <si>
    <t>Ex.8 (subsequent measurement, FA)</t>
  </si>
  <si>
    <t>shares</t>
  </si>
  <si>
    <t>Purchase price</t>
  </si>
  <si>
    <t>per share</t>
  </si>
  <si>
    <t>Closing price</t>
  </si>
  <si>
    <t>PL</t>
  </si>
  <si>
    <t>BS</t>
  </si>
  <si>
    <t>Capital gain</t>
  </si>
  <si>
    <t>Ex.9 (subsequent measurement, FA)</t>
  </si>
  <si>
    <t>Ex.8 (subsequent measurement, FL)</t>
  </si>
  <si>
    <t>Loan</t>
  </si>
  <si>
    <t>Outgoing payment (% payment)</t>
  </si>
  <si>
    <t>% cost</t>
  </si>
  <si>
    <t>Loan term</t>
  </si>
  <si>
    <t>5 years</t>
  </si>
  <si>
    <t>PL_3</t>
  </si>
  <si>
    <t>BS_3</t>
  </si>
  <si>
    <t>Outgoing payment</t>
  </si>
  <si>
    <t>PL_4</t>
  </si>
  <si>
    <t>BS_4</t>
  </si>
  <si>
    <t>PL_5</t>
  </si>
  <si>
    <t>BS_5</t>
  </si>
  <si>
    <t>Ex.9 (subsequent measurement, FL)</t>
  </si>
  <si>
    <t>PL_1-PL_4</t>
  </si>
  <si>
    <t>Retained earning</t>
  </si>
  <si>
    <t>BS_1 - BS_3</t>
  </si>
  <si>
    <t>Ex.10 (subsequent measurement, FL)</t>
  </si>
  <si>
    <t>Ex. 11</t>
  </si>
  <si>
    <t>Trade receivable</t>
  </si>
  <si>
    <t>Scenario b:</t>
  </si>
  <si>
    <t>Db. Impairment loss (PL)</t>
  </si>
  <si>
    <t>Cr. Trade receivable</t>
  </si>
  <si>
    <t>Cr. Trade receivable (BS)</t>
  </si>
  <si>
    <t>e.g. 10%</t>
  </si>
  <si>
    <t>Ex. 12</t>
  </si>
  <si>
    <t>Cr. Impairment loss (PL)</t>
  </si>
  <si>
    <t>Db. Trade receivable (BS)</t>
  </si>
  <si>
    <t>Db. Bank</t>
  </si>
  <si>
    <t>Ex. 13</t>
  </si>
  <si>
    <t>Total EAT</t>
  </si>
  <si>
    <t>Price/earning</t>
  </si>
  <si>
    <t>Discount for lack of marketability</t>
  </si>
  <si>
    <t>FV of investment = Total market cap / Number of shares outstanding * Number of shares purchased</t>
  </si>
  <si>
    <t>Total market cap =</t>
  </si>
  <si>
    <t>EAT</t>
  </si>
  <si>
    <t>*</t>
  </si>
  <si>
    <t>(1-Discount)</t>
  </si>
  <si>
    <t>15CU of purchase price for 1CU of earnings</t>
  </si>
  <si>
    <t>FV of investment=</t>
  </si>
  <si>
    <t>Number of shares outstanding (i.e. issued and not redeemed)</t>
  </si>
  <si>
    <t>Number of shares bought by investor</t>
  </si>
  <si>
    <t>FV of investment = Net assets / Number of shares outstanding * Number of shares purchased</t>
  </si>
  <si>
    <t>Ex.1</t>
  </si>
  <si>
    <t>Scenario c:</t>
  </si>
  <si>
    <t>=</t>
  </si>
  <si>
    <t>Share capital</t>
  </si>
  <si>
    <t>Share premium</t>
  </si>
  <si>
    <t>Receivable for subscribed capital</t>
  </si>
  <si>
    <t>Scenario d:</t>
  </si>
  <si>
    <t>not accounted for</t>
  </si>
  <si>
    <t>Ex. 2</t>
  </si>
  <si>
    <t>Gold</t>
  </si>
  <si>
    <t>Ex. 3</t>
  </si>
  <si>
    <t>Cash</t>
  </si>
  <si>
    <t>Ex. 4</t>
  </si>
  <si>
    <t>Option reserve</t>
  </si>
  <si>
    <t>as per 31/12/X0 (movement):</t>
  </si>
  <si>
    <t>as per 01/01/X1 (movement):</t>
  </si>
  <si>
    <t>as per 31/01/X2 (movement):</t>
  </si>
  <si>
    <t>as per 31/01/X2 (c/f balance):</t>
  </si>
  <si>
    <t>Ex.5</t>
  </si>
  <si>
    <t>Item</t>
  </si>
  <si>
    <t>Value (CU)</t>
  </si>
  <si>
    <t>Share capital (10,000 ordinary shares at CU10 par value each)</t>
  </si>
  <si>
    <t>Total equity attributable to owners</t>
  </si>
  <si>
    <t>as per 01/01/X1 (c/f balance):</t>
  </si>
  <si>
    <t>RE</t>
  </si>
  <si>
    <t>Ex.6</t>
  </si>
  <si>
    <t>(1) RE</t>
  </si>
  <si>
    <t>(1) Dividends payable for the year</t>
  </si>
  <si>
    <t>(2) Bank</t>
  </si>
  <si>
    <t>(2) Dividends payable for the year</t>
  </si>
  <si>
    <t>Ex. 7</t>
  </si>
  <si>
    <t>(2) PPE</t>
  </si>
  <si>
    <t>(2) Gain from revaluation</t>
  </si>
  <si>
    <t>Ex. 8</t>
  </si>
  <si>
    <t>Subsidiary Z share (FV)</t>
  </si>
  <si>
    <t>Subsidiary Z share (NBV)</t>
  </si>
  <si>
    <t>Profit</t>
  </si>
  <si>
    <t>Db RE</t>
  </si>
  <si>
    <t>Cr Div payable</t>
  </si>
  <si>
    <t>Db Div payable</t>
  </si>
  <si>
    <t>Cr Bank</t>
  </si>
  <si>
    <t>Cr PPE</t>
  </si>
  <si>
    <t>Cr Gain from revaluation</t>
  </si>
  <si>
    <t>NCI (liability to 3d party =&gt; company B)</t>
  </si>
  <si>
    <t>BS of company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</si>
</sst>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quotePrefix="1"/>
    <xf numFmtId="9" fontId="0" fillId="0" borderId="0" xfId="0" applyNumberFormat="1"/>
    <xf numFmtId="165" fontId="0" fillId="0" borderId="0" xfId="0" applyNumberFormat="1"/>
    <xf numFmtId="0" fontId="0" fillId="0" borderId="1" xfId="0" applyBorder="1"/>
    <xf numFmtId="165" fontId="0" fillId="0" borderId="1" xfId="0" applyNumberFormat="1" applyBorder="1"/>
    <xf numFmtId="0" fontId="0" fillId="0" borderId="0" xfId="0" applyBorder="1"/>
    <xf numFmtId="165" fontId="0" fillId="0" borderId="0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166" fontId="0" fillId="0" borderId="0" xfId="0" applyNumberFormat="1"/>
    <xf numFmtId="165" fontId="0" fillId="0" borderId="0" xfId="1" applyNumberFormat="1" applyFont="1"/>
    <xf numFmtId="0" fontId="0" fillId="0" borderId="4" xfId="0" applyBorder="1"/>
    <xf numFmtId="165" fontId="0" fillId="0" borderId="5" xfId="0" applyNumberFormat="1" applyBorder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5" xfId="0" applyBorder="1"/>
    <xf numFmtId="0" fontId="0" fillId="0" borderId="2" xfId="0" applyBorder="1"/>
    <xf numFmtId="0" fontId="0" fillId="0" borderId="3" xfId="0" applyBorder="1"/>
    <xf numFmtId="165" fontId="0" fillId="0" borderId="5" xfId="1" applyNumberFormat="1" applyFont="1" applyBorder="1"/>
    <xf numFmtId="165" fontId="0" fillId="0" borderId="2" xfId="1" applyNumberFormat="1" applyFont="1" applyBorder="1"/>
    <xf numFmtId="165" fontId="0" fillId="0" borderId="3" xfId="1" applyNumberFormat="1" applyFont="1" applyBorder="1"/>
    <xf numFmtId="165" fontId="0" fillId="0" borderId="1" xfId="1" applyNumberFormat="1" applyFont="1" applyBorder="1"/>
    <xf numFmtId="165" fontId="0" fillId="0" borderId="0" xfId="1" applyNumberFormat="1" applyFont="1" applyBorder="1"/>
    <xf numFmtId="165" fontId="0" fillId="0" borderId="6" xfId="1" applyNumberFormat="1" applyFont="1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165" fontId="0" fillId="0" borderId="9" xfId="1" applyNumberFormat="1" applyFont="1" applyBorder="1"/>
    <xf numFmtId="0" fontId="0" fillId="0" borderId="9" xfId="0" applyBorder="1"/>
    <xf numFmtId="9" fontId="0" fillId="0" borderId="0" xfId="0" applyNumberFormat="1" applyBorder="1"/>
    <xf numFmtId="0" fontId="0" fillId="0" borderId="0" xfId="0" quotePrefix="1" applyBorder="1"/>
    <xf numFmtId="0" fontId="0" fillId="0" borderId="1" xfId="0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0" borderId="0" xfId="1" applyNumberFormat="1" applyFont="1" applyFill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5"/>
  <sheetViews>
    <sheetView zoomScale="33" workbookViewId="0">
      <selection activeCell="AE52" sqref="AE52"/>
    </sheetView>
  </sheetViews>
  <sheetFormatPr defaultRowHeight="15" x14ac:dyDescent="0.25"/>
  <cols>
    <col min="1" max="1" width="12.5703125" customWidth="1"/>
    <col min="2" max="2" width="13.42578125" customWidth="1"/>
    <col min="4" max="4" width="12.85546875" customWidth="1"/>
    <col min="8" max="8" width="10.140625" bestFit="1" customWidth="1"/>
    <col min="12" max="12" width="16.5703125" customWidth="1"/>
    <col min="30" max="31" width="10.140625" bestFit="1" customWidth="1"/>
    <col min="32" max="32" width="12.85546875" customWidth="1"/>
  </cols>
  <sheetData>
    <row r="1" spans="1:33" x14ac:dyDescent="0.25">
      <c r="A1" t="s">
        <v>11</v>
      </c>
      <c r="K1" t="s">
        <v>19</v>
      </c>
      <c r="T1" t="s">
        <v>46</v>
      </c>
      <c r="AC1" t="s">
        <v>64</v>
      </c>
    </row>
    <row r="2" spans="1:33" x14ac:dyDescent="0.25">
      <c r="A2" t="s">
        <v>17</v>
      </c>
      <c r="B2" t="s">
        <v>4</v>
      </c>
      <c r="D2" t="s">
        <v>5</v>
      </c>
      <c r="F2">
        <v>500</v>
      </c>
      <c r="K2" t="s">
        <v>20</v>
      </c>
      <c r="N2" s="11">
        <v>5000</v>
      </c>
      <c r="T2" t="s">
        <v>47</v>
      </c>
      <c r="W2" s="11">
        <v>1000</v>
      </c>
      <c r="AC2" t="s">
        <v>65</v>
      </c>
      <c r="AE2">
        <v>1000</v>
      </c>
    </row>
    <row r="3" spans="1:33" x14ac:dyDescent="0.25">
      <c r="D3" t="s">
        <v>6</v>
      </c>
      <c r="F3">
        <f>500+10</f>
        <v>510</v>
      </c>
      <c r="K3" t="s">
        <v>22</v>
      </c>
      <c r="L3" s="2"/>
      <c r="N3" s="2">
        <v>0.1</v>
      </c>
      <c r="T3" t="s">
        <v>48</v>
      </c>
      <c r="U3" s="2"/>
      <c r="W3" s="10">
        <v>5.8999999999999997E-2</v>
      </c>
    </row>
    <row r="4" spans="1:33" x14ac:dyDescent="0.25">
      <c r="A4" t="s">
        <v>18</v>
      </c>
      <c r="B4" t="s">
        <v>4</v>
      </c>
      <c r="D4" t="s">
        <v>7</v>
      </c>
      <c r="F4" t="s">
        <v>8</v>
      </c>
      <c r="I4">
        <f>500+10</f>
        <v>510</v>
      </c>
      <c r="K4" t="s">
        <v>21</v>
      </c>
      <c r="N4" s="2">
        <v>0.12</v>
      </c>
      <c r="T4" t="s">
        <v>49</v>
      </c>
      <c r="W4" s="2">
        <v>0.1</v>
      </c>
      <c r="AC4" t="s">
        <v>17</v>
      </c>
      <c r="AE4" t="s">
        <v>67</v>
      </c>
      <c r="AG4">
        <f>AE2</f>
        <v>1000</v>
      </c>
    </row>
    <row r="5" spans="1:33" x14ac:dyDescent="0.25">
      <c r="K5" t="s">
        <v>23</v>
      </c>
      <c r="N5" t="s">
        <v>24</v>
      </c>
      <c r="T5" t="s">
        <v>50</v>
      </c>
      <c r="W5" t="s">
        <v>51</v>
      </c>
      <c r="AE5" t="s">
        <v>69</v>
      </c>
      <c r="AG5">
        <f>AG4</f>
        <v>1000</v>
      </c>
    </row>
    <row r="7" spans="1:33" x14ac:dyDescent="0.25">
      <c r="A7" t="s">
        <v>12</v>
      </c>
      <c r="K7" t="s">
        <v>25</v>
      </c>
      <c r="T7" t="s">
        <v>25</v>
      </c>
      <c r="AC7" t="s">
        <v>66</v>
      </c>
      <c r="AE7" t="s">
        <v>70</v>
      </c>
    </row>
    <row r="8" spans="1:33" x14ac:dyDescent="0.25">
      <c r="A8" t="s">
        <v>4</v>
      </c>
      <c r="C8" t="s">
        <v>7</v>
      </c>
      <c r="E8" t="s">
        <v>8</v>
      </c>
      <c r="H8">
        <v>200</v>
      </c>
      <c r="K8" t="s">
        <v>2</v>
      </c>
      <c r="L8" t="s">
        <v>26</v>
      </c>
      <c r="M8" t="s">
        <v>21</v>
      </c>
      <c r="N8" t="s">
        <v>27</v>
      </c>
      <c r="O8" t="s">
        <v>28</v>
      </c>
      <c r="T8" t="s">
        <v>2</v>
      </c>
      <c r="U8" t="s">
        <v>26</v>
      </c>
      <c r="V8" t="s">
        <v>49</v>
      </c>
      <c r="W8" t="s">
        <v>54</v>
      </c>
      <c r="X8" t="s">
        <v>28</v>
      </c>
      <c r="AE8" t="s">
        <v>1</v>
      </c>
      <c r="AF8" s="3">
        <f>AG4/1.1</f>
        <v>909.09090909090901</v>
      </c>
    </row>
    <row r="9" spans="1:33" x14ac:dyDescent="0.25">
      <c r="K9">
        <v>1</v>
      </c>
      <c r="L9" s="3">
        <f>N2</f>
        <v>5000</v>
      </c>
      <c r="M9" s="3">
        <f>L9*$N$4</f>
        <v>600</v>
      </c>
      <c r="N9" s="3">
        <f>N2*$N$3</f>
        <v>500</v>
      </c>
      <c r="O9" s="3">
        <f>L9+(M9-N9)</f>
        <v>5100</v>
      </c>
      <c r="T9">
        <v>1</v>
      </c>
      <c r="U9" s="3">
        <f>W2</f>
        <v>1000</v>
      </c>
      <c r="V9" s="3">
        <f>(U9*$W$4)</f>
        <v>100</v>
      </c>
      <c r="W9" s="3">
        <f>$W$2*$W$3</f>
        <v>59</v>
      </c>
      <c r="X9" s="3">
        <f>U9+(V9-W9)</f>
        <v>1041</v>
      </c>
    </row>
    <row r="10" spans="1:33" x14ac:dyDescent="0.25">
      <c r="K10">
        <v>2</v>
      </c>
      <c r="L10" s="3">
        <f>O9</f>
        <v>5100</v>
      </c>
      <c r="M10" s="3">
        <f>L10*$N$4</f>
        <v>612</v>
      </c>
      <c r="N10" s="3">
        <f>$N$2*$N$3</f>
        <v>500</v>
      </c>
      <c r="O10" s="3">
        <f>L10+(M10-N10)</f>
        <v>5212</v>
      </c>
      <c r="T10">
        <v>2</v>
      </c>
      <c r="U10" s="3">
        <f>X9</f>
        <v>1041</v>
      </c>
      <c r="V10" s="3">
        <f t="shared" ref="V10:V13" si="0">(U10*$W$4)</f>
        <v>104.10000000000001</v>
      </c>
      <c r="W10" s="3">
        <f t="shared" ref="W10:W13" si="1">$W$2*$W$3</f>
        <v>59</v>
      </c>
      <c r="X10" s="3">
        <f t="shared" ref="X10:X12" si="2">U10+(V10-W10)</f>
        <v>1086.0999999999999</v>
      </c>
      <c r="AE10" t="s">
        <v>67</v>
      </c>
      <c r="AG10" s="3">
        <f>AE2-AF8</f>
        <v>90.909090909090992</v>
      </c>
    </row>
    <row r="11" spans="1:33" x14ac:dyDescent="0.25">
      <c r="A11" t="s">
        <v>13</v>
      </c>
      <c r="K11">
        <v>3.1</v>
      </c>
      <c r="L11" s="3">
        <f>O10</f>
        <v>5212</v>
      </c>
      <c r="M11" s="3">
        <f>L11*$N$4</f>
        <v>625.43999999999994</v>
      </c>
      <c r="N11" s="3">
        <f>$N$2*$N$3</f>
        <v>500</v>
      </c>
      <c r="O11" s="3">
        <f>L11+(M11-N11)</f>
        <v>5337.44</v>
      </c>
      <c r="T11">
        <v>3</v>
      </c>
      <c r="U11" s="3">
        <f t="shared" ref="U11:U13" si="3">X10</f>
        <v>1086.0999999999999</v>
      </c>
      <c r="V11" s="3">
        <f t="shared" si="0"/>
        <v>108.61</v>
      </c>
      <c r="W11" s="3">
        <f t="shared" si="1"/>
        <v>59</v>
      </c>
      <c r="X11" s="3">
        <f t="shared" si="2"/>
        <v>1135.7099999999998</v>
      </c>
      <c r="AE11" t="s">
        <v>69</v>
      </c>
      <c r="AG11" s="3">
        <f>AG10</f>
        <v>90.909090909090992</v>
      </c>
    </row>
    <row r="12" spans="1:33" x14ac:dyDescent="0.25">
      <c r="A12" t="s">
        <v>4</v>
      </c>
      <c r="C12" t="s">
        <v>7</v>
      </c>
      <c r="E12" t="s">
        <v>8</v>
      </c>
      <c r="H12" s="11">
        <v>20000</v>
      </c>
      <c r="K12">
        <v>3.2</v>
      </c>
      <c r="N12" s="3">
        <f>O11</f>
        <v>5337.44</v>
      </c>
      <c r="O12" s="3">
        <f>O11-N12</f>
        <v>0</v>
      </c>
      <c r="T12">
        <v>4</v>
      </c>
      <c r="U12" s="3">
        <f t="shared" si="3"/>
        <v>1135.7099999999998</v>
      </c>
      <c r="V12" s="3">
        <f t="shared" si="0"/>
        <v>113.57099999999998</v>
      </c>
      <c r="W12" s="3">
        <f t="shared" si="1"/>
        <v>59</v>
      </c>
      <c r="X12" s="3">
        <f t="shared" si="2"/>
        <v>1190.2809999999997</v>
      </c>
    </row>
    <row r="13" spans="1:33" x14ac:dyDescent="0.25">
      <c r="T13">
        <v>5.0999999999999996</v>
      </c>
      <c r="U13" s="3">
        <f t="shared" si="3"/>
        <v>1190.2809999999997</v>
      </c>
      <c r="V13" s="3">
        <f t="shared" si="0"/>
        <v>119.02809999999998</v>
      </c>
      <c r="W13" s="3">
        <f t="shared" si="1"/>
        <v>59</v>
      </c>
      <c r="X13" s="3">
        <f>U13+(V13-W13)</f>
        <v>1250.3090999999997</v>
      </c>
    </row>
    <row r="14" spans="1:33" x14ac:dyDescent="0.25">
      <c r="A14" t="s">
        <v>9</v>
      </c>
      <c r="D14" t="s">
        <v>10</v>
      </c>
      <c r="K14" t="s">
        <v>29</v>
      </c>
      <c r="N14" t="s">
        <v>30</v>
      </c>
      <c r="T14">
        <v>5.2</v>
      </c>
      <c r="W14" s="3">
        <f>X13</f>
        <v>1250.3090999999997</v>
      </c>
      <c r="AC14" t="s">
        <v>71</v>
      </c>
    </row>
    <row r="15" spans="1:33" x14ac:dyDescent="0.25">
      <c r="K15" s="4" t="s">
        <v>21</v>
      </c>
      <c r="L15" s="5">
        <f>M9</f>
        <v>600</v>
      </c>
      <c r="N15" t="s">
        <v>20</v>
      </c>
      <c r="O15" s="8">
        <f>O9</f>
        <v>5100</v>
      </c>
      <c r="P15" t="s">
        <v>31</v>
      </c>
      <c r="Q15" s="3">
        <f>$N$2</f>
        <v>5000</v>
      </c>
    </row>
    <row r="16" spans="1:33" x14ac:dyDescent="0.25">
      <c r="K16" t="s">
        <v>33</v>
      </c>
      <c r="L16" s="3">
        <f>L15</f>
        <v>600</v>
      </c>
      <c r="N16" s="4" t="s">
        <v>3</v>
      </c>
      <c r="O16" s="9">
        <f>N9</f>
        <v>500</v>
      </c>
      <c r="P16" s="4" t="s">
        <v>32</v>
      </c>
      <c r="Q16" s="5">
        <f>L16</f>
        <v>600</v>
      </c>
      <c r="AC16" t="s">
        <v>17</v>
      </c>
    </row>
    <row r="17" spans="1:33" x14ac:dyDescent="0.25">
      <c r="A17" t="s">
        <v>14</v>
      </c>
      <c r="O17" s="8">
        <f>SUM(O15:O16)</f>
        <v>5600</v>
      </c>
      <c r="Q17" s="8">
        <f>SUM(Q15:Q16)</f>
        <v>5600</v>
      </c>
      <c r="AE17" t="s">
        <v>72</v>
      </c>
      <c r="AG17" s="3">
        <v>200</v>
      </c>
    </row>
    <row r="18" spans="1:33" x14ac:dyDescent="0.25">
      <c r="A18" t="s">
        <v>4</v>
      </c>
      <c r="C18" t="s">
        <v>7</v>
      </c>
      <c r="E18" t="s">
        <v>8</v>
      </c>
      <c r="H18">
        <v>400</v>
      </c>
      <c r="AE18" t="s">
        <v>73</v>
      </c>
      <c r="AG18" s="3">
        <f>AG17</f>
        <v>200</v>
      </c>
    </row>
    <row r="19" spans="1:33" x14ac:dyDescent="0.25">
      <c r="T19" t="s">
        <v>29</v>
      </c>
      <c r="W19" t="s">
        <v>30</v>
      </c>
    </row>
    <row r="20" spans="1:33" x14ac:dyDescent="0.25">
      <c r="K20" t="s">
        <v>34</v>
      </c>
      <c r="N20" t="s">
        <v>35</v>
      </c>
      <c r="T20" s="4" t="s">
        <v>49</v>
      </c>
      <c r="U20" s="5">
        <f>-V9</f>
        <v>-100</v>
      </c>
      <c r="X20" s="8"/>
      <c r="Y20" t="s">
        <v>47</v>
      </c>
      <c r="Z20" s="3">
        <f>X9</f>
        <v>1041</v>
      </c>
      <c r="AE20" t="s">
        <v>68</v>
      </c>
      <c r="AG20" s="3">
        <f>AG18</f>
        <v>200</v>
      </c>
    </row>
    <row r="21" spans="1:33" x14ac:dyDescent="0.25">
      <c r="A21" t="s">
        <v>15</v>
      </c>
      <c r="K21" s="4" t="s">
        <v>21</v>
      </c>
      <c r="L21" s="5">
        <f>M10</f>
        <v>612</v>
      </c>
      <c r="N21" t="s">
        <v>20</v>
      </c>
      <c r="O21" s="8">
        <f>O10</f>
        <v>5212</v>
      </c>
      <c r="P21" t="s">
        <v>31</v>
      </c>
      <c r="Q21" s="3">
        <f>$N$2</f>
        <v>5000</v>
      </c>
      <c r="T21" t="s">
        <v>33</v>
      </c>
      <c r="U21" s="3">
        <f>U20</f>
        <v>-100</v>
      </c>
      <c r="W21" s="4" t="s">
        <v>3</v>
      </c>
      <c r="X21" s="9">
        <f>$W$2-W9</f>
        <v>941</v>
      </c>
      <c r="Y21" s="4" t="s">
        <v>32</v>
      </c>
      <c r="Z21" s="5">
        <f>U21</f>
        <v>-100</v>
      </c>
      <c r="AE21" t="s">
        <v>74</v>
      </c>
      <c r="AG21" s="3">
        <f>AG20</f>
        <v>200</v>
      </c>
    </row>
    <row r="22" spans="1:33" x14ac:dyDescent="0.25">
      <c r="A22" t="s">
        <v>4</v>
      </c>
      <c r="C22" t="s">
        <v>7</v>
      </c>
      <c r="E22" t="s">
        <v>8</v>
      </c>
      <c r="H22" s="11">
        <v>1500</v>
      </c>
      <c r="K22" t="s">
        <v>33</v>
      </c>
      <c r="L22" s="3">
        <f>L21</f>
        <v>612</v>
      </c>
      <c r="N22" s="6" t="s">
        <v>3</v>
      </c>
      <c r="O22" s="8">
        <f>O16+N10</f>
        <v>1000</v>
      </c>
      <c r="P22" s="6" t="s">
        <v>32</v>
      </c>
      <c r="Q22" s="7">
        <f>L22</f>
        <v>612</v>
      </c>
      <c r="X22" s="8">
        <f>SUM(X20:X21)</f>
        <v>941</v>
      </c>
      <c r="Z22" s="8">
        <f>SUM(Z20:Z21)</f>
        <v>941</v>
      </c>
    </row>
    <row r="23" spans="1:33" x14ac:dyDescent="0.25">
      <c r="N23" s="4"/>
      <c r="O23" s="9"/>
      <c r="P23" s="4" t="s">
        <v>36</v>
      </c>
      <c r="Q23" s="5">
        <f>Q16</f>
        <v>600</v>
      </c>
      <c r="AC23" t="s">
        <v>66</v>
      </c>
    </row>
    <row r="24" spans="1:33" x14ac:dyDescent="0.25">
      <c r="N24" s="12"/>
      <c r="O24" s="13">
        <f>SUM(O21:O23)</f>
        <v>6212</v>
      </c>
      <c r="P24" s="12"/>
      <c r="Q24" s="13">
        <f>SUM(Q21:Q23)</f>
        <v>6212</v>
      </c>
      <c r="AE24" t="s">
        <v>68</v>
      </c>
      <c r="AG24" s="3">
        <v>200</v>
      </c>
    </row>
    <row r="25" spans="1:33" x14ac:dyDescent="0.25">
      <c r="A25" t="s">
        <v>16</v>
      </c>
      <c r="T25" t="s">
        <v>34</v>
      </c>
      <c r="W25" t="s">
        <v>35</v>
      </c>
      <c r="AE25" t="s">
        <v>74</v>
      </c>
      <c r="AG25" s="3">
        <f>AG24</f>
        <v>200</v>
      </c>
    </row>
    <row r="26" spans="1:33" x14ac:dyDescent="0.25">
      <c r="A26" t="s">
        <v>17</v>
      </c>
      <c r="B26" t="s">
        <v>4</v>
      </c>
      <c r="D26" t="s">
        <v>7</v>
      </c>
      <c r="F26" t="s">
        <v>8</v>
      </c>
      <c r="I26" s="11">
        <v>5000</v>
      </c>
      <c r="T26" s="4" t="s">
        <v>49</v>
      </c>
      <c r="U26" s="5">
        <f>-V10</f>
        <v>-104.10000000000001</v>
      </c>
      <c r="X26" s="8"/>
      <c r="Y26" t="s">
        <v>47</v>
      </c>
      <c r="Z26" s="3">
        <f>X10</f>
        <v>1086.0999999999999</v>
      </c>
    </row>
    <row r="27" spans="1:33" x14ac:dyDescent="0.25">
      <c r="A27" t="s">
        <v>18</v>
      </c>
      <c r="B27" t="s">
        <v>4</v>
      </c>
      <c r="D27" t="s">
        <v>7</v>
      </c>
      <c r="F27" t="s">
        <v>8</v>
      </c>
      <c r="I27" s="11">
        <v>5000</v>
      </c>
      <c r="K27" t="s">
        <v>52</v>
      </c>
      <c r="N27" t="s">
        <v>53</v>
      </c>
      <c r="T27" t="s">
        <v>33</v>
      </c>
      <c r="U27" s="3">
        <f>U26</f>
        <v>-104.10000000000001</v>
      </c>
      <c r="W27" s="6" t="s">
        <v>3</v>
      </c>
      <c r="X27" s="8">
        <f>X21-W10</f>
        <v>882</v>
      </c>
      <c r="Y27" s="6" t="s">
        <v>32</v>
      </c>
      <c r="Z27" s="7">
        <f>U27</f>
        <v>-104.10000000000001</v>
      </c>
      <c r="AE27" t="s">
        <v>67</v>
      </c>
      <c r="AG27" s="3">
        <f>AF8-AG24</f>
        <v>709.09090909090901</v>
      </c>
    </row>
    <row r="28" spans="1:33" x14ac:dyDescent="0.25">
      <c r="K28" s="4" t="s">
        <v>21</v>
      </c>
      <c r="L28" s="5">
        <f>M11</f>
        <v>625.43999999999994</v>
      </c>
      <c r="N28" t="s">
        <v>20</v>
      </c>
      <c r="O28" s="8">
        <f>O12</f>
        <v>0</v>
      </c>
      <c r="P28" t="s">
        <v>31</v>
      </c>
      <c r="Q28" s="3">
        <f>$N$2</f>
        <v>5000</v>
      </c>
      <c r="W28" s="4"/>
      <c r="X28" s="9"/>
      <c r="Y28" s="4" t="s">
        <v>36</v>
      </c>
      <c r="Z28" s="5">
        <f>Z21</f>
        <v>-100</v>
      </c>
      <c r="AE28" t="s">
        <v>69</v>
      </c>
      <c r="AG28" s="3">
        <f>AG27</f>
        <v>709.09090909090901</v>
      </c>
    </row>
    <row r="29" spans="1:33" x14ac:dyDescent="0.25">
      <c r="K29" t="s">
        <v>33</v>
      </c>
      <c r="L29" s="3">
        <f>L28</f>
        <v>625.43999999999994</v>
      </c>
      <c r="N29" s="6" t="s">
        <v>3</v>
      </c>
      <c r="O29" s="8">
        <f>O22+N11+N12</f>
        <v>6837.44</v>
      </c>
      <c r="P29" s="6" t="s">
        <v>32</v>
      </c>
      <c r="Q29" s="7">
        <f>L29</f>
        <v>625.43999999999994</v>
      </c>
      <c r="W29" s="12"/>
      <c r="X29" s="13">
        <f>SUM(X26:X28)</f>
        <v>882</v>
      </c>
      <c r="Y29" s="12"/>
      <c r="Z29" s="13">
        <f>SUM(Z26:Z28)</f>
        <v>881.99999999999989</v>
      </c>
    </row>
    <row r="30" spans="1:33" x14ac:dyDescent="0.25">
      <c r="N30" s="4"/>
      <c r="O30" s="9"/>
      <c r="P30" s="4" t="s">
        <v>36</v>
      </c>
      <c r="Q30" s="5">
        <f>Q23+Q22</f>
        <v>1212</v>
      </c>
    </row>
    <row r="31" spans="1:33" x14ac:dyDescent="0.25">
      <c r="N31" s="12"/>
      <c r="O31" s="13">
        <f>SUM(O28:O30)</f>
        <v>6837.44</v>
      </c>
      <c r="P31" s="12"/>
      <c r="Q31" s="13">
        <f>SUM(Q28:Q30)</f>
        <v>6837.44</v>
      </c>
      <c r="AC31" t="s">
        <v>75</v>
      </c>
    </row>
    <row r="32" spans="1:33" x14ac:dyDescent="0.25">
      <c r="T32" t="s">
        <v>52</v>
      </c>
      <c r="W32" t="s">
        <v>53</v>
      </c>
    </row>
    <row r="33" spans="11:38" x14ac:dyDescent="0.25">
      <c r="T33" s="4" t="s">
        <v>49</v>
      </c>
      <c r="U33" s="5">
        <f>-V11</f>
        <v>-108.61</v>
      </c>
      <c r="X33" s="8"/>
      <c r="Y33" t="s">
        <v>47</v>
      </c>
      <c r="Z33" s="3">
        <f>X11</f>
        <v>1135.7099999999998</v>
      </c>
      <c r="AC33" t="s">
        <v>17</v>
      </c>
    </row>
    <row r="34" spans="11:38" x14ac:dyDescent="0.25">
      <c r="K34" t="s">
        <v>37</v>
      </c>
      <c r="T34" t="s">
        <v>33</v>
      </c>
      <c r="U34" s="3">
        <f>U33</f>
        <v>-108.61</v>
      </c>
      <c r="W34" s="6" t="s">
        <v>3</v>
      </c>
      <c r="X34" s="8">
        <f>X27-W11</f>
        <v>823</v>
      </c>
      <c r="Y34" s="6" t="s">
        <v>32</v>
      </c>
      <c r="Z34" s="7">
        <f>U34</f>
        <v>-108.61</v>
      </c>
    </row>
    <row r="35" spans="11:38" x14ac:dyDescent="0.25">
      <c r="K35" t="s">
        <v>20</v>
      </c>
      <c r="N35" s="11">
        <v>10000</v>
      </c>
      <c r="O35" t="s">
        <v>38</v>
      </c>
      <c r="W35" s="4"/>
      <c r="X35" s="9"/>
      <c r="Y35" s="4" t="s">
        <v>36</v>
      </c>
      <c r="Z35" s="5">
        <f>Z28+Z27</f>
        <v>-204.10000000000002</v>
      </c>
      <c r="AC35" t="s">
        <v>76</v>
      </c>
      <c r="AD35" s="11">
        <v>70000</v>
      </c>
    </row>
    <row r="36" spans="11:38" x14ac:dyDescent="0.25">
      <c r="K36" t="s">
        <v>39</v>
      </c>
      <c r="L36" s="2"/>
      <c r="N36" s="14">
        <v>4.2</v>
      </c>
      <c r="O36" t="s">
        <v>40</v>
      </c>
      <c r="W36" s="12"/>
      <c r="X36" s="13">
        <f>SUM(X33:X35)</f>
        <v>823</v>
      </c>
      <c r="Y36" s="12"/>
      <c r="Z36" s="13">
        <f>SUM(Z33:Z35)</f>
        <v>822.99999999999989</v>
      </c>
      <c r="AC36" t="s">
        <v>77</v>
      </c>
      <c r="AD36">
        <v>15</v>
      </c>
      <c r="AE36" s="16" t="s">
        <v>0</v>
      </c>
      <c r="AF36" t="s">
        <v>84</v>
      </c>
    </row>
    <row r="37" spans="11:38" x14ac:dyDescent="0.25">
      <c r="K37" t="s">
        <v>41</v>
      </c>
      <c r="N37" s="14">
        <v>4.9000000000000004</v>
      </c>
      <c r="O37" t="s">
        <v>40</v>
      </c>
      <c r="AC37" t="s">
        <v>78</v>
      </c>
      <c r="AD37" s="2">
        <v>0.2</v>
      </c>
    </row>
    <row r="38" spans="11:38" x14ac:dyDescent="0.25">
      <c r="AC38" t="s">
        <v>86</v>
      </c>
      <c r="AD38">
        <v>5000</v>
      </c>
    </row>
    <row r="39" spans="11:38" x14ac:dyDescent="0.25">
      <c r="K39" t="s">
        <v>42</v>
      </c>
      <c r="N39" t="s">
        <v>43</v>
      </c>
      <c r="T39" t="s">
        <v>55</v>
      </c>
      <c r="W39" t="s">
        <v>56</v>
      </c>
      <c r="AC39" t="s">
        <v>87</v>
      </c>
      <c r="AD39">
        <v>250</v>
      </c>
    </row>
    <row r="40" spans="11:38" x14ac:dyDescent="0.25">
      <c r="K40" s="4" t="s">
        <v>44</v>
      </c>
      <c r="L40" s="5">
        <f>(N37-N36)*N35</f>
        <v>7000.0000000000018</v>
      </c>
      <c r="N40" t="s">
        <v>20</v>
      </c>
      <c r="O40" s="8">
        <f>N35*N37</f>
        <v>49000</v>
      </c>
      <c r="P40" t="s">
        <v>31</v>
      </c>
      <c r="Q40" s="3">
        <f>N35*N36</f>
        <v>42000</v>
      </c>
      <c r="T40" s="4" t="s">
        <v>49</v>
      </c>
      <c r="U40" s="5">
        <f>-V12</f>
        <v>-113.57099999999998</v>
      </c>
      <c r="X40" s="8"/>
      <c r="Y40" t="s">
        <v>47</v>
      </c>
      <c r="Z40" s="3">
        <f>X12</f>
        <v>1190.2809999999997</v>
      </c>
    </row>
    <row r="41" spans="11:38" x14ac:dyDescent="0.25">
      <c r="K41" t="s">
        <v>33</v>
      </c>
      <c r="L41" s="3">
        <f>L40</f>
        <v>7000.0000000000018</v>
      </c>
      <c r="N41" s="4"/>
      <c r="O41" s="9"/>
      <c r="P41" s="4" t="s">
        <v>32</v>
      </c>
      <c r="Q41" s="5">
        <f>L41</f>
        <v>7000.0000000000018</v>
      </c>
      <c r="T41" t="s">
        <v>33</v>
      </c>
      <c r="U41" s="3">
        <f>U40</f>
        <v>-113.57099999999998</v>
      </c>
      <c r="W41" s="6" t="s">
        <v>3</v>
      </c>
      <c r="X41" s="8">
        <f>X34-W12</f>
        <v>764</v>
      </c>
      <c r="Y41" s="6" t="s">
        <v>32</v>
      </c>
      <c r="Z41" s="7">
        <f>U41</f>
        <v>-113.57099999999998</v>
      </c>
    </row>
    <row r="42" spans="11:38" x14ac:dyDescent="0.25">
      <c r="O42" s="8">
        <f>SUM(O40:O41)</f>
        <v>49000</v>
      </c>
      <c r="Q42" s="8">
        <f>SUM(Q40:Q41)</f>
        <v>49000</v>
      </c>
      <c r="W42" s="4"/>
      <c r="X42" s="9"/>
      <c r="Y42" s="4" t="s">
        <v>36</v>
      </c>
      <c r="Z42" s="5">
        <f>Z35+Z34</f>
        <v>-312.71000000000004</v>
      </c>
      <c r="AC42" t="s">
        <v>79</v>
      </c>
    </row>
    <row r="43" spans="11:38" x14ac:dyDescent="0.25">
      <c r="W43" s="12"/>
      <c r="X43" s="13">
        <f>SUM(X40:X42)</f>
        <v>764</v>
      </c>
      <c r="Y43" s="12"/>
      <c r="Z43" s="13">
        <f>SUM(Z40:Z42)</f>
        <v>763.99999999999977</v>
      </c>
    </row>
    <row r="45" spans="11:38" x14ac:dyDescent="0.25">
      <c r="K45" t="s">
        <v>45</v>
      </c>
      <c r="AC45" t="s">
        <v>80</v>
      </c>
      <c r="AE45" s="15" t="s">
        <v>81</v>
      </c>
      <c r="AF45" s="15" t="s">
        <v>82</v>
      </c>
      <c r="AG45" t="s">
        <v>77</v>
      </c>
      <c r="AH45" s="15" t="s">
        <v>82</v>
      </c>
      <c r="AI45" t="s">
        <v>83</v>
      </c>
      <c r="AK45" s="1" t="s">
        <v>0</v>
      </c>
      <c r="AL45" s="11">
        <f>AD35*AD36*(1-AD37)</f>
        <v>840000</v>
      </c>
    </row>
    <row r="46" spans="11:38" x14ac:dyDescent="0.25">
      <c r="K46" t="s">
        <v>20</v>
      </c>
      <c r="N46" s="11">
        <v>20000</v>
      </c>
      <c r="O46" t="s">
        <v>38</v>
      </c>
      <c r="T46" t="s">
        <v>57</v>
      </c>
      <c r="W46" t="s">
        <v>58</v>
      </c>
      <c r="AC46" t="s">
        <v>85</v>
      </c>
      <c r="AE46" s="11">
        <f>AL45/AD38*AD39</f>
        <v>42000</v>
      </c>
    </row>
    <row r="47" spans="11:38" x14ac:dyDescent="0.25">
      <c r="K47" t="s">
        <v>39</v>
      </c>
      <c r="L47" s="2"/>
      <c r="N47" s="14">
        <v>3.8</v>
      </c>
      <c r="O47" t="s">
        <v>40</v>
      </c>
      <c r="T47" s="4" t="s">
        <v>49</v>
      </c>
      <c r="U47" s="5">
        <f>-V13</f>
        <v>-119.02809999999998</v>
      </c>
      <c r="X47" s="8"/>
      <c r="Y47" t="s">
        <v>47</v>
      </c>
      <c r="Z47" s="3">
        <f>X14</f>
        <v>0</v>
      </c>
    </row>
    <row r="48" spans="11:38" x14ac:dyDescent="0.25">
      <c r="K48" t="s">
        <v>41</v>
      </c>
      <c r="N48" s="14">
        <v>3.4</v>
      </c>
      <c r="O48" t="s">
        <v>40</v>
      </c>
      <c r="T48" t="s">
        <v>33</v>
      </c>
      <c r="U48" s="3">
        <f>U47</f>
        <v>-119.02809999999998</v>
      </c>
      <c r="W48" s="6" t="s">
        <v>3</v>
      </c>
      <c r="X48" s="8">
        <f>X41-W13-W14</f>
        <v>-545.30909999999972</v>
      </c>
      <c r="Y48" s="6" t="s">
        <v>32</v>
      </c>
      <c r="Z48" s="7">
        <f>U48</f>
        <v>-119.02809999999998</v>
      </c>
    </row>
    <row r="49" spans="11:31" x14ac:dyDescent="0.25">
      <c r="W49" s="4"/>
      <c r="X49" s="9"/>
      <c r="Y49" s="4" t="s">
        <v>36</v>
      </c>
      <c r="Z49" s="5">
        <f>Z42+Z41</f>
        <v>-426.28100000000001</v>
      </c>
      <c r="AC49" t="s">
        <v>66</v>
      </c>
    </row>
    <row r="50" spans="11:31" x14ac:dyDescent="0.25">
      <c r="K50" t="s">
        <v>42</v>
      </c>
      <c r="N50" t="s">
        <v>43</v>
      </c>
      <c r="W50" s="12"/>
      <c r="X50" s="13">
        <f>SUM(X47:X49)</f>
        <v>-545.30909999999972</v>
      </c>
      <c r="Y50" s="12"/>
      <c r="Z50" s="13">
        <f>SUM(Z47:Z49)</f>
        <v>-545.30909999999994</v>
      </c>
    </row>
    <row r="51" spans="11:31" x14ac:dyDescent="0.25">
      <c r="K51" s="4" t="s">
        <v>44</v>
      </c>
      <c r="L51" s="5">
        <f>(N48-N47)*N46</f>
        <v>-7999.9999999999982</v>
      </c>
      <c r="N51" t="s">
        <v>20</v>
      </c>
      <c r="O51" s="8">
        <f>N46*N48</f>
        <v>68000</v>
      </c>
      <c r="P51" t="s">
        <v>31</v>
      </c>
      <c r="Q51" s="3">
        <f>N46*N47</f>
        <v>76000</v>
      </c>
      <c r="AC51" t="s">
        <v>88</v>
      </c>
    </row>
    <row r="52" spans="11:31" x14ac:dyDescent="0.25">
      <c r="K52" t="s">
        <v>33</v>
      </c>
      <c r="L52" s="3">
        <f>L51</f>
        <v>-7999.9999999999982</v>
      </c>
      <c r="N52" s="4"/>
      <c r="O52" s="9"/>
      <c r="P52" s="4" t="s">
        <v>32</v>
      </c>
      <c r="Q52" s="5">
        <f>L52</f>
        <v>-7999.9999999999982</v>
      </c>
      <c r="AC52" t="s">
        <v>85</v>
      </c>
      <c r="AE52" s="11">
        <f>850000/AD38*AD39</f>
        <v>42500</v>
      </c>
    </row>
    <row r="53" spans="11:31" x14ac:dyDescent="0.25">
      <c r="O53" s="8">
        <f>SUM(O51:O52)</f>
        <v>68000</v>
      </c>
      <c r="Q53" s="8">
        <f>SUM(Q51:Q52)</f>
        <v>68000</v>
      </c>
    </row>
    <row r="55" spans="11:31" x14ac:dyDescent="0.25">
      <c r="T55" t="s">
        <v>59</v>
      </c>
    </row>
    <row r="56" spans="11:31" x14ac:dyDescent="0.25">
      <c r="T56" t="s">
        <v>47</v>
      </c>
      <c r="W56" s="11">
        <v>20000</v>
      </c>
    </row>
    <row r="57" spans="11:31" x14ac:dyDescent="0.25">
      <c r="T57" t="s">
        <v>48</v>
      </c>
      <c r="U57" s="2"/>
      <c r="W57" s="10">
        <v>0.05</v>
      </c>
    </row>
    <row r="58" spans="11:31" x14ac:dyDescent="0.25">
      <c r="T58" t="s">
        <v>49</v>
      </c>
      <c r="W58" s="10">
        <v>0.05</v>
      </c>
    </row>
    <row r="59" spans="11:31" x14ac:dyDescent="0.25">
      <c r="T59" t="s">
        <v>50</v>
      </c>
      <c r="W59" t="s">
        <v>51</v>
      </c>
    </row>
    <row r="61" spans="11:31" x14ac:dyDescent="0.25">
      <c r="T61" t="s">
        <v>25</v>
      </c>
    </row>
    <row r="62" spans="11:31" x14ac:dyDescent="0.25">
      <c r="T62" t="s">
        <v>2</v>
      </c>
      <c r="U62" t="s">
        <v>26</v>
      </c>
      <c r="V62" t="s">
        <v>49</v>
      </c>
      <c r="W62" t="s">
        <v>54</v>
      </c>
      <c r="X62" t="s">
        <v>28</v>
      </c>
    </row>
    <row r="63" spans="11:31" x14ac:dyDescent="0.25">
      <c r="T63">
        <v>1</v>
      </c>
      <c r="U63" s="3">
        <f>W56</f>
        <v>20000</v>
      </c>
      <c r="V63" s="3">
        <f>(U63*$W$58)</f>
        <v>1000</v>
      </c>
      <c r="W63" s="3">
        <f>$W$56*$W$57</f>
        <v>1000</v>
      </c>
      <c r="X63" s="3">
        <f>U63+(V63-W63)</f>
        <v>20000</v>
      </c>
    </row>
    <row r="64" spans="11:31" x14ac:dyDescent="0.25">
      <c r="T64">
        <v>2</v>
      </c>
      <c r="U64" s="3">
        <f>X63</f>
        <v>20000</v>
      </c>
      <c r="V64" s="3">
        <f t="shared" ref="V64:V66" si="4">(U64*$W$58)</f>
        <v>1000</v>
      </c>
      <c r="W64" s="3">
        <f t="shared" ref="W64:W66" si="5">$W$56*$W$57</f>
        <v>1000</v>
      </c>
      <c r="X64" s="3">
        <f t="shared" ref="X64:X66" si="6">U64+(V64-W64)</f>
        <v>20000</v>
      </c>
    </row>
    <row r="65" spans="20:26" x14ac:dyDescent="0.25">
      <c r="T65">
        <v>3</v>
      </c>
      <c r="U65" s="3">
        <f t="shared" ref="U65:U66" si="7">X64</f>
        <v>20000</v>
      </c>
      <c r="V65" s="3">
        <f t="shared" si="4"/>
        <v>1000</v>
      </c>
      <c r="W65" s="3">
        <f t="shared" si="5"/>
        <v>1000</v>
      </c>
      <c r="X65" s="3">
        <f t="shared" si="6"/>
        <v>20000</v>
      </c>
    </row>
    <row r="66" spans="20:26" x14ac:dyDescent="0.25">
      <c r="T66">
        <v>4.0999999999999996</v>
      </c>
      <c r="U66" s="3">
        <f t="shared" si="7"/>
        <v>20000</v>
      </c>
      <c r="V66" s="3">
        <f t="shared" si="4"/>
        <v>1000</v>
      </c>
      <c r="W66" s="3">
        <f t="shared" si="5"/>
        <v>1000</v>
      </c>
      <c r="X66" s="3">
        <f t="shared" si="6"/>
        <v>20000</v>
      </c>
    </row>
    <row r="67" spans="20:26" x14ac:dyDescent="0.25">
      <c r="T67">
        <v>4.2</v>
      </c>
      <c r="U67" s="3"/>
      <c r="V67" s="3">
        <f t="shared" ref="V67" si="8">(U67*$W$4)</f>
        <v>0</v>
      </c>
      <c r="W67" s="3">
        <f>X66</f>
        <v>20000</v>
      </c>
      <c r="X67" s="3">
        <v>0</v>
      </c>
    </row>
    <row r="68" spans="20:26" x14ac:dyDescent="0.25">
      <c r="W68" s="3"/>
    </row>
    <row r="70" spans="20:26" x14ac:dyDescent="0.25">
      <c r="T70" t="s">
        <v>60</v>
      </c>
      <c r="W70" t="s">
        <v>62</v>
      </c>
    </row>
    <row r="71" spans="20:26" x14ac:dyDescent="0.25">
      <c r="T71" s="4" t="s">
        <v>49</v>
      </c>
      <c r="U71" s="5">
        <f>-V63</f>
        <v>-1000</v>
      </c>
      <c r="X71" s="8"/>
      <c r="Y71" t="s">
        <v>47</v>
      </c>
      <c r="Z71" s="3">
        <f>X63</f>
        <v>20000</v>
      </c>
    </row>
    <row r="72" spans="20:26" x14ac:dyDescent="0.25">
      <c r="T72" t="s">
        <v>33</v>
      </c>
      <c r="U72" s="3">
        <f>U71</f>
        <v>-1000</v>
      </c>
      <c r="W72" s="4" t="s">
        <v>3</v>
      </c>
      <c r="X72" s="9">
        <f>W56-V63*1</f>
        <v>19000</v>
      </c>
      <c r="Y72" s="4" t="s">
        <v>32</v>
      </c>
      <c r="Z72" s="5">
        <f>U72</f>
        <v>-1000</v>
      </c>
    </row>
    <row r="73" spans="20:26" x14ac:dyDescent="0.25">
      <c r="X73" s="8">
        <f>SUM(X71:X72)</f>
        <v>19000</v>
      </c>
      <c r="Z73" s="8">
        <f>SUM(Z71:Z72)</f>
        <v>19000</v>
      </c>
    </row>
    <row r="76" spans="20:26" x14ac:dyDescent="0.25">
      <c r="W76" t="s">
        <v>56</v>
      </c>
    </row>
    <row r="77" spans="20:26" x14ac:dyDescent="0.25">
      <c r="X77" s="8"/>
      <c r="Y77" t="s">
        <v>47</v>
      </c>
      <c r="Z77" s="3">
        <f>X67</f>
        <v>0</v>
      </c>
    </row>
    <row r="78" spans="20:26" x14ac:dyDescent="0.25">
      <c r="W78" s="6" t="s">
        <v>3</v>
      </c>
      <c r="X78" s="7">
        <f>W56-SUM(W63:W67)</f>
        <v>-4000</v>
      </c>
      <c r="Y78" s="6" t="s">
        <v>32</v>
      </c>
      <c r="Z78" s="7">
        <f>U72</f>
        <v>-1000</v>
      </c>
    </row>
    <row r="79" spans="20:26" x14ac:dyDescent="0.25">
      <c r="W79" s="4"/>
      <c r="X79" s="9"/>
      <c r="Y79" s="4" t="s">
        <v>61</v>
      </c>
      <c r="Z79" s="5">
        <f>-SUM(V63:V65)</f>
        <v>-3000</v>
      </c>
    </row>
    <row r="80" spans="20:26" x14ac:dyDescent="0.25">
      <c r="X80" s="8">
        <f>SUM(X77:X78)</f>
        <v>-4000</v>
      </c>
      <c r="Z80" s="8">
        <f>SUM(Z77:Z79)</f>
        <v>-4000</v>
      </c>
    </row>
    <row r="85" spans="20:24" x14ac:dyDescent="0.25">
      <c r="T85" t="s">
        <v>63</v>
      </c>
    </row>
    <row r="86" spans="20:24" x14ac:dyDescent="0.25">
      <c r="T86" t="s">
        <v>47</v>
      </c>
      <c r="W86" s="11">
        <v>40000</v>
      </c>
    </row>
    <row r="87" spans="20:24" x14ac:dyDescent="0.25">
      <c r="T87" t="s">
        <v>48</v>
      </c>
      <c r="U87" s="2"/>
      <c r="W87" s="10"/>
    </row>
    <row r="88" spans="20:24" x14ac:dyDescent="0.25">
      <c r="T88" t="s">
        <v>49</v>
      </c>
      <c r="W88" s="2">
        <v>0.09</v>
      </c>
    </row>
    <row r="89" spans="20:24" x14ac:dyDescent="0.25">
      <c r="T89" t="s">
        <v>50</v>
      </c>
      <c r="W89" t="s">
        <v>24</v>
      </c>
    </row>
    <row r="91" spans="20:24" x14ac:dyDescent="0.25">
      <c r="T91" t="s">
        <v>25</v>
      </c>
    </row>
    <row r="92" spans="20:24" x14ac:dyDescent="0.25">
      <c r="T92" t="s">
        <v>2</v>
      </c>
      <c r="U92" t="s">
        <v>26</v>
      </c>
      <c r="V92" t="s">
        <v>49</v>
      </c>
      <c r="W92" t="s">
        <v>54</v>
      </c>
      <c r="X92" t="s">
        <v>28</v>
      </c>
    </row>
    <row r="93" spans="20:24" x14ac:dyDescent="0.25">
      <c r="T93">
        <v>1</v>
      </c>
      <c r="U93" s="3">
        <f>W86</f>
        <v>40000</v>
      </c>
      <c r="V93" s="3">
        <f>(U93*$W$88)</f>
        <v>3600</v>
      </c>
      <c r="W93" s="3">
        <f>$W$87</f>
        <v>0</v>
      </c>
      <c r="X93" s="3">
        <f>U93+(V93-W93)</f>
        <v>43600</v>
      </c>
    </row>
    <row r="94" spans="20:24" x14ac:dyDescent="0.25">
      <c r="T94">
        <v>2</v>
      </c>
      <c r="U94" s="3">
        <f>X93</f>
        <v>43600</v>
      </c>
      <c r="V94" s="3">
        <f t="shared" ref="V94:V95" si="9">(U94*$W$88)</f>
        <v>3924</v>
      </c>
      <c r="W94" s="3">
        <f t="shared" ref="W94:W95" si="10">$W$87</f>
        <v>0</v>
      </c>
      <c r="X94" s="3">
        <f t="shared" ref="X94:X95" si="11">U94+(V94-W94)</f>
        <v>47524</v>
      </c>
    </row>
    <row r="95" spans="20:24" x14ac:dyDescent="0.25">
      <c r="T95">
        <v>3.1</v>
      </c>
      <c r="U95" s="3">
        <f t="shared" ref="U95" si="12">X94</f>
        <v>47524</v>
      </c>
      <c r="V95" s="3">
        <f t="shared" si="9"/>
        <v>4277.16</v>
      </c>
      <c r="W95" s="3">
        <f t="shared" si="10"/>
        <v>0</v>
      </c>
      <c r="X95" s="3">
        <f t="shared" si="11"/>
        <v>51801.16</v>
      </c>
    </row>
    <row r="96" spans="20:24" x14ac:dyDescent="0.25">
      <c r="T96">
        <v>3.2</v>
      </c>
      <c r="U96" s="3"/>
      <c r="V96" s="3"/>
      <c r="W96" s="3">
        <f>X95</f>
        <v>51801.16</v>
      </c>
      <c r="X96" s="3">
        <v>0</v>
      </c>
    </row>
    <row r="98" spans="20:26" x14ac:dyDescent="0.25">
      <c r="T98" t="s">
        <v>29</v>
      </c>
      <c r="W98" t="s">
        <v>30</v>
      </c>
    </row>
    <row r="99" spans="20:26" x14ac:dyDescent="0.25">
      <c r="T99" s="4" t="s">
        <v>49</v>
      </c>
      <c r="U99" s="5">
        <f>-V93</f>
        <v>-3600</v>
      </c>
      <c r="X99" s="8"/>
      <c r="Y99" t="s">
        <v>47</v>
      </c>
      <c r="Z99" s="3">
        <f>X93</f>
        <v>43600</v>
      </c>
    </row>
    <row r="100" spans="20:26" x14ac:dyDescent="0.25">
      <c r="T100" t="s">
        <v>33</v>
      </c>
      <c r="U100" s="3">
        <f>U99</f>
        <v>-3600</v>
      </c>
      <c r="W100" s="4" t="s">
        <v>3</v>
      </c>
      <c r="X100" s="9">
        <f>W86</f>
        <v>40000</v>
      </c>
      <c r="Y100" s="4" t="s">
        <v>32</v>
      </c>
      <c r="Z100" s="5">
        <f>U100</f>
        <v>-3600</v>
      </c>
    </row>
    <row r="101" spans="20:26" x14ac:dyDescent="0.25">
      <c r="X101" s="8">
        <f>SUM(X99:X100)</f>
        <v>40000</v>
      </c>
      <c r="Z101" s="8">
        <f>SUM(Z99:Z100)</f>
        <v>40000</v>
      </c>
    </row>
    <row r="104" spans="20:26" x14ac:dyDescent="0.25">
      <c r="T104" t="s">
        <v>34</v>
      </c>
      <c r="W104" t="s">
        <v>35</v>
      </c>
    </row>
    <row r="105" spans="20:26" x14ac:dyDescent="0.25">
      <c r="T105" s="4" t="s">
        <v>49</v>
      </c>
      <c r="U105" s="5">
        <f>-V94</f>
        <v>-3924</v>
      </c>
      <c r="X105" s="8"/>
      <c r="Y105" t="s">
        <v>47</v>
      </c>
      <c r="Z105" s="3">
        <f>X94</f>
        <v>47524</v>
      </c>
    </row>
    <row r="106" spans="20:26" x14ac:dyDescent="0.25">
      <c r="T106" t="s">
        <v>33</v>
      </c>
      <c r="U106" s="3">
        <f>U105</f>
        <v>-3924</v>
      </c>
      <c r="W106" s="6" t="s">
        <v>3</v>
      </c>
      <c r="X106" s="8">
        <f>X100-W94</f>
        <v>40000</v>
      </c>
      <c r="Y106" s="6" t="s">
        <v>32</v>
      </c>
      <c r="Z106" s="7">
        <f>U106</f>
        <v>-3924</v>
      </c>
    </row>
    <row r="107" spans="20:26" x14ac:dyDescent="0.25">
      <c r="W107" s="4"/>
      <c r="X107" s="9"/>
      <c r="Y107" s="4" t="s">
        <v>36</v>
      </c>
      <c r="Z107" s="5">
        <f>Z100</f>
        <v>-3600</v>
      </c>
    </row>
    <row r="108" spans="20:26" x14ac:dyDescent="0.25">
      <c r="W108" s="12"/>
      <c r="X108" s="13">
        <f>SUM(X105:X107)</f>
        <v>40000</v>
      </c>
      <c r="Y108" s="12"/>
      <c r="Z108" s="13">
        <f>SUM(Z105:Z107)</f>
        <v>40000</v>
      </c>
    </row>
    <row r="111" spans="20:26" x14ac:dyDescent="0.25">
      <c r="T111" t="s">
        <v>52</v>
      </c>
      <c r="W111" t="s">
        <v>53</v>
      </c>
    </row>
    <row r="112" spans="20:26" x14ac:dyDescent="0.25">
      <c r="T112" s="4" t="s">
        <v>49</v>
      </c>
      <c r="U112" s="5">
        <f>-V95</f>
        <v>-4277.16</v>
      </c>
      <c r="X112" s="8"/>
      <c r="Y112" t="s">
        <v>47</v>
      </c>
      <c r="Z112" s="3">
        <f>X96</f>
        <v>0</v>
      </c>
    </row>
    <row r="113" spans="20:26" x14ac:dyDescent="0.25">
      <c r="T113" t="s">
        <v>33</v>
      </c>
      <c r="U113" s="3">
        <f>U112</f>
        <v>-4277.16</v>
      </c>
      <c r="W113" s="6" t="s">
        <v>3</v>
      </c>
      <c r="X113" s="8">
        <f>X106-W95-W96</f>
        <v>-11801.160000000003</v>
      </c>
      <c r="Y113" s="6" t="s">
        <v>32</v>
      </c>
      <c r="Z113" s="7">
        <f>U113</f>
        <v>-4277.16</v>
      </c>
    </row>
    <row r="114" spans="20:26" x14ac:dyDescent="0.25">
      <c r="W114" s="4"/>
      <c r="X114" s="9"/>
      <c r="Y114" s="4" t="s">
        <v>36</v>
      </c>
      <c r="Z114" s="5">
        <f>Z107+Z106</f>
        <v>-7524</v>
      </c>
    </row>
    <row r="115" spans="20:26" x14ac:dyDescent="0.25">
      <c r="W115" s="12"/>
      <c r="X115" s="13">
        <f>SUM(X112:X114)</f>
        <v>-11801.160000000003</v>
      </c>
      <c r="Y115" s="12"/>
      <c r="Z115" s="13">
        <f>SUM(Z112:Z114)</f>
        <v>-11801.16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zoomScale="70" zoomScaleNormal="70" workbookViewId="0">
      <selection activeCell="S30" sqref="S30"/>
    </sheetView>
  </sheetViews>
  <sheetFormatPr defaultRowHeight="15" x14ac:dyDescent="0.25"/>
  <cols>
    <col min="3" max="3" width="11.140625" bestFit="1" customWidth="1"/>
    <col min="4" max="4" width="17.42578125" customWidth="1"/>
    <col min="5" max="5" width="11.140625" bestFit="1" customWidth="1"/>
    <col min="10" max="10" width="13.5703125" customWidth="1"/>
    <col min="11" max="11" width="16.7109375" customWidth="1"/>
    <col min="12" max="12" width="11.5703125" customWidth="1"/>
    <col min="18" max="18" width="18.28515625" customWidth="1"/>
    <col min="19" max="19" width="10.140625" bestFit="1" customWidth="1"/>
  </cols>
  <sheetData>
    <row r="1" spans="1:22" x14ac:dyDescent="0.25">
      <c r="A1" t="s">
        <v>89</v>
      </c>
      <c r="H1" t="s">
        <v>101</v>
      </c>
      <c r="O1" t="s">
        <v>114</v>
      </c>
    </row>
    <row r="2" spans="1:22" x14ac:dyDescent="0.25">
      <c r="A2" t="s">
        <v>17</v>
      </c>
    </row>
    <row r="3" spans="1:22" x14ac:dyDescent="0.25">
      <c r="C3" s="32" t="s">
        <v>43</v>
      </c>
      <c r="D3" s="32"/>
      <c r="E3" s="4"/>
      <c r="H3" t="s">
        <v>103</v>
      </c>
    </row>
    <row r="4" spans="1:22" x14ac:dyDescent="0.25">
      <c r="B4" s="17" t="s">
        <v>3</v>
      </c>
      <c r="C4" s="20">
        <f>50000*5</f>
        <v>250000</v>
      </c>
      <c r="D4" s="11"/>
      <c r="E4" s="11"/>
      <c r="J4" s="32" t="s">
        <v>43</v>
      </c>
      <c r="K4" s="32"/>
      <c r="L4" s="4"/>
      <c r="Q4" s="32" t="s">
        <v>43</v>
      </c>
      <c r="R4" s="32"/>
      <c r="S4" s="4"/>
    </row>
    <row r="5" spans="1:22" x14ac:dyDescent="0.25">
      <c r="C5" s="21"/>
      <c r="D5" s="11" t="s">
        <v>92</v>
      </c>
      <c r="E5" s="11">
        <f>50000*1</f>
        <v>50000</v>
      </c>
      <c r="I5" s="17" t="s">
        <v>3</v>
      </c>
      <c r="J5" s="20">
        <f>100000*1</f>
        <v>100000</v>
      </c>
      <c r="K5" s="11"/>
      <c r="L5" s="11"/>
      <c r="P5" s="17"/>
      <c r="Q5" s="20"/>
      <c r="R5" s="11" t="s">
        <v>115</v>
      </c>
      <c r="S5" s="11">
        <f>-100000*0.5</f>
        <v>-50000</v>
      </c>
      <c r="T5" s="16" t="s">
        <v>0</v>
      </c>
      <c r="U5" t="s">
        <v>126</v>
      </c>
      <c r="V5" s="11">
        <f>50000</f>
        <v>50000</v>
      </c>
    </row>
    <row r="6" spans="1:22" x14ac:dyDescent="0.25">
      <c r="B6" s="4"/>
      <c r="C6" s="22"/>
      <c r="D6" s="23" t="s">
        <v>93</v>
      </c>
      <c r="E6" s="23">
        <f>50000*(5-1)</f>
        <v>200000</v>
      </c>
      <c r="J6" s="21"/>
      <c r="K6" s="11" t="s">
        <v>92</v>
      </c>
      <c r="L6" s="11">
        <f>100000*1</f>
        <v>100000</v>
      </c>
      <c r="Q6" s="21"/>
      <c r="R6" s="11" t="s">
        <v>116</v>
      </c>
      <c r="S6" s="11">
        <f>100000*0.5</f>
        <v>50000</v>
      </c>
      <c r="U6" t="s">
        <v>127</v>
      </c>
      <c r="V6" s="11">
        <f>V5</f>
        <v>50000</v>
      </c>
    </row>
    <row r="7" spans="1:22" x14ac:dyDescent="0.25">
      <c r="C7" s="24">
        <f>SUM(C4:C6)</f>
        <v>250000</v>
      </c>
      <c r="D7" s="11"/>
      <c r="E7" s="24">
        <f>SUM(E4:E6)</f>
        <v>250000</v>
      </c>
      <c r="I7" s="4"/>
      <c r="J7" s="22"/>
      <c r="K7" s="23"/>
      <c r="L7" s="23"/>
      <c r="Q7" s="8"/>
      <c r="V7" s="11"/>
    </row>
    <row r="8" spans="1:22" x14ac:dyDescent="0.25">
      <c r="A8" t="s">
        <v>66</v>
      </c>
      <c r="C8" s="11"/>
      <c r="D8" s="11"/>
      <c r="E8" s="11"/>
      <c r="J8" s="24">
        <f>SUM(J5:J7)</f>
        <v>100000</v>
      </c>
      <c r="K8" s="11"/>
      <c r="L8" s="24">
        <f>SUM(L5:L7)</f>
        <v>100000</v>
      </c>
      <c r="P8" t="s">
        <v>117</v>
      </c>
      <c r="Q8" s="8">
        <f>-S6</f>
        <v>-50000</v>
      </c>
      <c r="R8" s="11" t="s">
        <v>118</v>
      </c>
      <c r="S8" s="11">
        <f>-100000*0.5</f>
        <v>-50000</v>
      </c>
      <c r="T8" s="1" t="s">
        <v>0</v>
      </c>
      <c r="U8" s="34" t="s">
        <v>128</v>
      </c>
      <c r="V8" s="11">
        <f>50000</f>
        <v>50000</v>
      </c>
    </row>
    <row r="9" spans="1:22" x14ac:dyDescent="0.25">
      <c r="B9" s="4"/>
      <c r="C9" s="33" t="s">
        <v>43</v>
      </c>
      <c r="D9" s="33"/>
      <c r="E9" s="23"/>
      <c r="P9" s="4"/>
      <c r="Q9" s="22"/>
      <c r="R9" s="23"/>
      <c r="S9" s="23"/>
      <c r="U9" t="s">
        <v>129</v>
      </c>
      <c r="V9" s="11">
        <f>V8</f>
        <v>50000</v>
      </c>
    </row>
    <row r="10" spans="1:22" x14ac:dyDescent="0.25">
      <c r="C10" s="20"/>
      <c r="D10" s="11" t="s">
        <v>94</v>
      </c>
      <c r="E10" s="11">
        <f>-50000*5</f>
        <v>-250000</v>
      </c>
      <c r="H10" t="s">
        <v>104</v>
      </c>
      <c r="Q10" s="24">
        <f>SUM(Q5:Q9)</f>
        <v>-50000</v>
      </c>
      <c r="R10" s="11"/>
      <c r="S10" s="24">
        <f>SUM(S5:S9)</f>
        <v>-50000</v>
      </c>
      <c r="V10" s="11"/>
    </row>
    <row r="11" spans="1:22" x14ac:dyDescent="0.25">
      <c r="C11" s="21"/>
      <c r="D11" s="11" t="s">
        <v>92</v>
      </c>
      <c r="E11" s="11">
        <f>50000*1</f>
        <v>50000</v>
      </c>
      <c r="J11" s="32" t="s">
        <v>43</v>
      </c>
      <c r="K11" s="32"/>
      <c r="L11" s="4"/>
      <c r="V11" s="11"/>
    </row>
    <row r="12" spans="1:22" x14ac:dyDescent="0.25">
      <c r="B12" s="4"/>
      <c r="C12" s="22"/>
      <c r="D12" s="23" t="s">
        <v>93</v>
      </c>
      <c r="E12" s="23">
        <f>50000*(5-1)</f>
        <v>200000</v>
      </c>
      <c r="I12" s="17" t="s">
        <v>3</v>
      </c>
      <c r="J12" s="20">
        <f>150000*5+100000*0.5</f>
        <v>800000</v>
      </c>
      <c r="K12" s="11"/>
      <c r="L12" s="11"/>
      <c r="V12" s="11"/>
    </row>
    <row r="13" spans="1:22" x14ac:dyDescent="0.25">
      <c r="B13" s="6"/>
      <c r="C13" s="24"/>
      <c r="D13" s="24"/>
      <c r="E13" s="11">
        <f>SUM(E10:E12)</f>
        <v>0</v>
      </c>
      <c r="J13" s="21"/>
      <c r="K13" s="11" t="s">
        <v>92</v>
      </c>
      <c r="L13" s="11">
        <f>150000*1</f>
        <v>150000</v>
      </c>
      <c r="O13" t="s">
        <v>119</v>
      </c>
      <c r="V13" s="11"/>
    </row>
    <row r="14" spans="1:22" x14ac:dyDescent="0.25">
      <c r="A14" t="s">
        <v>90</v>
      </c>
      <c r="C14" s="11"/>
      <c r="D14" s="11"/>
      <c r="I14" s="6"/>
      <c r="J14" s="21"/>
      <c r="K14" s="24" t="s">
        <v>93</v>
      </c>
      <c r="L14" s="24">
        <f>150000*(5-1)</f>
        <v>600000</v>
      </c>
      <c r="Q14" s="32" t="s">
        <v>43</v>
      </c>
      <c r="R14" s="32"/>
      <c r="S14" s="4"/>
      <c r="V14" s="11"/>
    </row>
    <row r="15" spans="1:22" x14ac:dyDescent="0.25">
      <c r="B15" s="4"/>
      <c r="C15" s="33" t="s">
        <v>43</v>
      </c>
      <c r="D15" s="33"/>
      <c r="E15" s="23"/>
      <c r="I15" s="6"/>
      <c r="J15" s="18"/>
      <c r="K15" s="24" t="s">
        <v>102</v>
      </c>
      <c r="L15" s="24">
        <f>100000*0.5</f>
        <v>50000</v>
      </c>
      <c r="P15" s="17"/>
      <c r="Q15" s="20"/>
      <c r="R15" s="11" t="s">
        <v>115</v>
      </c>
      <c r="S15" s="11">
        <f>-100000</f>
        <v>-100000</v>
      </c>
      <c r="T15" s="16" t="s">
        <v>0</v>
      </c>
      <c r="U15" t="s">
        <v>126</v>
      </c>
      <c r="V15" s="11">
        <f>100000</f>
        <v>100000</v>
      </c>
    </row>
    <row r="16" spans="1:22" x14ac:dyDescent="0.25">
      <c r="B16" s="17" t="s">
        <v>3</v>
      </c>
      <c r="C16" s="20">
        <f>50000*5</f>
        <v>250000</v>
      </c>
      <c r="D16" s="11"/>
      <c r="E16" s="11"/>
      <c r="I16" s="4"/>
      <c r="J16" s="19"/>
      <c r="K16" s="4"/>
      <c r="L16" s="4"/>
      <c r="Q16" s="21"/>
      <c r="R16" s="11" t="s">
        <v>116</v>
      </c>
      <c r="S16" s="11">
        <f>-S15</f>
        <v>100000</v>
      </c>
      <c r="U16" t="s">
        <v>127</v>
      </c>
      <c r="V16" s="11">
        <f>V15</f>
        <v>100000</v>
      </c>
    </row>
    <row r="17" spans="1:22" x14ac:dyDescent="0.25">
      <c r="C17" s="21"/>
      <c r="D17" s="11" t="s">
        <v>92</v>
      </c>
      <c r="E17" s="11">
        <f>50000*1</f>
        <v>50000</v>
      </c>
      <c r="J17" s="21">
        <f>SUM(J12:J14)</f>
        <v>800000</v>
      </c>
      <c r="K17" s="11"/>
      <c r="L17" s="24">
        <f>SUM(L13:L15)</f>
        <v>800000</v>
      </c>
      <c r="Q17" s="8"/>
      <c r="V17" s="11"/>
    </row>
    <row r="18" spans="1:22" x14ac:dyDescent="0.25">
      <c r="B18" s="4"/>
      <c r="C18" s="22"/>
      <c r="D18" s="23" t="s">
        <v>93</v>
      </c>
      <c r="E18" s="23">
        <f>50000*(5-1)</f>
        <v>200000</v>
      </c>
      <c r="P18" t="s">
        <v>120</v>
      </c>
      <c r="Q18" s="8">
        <f>-1000</f>
        <v>-1000</v>
      </c>
      <c r="R18" s="11" t="s">
        <v>118</v>
      </c>
      <c r="S18" s="11">
        <f>-S16</f>
        <v>-100000</v>
      </c>
      <c r="T18" s="1" t="s">
        <v>0</v>
      </c>
      <c r="U18" s="34" t="s">
        <v>128</v>
      </c>
      <c r="V18" s="11">
        <f>V16</f>
        <v>100000</v>
      </c>
    </row>
    <row r="19" spans="1:22" x14ac:dyDescent="0.25">
      <c r="C19" s="3">
        <f>SUM(C16:C18)</f>
        <v>250000</v>
      </c>
      <c r="E19" s="3">
        <f>SUM(E16:E18)</f>
        <v>250000</v>
      </c>
      <c r="H19" t="s">
        <v>105</v>
      </c>
      <c r="P19" s="4"/>
      <c r="Q19" s="22"/>
      <c r="R19" s="23" t="s">
        <v>121</v>
      </c>
      <c r="S19" s="23">
        <f>100000-1000</f>
        <v>99000</v>
      </c>
      <c r="U19" t="s">
        <v>130</v>
      </c>
      <c r="V19" s="11">
        <f>1000</f>
        <v>1000</v>
      </c>
    </row>
    <row r="20" spans="1:22" x14ac:dyDescent="0.25">
      <c r="J20" s="32" t="s">
        <v>43</v>
      </c>
      <c r="K20" s="32"/>
      <c r="L20" s="4"/>
      <c r="Q20" s="24">
        <f>SUM(Q15:Q19)</f>
        <v>-1000</v>
      </c>
      <c r="R20" s="11"/>
      <c r="S20" s="24">
        <f>SUM(S15:S19)</f>
        <v>-1000</v>
      </c>
      <c r="U20" t="s">
        <v>131</v>
      </c>
      <c r="V20" s="11">
        <f>V18-V19</f>
        <v>99000</v>
      </c>
    </row>
    <row r="21" spans="1:22" x14ac:dyDescent="0.25">
      <c r="A21" t="s">
        <v>95</v>
      </c>
      <c r="I21" s="17" t="s">
        <v>3</v>
      </c>
      <c r="J21" s="20">
        <f>100000*4</f>
        <v>400000</v>
      </c>
      <c r="K21" s="11"/>
      <c r="L21" s="11"/>
    </row>
    <row r="22" spans="1:22" x14ac:dyDescent="0.25">
      <c r="B22" t="s">
        <v>96</v>
      </c>
      <c r="J22" s="21"/>
      <c r="K22" s="11" t="s">
        <v>92</v>
      </c>
      <c r="L22" s="11">
        <f>100000*1</f>
        <v>100000</v>
      </c>
    </row>
    <row r="23" spans="1:22" x14ac:dyDescent="0.25">
      <c r="I23" s="6"/>
      <c r="J23" s="21"/>
      <c r="K23" s="24" t="s">
        <v>93</v>
      </c>
      <c r="L23" s="24">
        <f>100000*(4-1)+L15</f>
        <v>350000</v>
      </c>
      <c r="O23" t="s">
        <v>122</v>
      </c>
    </row>
    <row r="24" spans="1:22" x14ac:dyDescent="0.25">
      <c r="I24" s="6"/>
      <c r="J24" s="18"/>
      <c r="K24" s="24" t="s">
        <v>102</v>
      </c>
      <c r="L24" s="24">
        <f>-L15</f>
        <v>-50000</v>
      </c>
      <c r="P24" s="6" t="s">
        <v>124</v>
      </c>
      <c r="Q24" s="30">
        <v>0.15</v>
      </c>
      <c r="R24" s="31" t="s">
        <v>91</v>
      </c>
      <c r="S24" s="24">
        <f>100000*Q24</f>
        <v>15000</v>
      </c>
    </row>
    <row r="25" spans="1:22" x14ac:dyDescent="0.25">
      <c r="A25" t="s">
        <v>97</v>
      </c>
      <c r="I25" s="4"/>
      <c r="J25" s="19"/>
      <c r="K25" s="4"/>
      <c r="L25" s="4"/>
      <c r="P25" s="4" t="s">
        <v>123</v>
      </c>
      <c r="Q25" s="4"/>
      <c r="R25" s="4"/>
      <c r="S25" s="23">
        <v>20000</v>
      </c>
    </row>
    <row r="26" spans="1:22" x14ac:dyDescent="0.25">
      <c r="B26" s="4"/>
      <c r="C26" s="33" t="s">
        <v>43</v>
      </c>
      <c r="D26" s="33"/>
      <c r="E26" s="23"/>
      <c r="J26" s="21">
        <f>SUM(J21:J23)</f>
        <v>400000</v>
      </c>
      <c r="K26" s="11"/>
      <c r="L26" s="24">
        <f>SUM(L22:L24)</f>
        <v>400000</v>
      </c>
      <c r="P26" t="s">
        <v>125</v>
      </c>
      <c r="S26" s="3">
        <f>S25-S24</f>
        <v>5000</v>
      </c>
    </row>
    <row r="27" spans="1:22" x14ac:dyDescent="0.25">
      <c r="B27" s="17" t="s">
        <v>98</v>
      </c>
      <c r="C27" s="20">
        <f>1000*800</f>
        <v>800000</v>
      </c>
      <c r="D27" s="11"/>
      <c r="E27" s="11"/>
    </row>
    <row r="28" spans="1:22" x14ac:dyDescent="0.25">
      <c r="C28" s="21"/>
      <c r="D28" s="11" t="s">
        <v>92</v>
      </c>
      <c r="E28" s="11">
        <f>150000*2</f>
        <v>300000</v>
      </c>
      <c r="H28" t="s">
        <v>106</v>
      </c>
    </row>
    <row r="29" spans="1:22" x14ac:dyDescent="0.25">
      <c r="B29" s="4"/>
      <c r="C29" s="22"/>
      <c r="D29" s="23" t="s">
        <v>93</v>
      </c>
      <c r="E29" s="23">
        <f>C27-E28</f>
        <v>500000</v>
      </c>
      <c r="J29" s="32" t="s">
        <v>43</v>
      </c>
      <c r="K29" s="32"/>
      <c r="L29" s="4"/>
      <c r="Q29" s="32" t="s">
        <v>133</v>
      </c>
      <c r="R29" s="32"/>
      <c r="S29" s="4"/>
    </row>
    <row r="30" spans="1:22" x14ac:dyDescent="0.25">
      <c r="C30" s="3">
        <f>SUM(C27:C29)</f>
        <v>800000</v>
      </c>
      <c r="E30" s="3">
        <f>SUM(E27:E29)</f>
        <v>800000</v>
      </c>
      <c r="I30" s="17" t="s">
        <v>3</v>
      </c>
      <c r="J30" s="20">
        <f>J5+J12+J21</f>
        <v>1300000</v>
      </c>
      <c r="K30" s="11"/>
      <c r="L30" s="11"/>
      <c r="P30" s="17" t="s">
        <v>3</v>
      </c>
      <c r="Q30" s="20">
        <f>S25</f>
        <v>20000</v>
      </c>
      <c r="R30" s="11" t="s">
        <v>132</v>
      </c>
      <c r="S30" s="11">
        <f>S24</f>
        <v>15000</v>
      </c>
    </row>
    <row r="31" spans="1:22" x14ac:dyDescent="0.25">
      <c r="J31" s="21"/>
      <c r="K31" s="11" t="s">
        <v>92</v>
      </c>
      <c r="L31" s="11">
        <f>L6+L13+L22</f>
        <v>350000</v>
      </c>
      <c r="Q31" s="21"/>
      <c r="R31" s="11" t="s">
        <v>33</v>
      </c>
      <c r="S31" s="11">
        <f>S26</f>
        <v>5000</v>
      </c>
    </row>
    <row r="32" spans="1:22" x14ac:dyDescent="0.25">
      <c r="I32" s="6"/>
      <c r="J32" s="21"/>
      <c r="K32" s="24" t="s">
        <v>93</v>
      </c>
      <c r="L32" s="24">
        <f>L14+L23</f>
        <v>950000</v>
      </c>
      <c r="Q32" s="8"/>
    </row>
    <row r="33" spans="1:19" x14ac:dyDescent="0.25">
      <c r="A33" t="s">
        <v>99</v>
      </c>
      <c r="I33" s="6"/>
      <c r="J33" s="18"/>
      <c r="K33" s="24" t="s">
        <v>102</v>
      </c>
      <c r="L33" s="24">
        <f>L15+L24</f>
        <v>0</v>
      </c>
      <c r="Q33" s="8"/>
      <c r="R33" s="11"/>
      <c r="S33" s="11"/>
    </row>
    <row r="34" spans="1:19" x14ac:dyDescent="0.25">
      <c r="B34" s="4"/>
      <c r="C34" s="33" t="s">
        <v>43</v>
      </c>
      <c r="D34" s="33"/>
      <c r="E34" s="23"/>
      <c r="I34" s="4"/>
      <c r="J34" s="19"/>
      <c r="K34" s="4"/>
      <c r="L34" s="4"/>
      <c r="P34" s="4"/>
      <c r="Q34" s="22"/>
      <c r="R34" s="23"/>
      <c r="S34" s="23"/>
    </row>
    <row r="35" spans="1:19" x14ac:dyDescent="0.25">
      <c r="B35" s="17" t="s">
        <v>100</v>
      </c>
      <c r="C35" s="20">
        <f>200000*1.25-1000</f>
        <v>249000</v>
      </c>
      <c r="D35" s="11"/>
      <c r="E35" s="11"/>
      <c r="J35" s="21">
        <f>SUM(J30:J32)</f>
        <v>1300000</v>
      </c>
      <c r="K35" s="11"/>
      <c r="L35" s="24">
        <f>SUM(L31:L33)</f>
        <v>1300000</v>
      </c>
      <c r="Q35" s="24">
        <f>SUM(Q30:Q34)</f>
        <v>20000</v>
      </c>
      <c r="R35" s="11"/>
      <c r="S35" s="24">
        <f>SUM(S30:S34)</f>
        <v>20000</v>
      </c>
    </row>
    <row r="36" spans="1:19" x14ac:dyDescent="0.25">
      <c r="C36" s="21"/>
      <c r="D36" s="11" t="s">
        <v>92</v>
      </c>
      <c r="E36" s="11">
        <f>200000*1</f>
        <v>200000</v>
      </c>
    </row>
    <row r="37" spans="1:19" x14ac:dyDescent="0.25">
      <c r="C37" s="24"/>
      <c r="D37" s="24" t="s">
        <v>93</v>
      </c>
      <c r="E37" s="24">
        <f>200000*(1.25-1)</f>
        <v>50000</v>
      </c>
    </row>
    <row r="38" spans="1:19" x14ac:dyDescent="0.25">
      <c r="B38" s="4"/>
      <c r="C38" s="22"/>
      <c r="D38" s="23" t="s">
        <v>33</v>
      </c>
      <c r="E38" s="23">
        <v>-1000</v>
      </c>
    </row>
    <row r="39" spans="1:19" x14ac:dyDescent="0.25">
      <c r="C39" s="3">
        <f>SUM(C35:C38)</f>
        <v>249000</v>
      </c>
      <c r="E39" s="3">
        <f>SUM(E35:E38)</f>
        <v>249000</v>
      </c>
      <c r="H39" t="s">
        <v>107</v>
      </c>
    </row>
    <row r="40" spans="1:19" x14ac:dyDescent="0.25">
      <c r="H40" s="26" t="s">
        <v>108</v>
      </c>
      <c r="I40" s="27"/>
      <c r="J40" s="29"/>
      <c r="K40" s="28" t="s">
        <v>109</v>
      </c>
    </row>
    <row r="41" spans="1:19" x14ac:dyDescent="0.25">
      <c r="H41" s="25" t="s">
        <v>110</v>
      </c>
      <c r="I41" s="24"/>
      <c r="J41" s="18"/>
      <c r="K41" s="21">
        <v>100000</v>
      </c>
    </row>
    <row r="42" spans="1:19" x14ac:dyDescent="0.25">
      <c r="H42" s="25" t="s">
        <v>93</v>
      </c>
      <c r="I42" s="24"/>
      <c r="J42" s="18"/>
      <c r="K42" s="21">
        <v>500000</v>
      </c>
    </row>
    <row r="43" spans="1:19" x14ac:dyDescent="0.25">
      <c r="H43" s="25" t="s">
        <v>36</v>
      </c>
      <c r="I43" s="24"/>
      <c r="J43" s="18"/>
      <c r="K43" s="21">
        <v>600000</v>
      </c>
    </row>
    <row r="44" spans="1:19" x14ac:dyDescent="0.25">
      <c r="H44" s="26" t="s">
        <v>111</v>
      </c>
      <c r="I44" s="27"/>
      <c r="J44" s="29"/>
      <c r="K44" s="28">
        <v>1200000</v>
      </c>
    </row>
    <row r="46" spans="1:19" x14ac:dyDescent="0.25">
      <c r="H46" t="s">
        <v>104</v>
      </c>
    </row>
    <row r="47" spans="1:19" x14ac:dyDescent="0.25">
      <c r="J47" s="32" t="s">
        <v>43</v>
      </c>
      <c r="K47" s="32"/>
      <c r="L47" s="4"/>
    </row>
    <row r="48" spans="1:19" x14ac:dyDescent="0.25">
      <c r="I48" s="17" t="s">
        <v>3</v>
      </c>
      <c r="J48" s="20">
        <f>-4000*75</f>
        <v>-300000</v>
      </c>
      <c r="K48" s="11"/>
      <c r="L48" s="11"/>
    </row>
    <row r="49" spans="8:12" x14ac:dyDescent="0.25">
      <c r="J49" s="21"/>
      <c r="K49" s="11" t="s">
        <v>92</v>
      </c>
      <c r="L49" s="11">
        <f>-4000*10</f>
        <v>-40000</v>
      </c>
    </row>
    <row r="50" spans="8:12" x14ac:dyDescent="0.25">
      <c r="I50" s="6"/>
      <c r="J50" s="21"/>
      <c r="K50" s="24" t="s">
        <v>93</v>
      </c>
      <c r="L50" s="24">
        <f>-4000*(75-10)</f>
        <v>-260000</v>
      </c>
    </row>
    <row r="51" spans="8:12" x14ac:dyDescent="0.25">
      <c r="I51" s="6"/>
      <c r="J51" s="18"/>
      <c r="K51" s="24"/>
      <c r="L51" s="24"/>
    </row>
    <row r="52" spans="8:12" x14ac:dyDescent="0.25">
      <c r="I52" s="4"/>
      <c r="J52" s="19"/>
      <c r="K52" s="4"/>
      <c r="L52" s="4"/>
    </row>
    <row r="53" spans="8:12" x14ac:dyDescent="0.25">
      <c r="J53" s="21">
        <f>SUM(J48:J50)</f>
        <v>-300000</v>
      </c>
      <c r="K53" s="11"/>
      <c r="L53" s="24">
        <f>SUM(L49:L51)</f>
        <v>-300000</v>
      </c>
    </row>
    <row r="55" spans="8:12" x14ac:dyDescent="0.25">
      <c r="H55" t="s">
        <v>112</v>
      </c>
    </row>
    <row r="56" spans="8:12" x14ac:dyDescent="0.25">
      <c r="J56" s="32" t="s">
        <v>43</v>
      </c>
      <c r="K56" s="32"/>
      <c r="L56" s="4"/>
    </row>
    <row r="57" spans="8:12" x14ac:dyDescent="0.25">
      <c r="I57" s="17" t="s">
        <v>3</v>
      </c>
      <c r="J57" s="20">
        <f>K44+J48</f>
        <v>900000</v>
      </c>
      <c r="K57" s="11"/>
      <c r="L57" s="11"/>
    </row>
    <row r="58" spans="8:12" x14ac:dyDescent="0.25">
      <c r="J58" s="21"/>
      <c r="K58" s="11" t="s">
        <v>92</v>
      </c>
      <c r="L58" s="11">
        <f>K41+L49</f>
        <v>60000</v>
      </c>
    </row>
    <row r="59" spans="8:12" x14ac:dyDescent="0.25">
      <c r="I59" s="6"/>
      <c r="J59" s="21"/>
      <c r="K59" s="24" t="s">
        <v>93</v>
      </c>
      <c r="L59" s="24">
        <f>K42+L50</f>
        <v>240000</v>
      </c>
    </row>
    <row r="60" spans="8:12" x14ac:dyDescent="0.25">
      <c r="I60" s="6"/>
      <c r="J60" s="18"/>
      <c r="K60" s="24" t="s">
        <v>113</v>
      </c>
      <c r="L60" s="24">
        <f>K43</f>
        <v>600000</v>
      </c>
    </row>
    <row r="61" spans="8:12" x14ac:dyDescent="0.25">
      <c r="I61" s="4"/>
      <c r="J61" s="19"/>
      <c r="K61" s="4"/>
      <c r="L61" s="4"/>
    </row>
    <row r="62" spans="8:12" x14ac:dyDescent="0.25">
      <c r="J62" s="21">
        <f>SUM(J57:J59)</f>
        <v>900000</v>
      </c>
      <c r="K62" s="11"/>
      <c r="L62" s="24">
        <f>SUM(L58:L60)</f>
        <v>900000</v>
      </c>
    </row>
  </sheetData>
  <mergeCells count="14">
    <mergeCell ref="C3:D3"/>
    <mergeCell ref="C9:D9"/>
    <mergeCell ref="C15:D15"/>
    <mergeCell ref="C26:D26"/>
    <mergeCell ref="C34:D34"/>
    <mergeCell ref="J47:K47"/>
    <mergeCell ref="J56:K56"/>
    <mergeCell ref="Q4:R4"/>
    <mergeCell ref="Q14:R14"/>
    <mergeCell ref="Q29:R29"/>
    <mergeCell ref="J4:K4"/>
    <mergeCell ref="J11:K11"/>
    <mergeCell ref="J20:K20"/>
    <mergeCell ref="J29:K2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Oleksandra</dc:creator>
  <cp:lastModifiedBy>CIKT</cp:lastModifiedBy>
  <dcterms:created xsi:type="dcterms:W3CDTF">2018-11-04T15:47:01Z</dcterms:created>
  <dcterms:modified xsi:type="dcterms:W3CDTF">2018-11-19T17:58:01Z</dcterms:modified>
</cp:coreProperties>
</file>