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FRS for SMEs 2018\Seminars\"/>
    </mc:Choice>
  </mc:AlternateContent>
  <bookViews>
    <workbookView xWindow="0" yWindow="0" windowWidth="19200" windowHeight="6945"/>
  </bookViews>
  <sheets>
    <sheet name="Sheet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5" l="1"/>
  <c r="W32" i="5"/>
  <c r="V32" i="5"/>
  <c r="W31" i="5"/>
  <c r="X31" i="5"/>
  <c r="X28" i="5"/>
  <c r="X18" i="5"/>
  <c r="W18" i="5"/>
  <c r="V17" i="5"/>
  <c r="Y6" i="5"/>
  <c r="Y20" i="5"/>
  <c r="X20" i="5"/>
  <c r="W20" i="5"/>
  <c r="V20" i="5"/>
  <c r="Y19" i="5"/>
  <c r="X19" i="5"/>
  <c r="W19" i="5"/>
  <c r="Y8" i="5"/>
  <c r="Y7" i="5"/>
  <c r="X8" i="5"/>
  <c r="W8" i="5"/>
  <c r="V8" i="5"/>
  <c r="X7" i="5"/>
  <c r="W7" i="5"/>
  <c r="V7" i="5"/>
  <c r="Y3" i="5"/>
  <c r="N37" i="5"/>
  <c r="P33" i="5"/>
  <c r="P23" i="5"/>
  <c r="O24" i="5"/>
  <c r="O23" i="5"/>
  <c r="N23" i="5"/>
  <c r="AB39" i="5"/>
  <c r="AB20" i="5"/>
  <c r="AB21" i="5"/>
  <c r="AB19" i="5"/>
  <c r="AD9" i="5"/>
  <c r="AC9" i="5"/>
  <c r="AB9" i="5"/>
  <c r="AD7" i="5"/>
  <c r="AC7" i="5"/>
  <c r="AB7" i="5"/>
  <c r="Q6" i="5"/>
  <c r="R4" i="5"/>
  <c r="N8" i="5"/>
  <c r="AB40" i="5" l="1"/>
  <c r="AB38" i="5"/>
  <c r="AE17" i="5"/>
  <c r="AD8" i="5"/>
  <c r="AC8" i="5"/>
  <c r="AD6" i="5"/>
  <c r="AC6" i="5"/>
  <c r="AB6" i="5"/>
  <c r="V29" i="5"/>
  <c r="V31" i="5" s="1"/>
  <c r="X27" i="5"/>
  <c r="W28" i="5" s="1"/>
  <c r="V19" i="5"/>
  <c r="Y13" i="5"/>
  <c r="Y17" i="5" s="1"/>
  <c r="W17" i="5" s="1"/>
  <c r="O31" i="5"/>
  <c r="O32" i="5"/>
  <c r="O30" i="5"/>
  <c r="O29" i="5"/>
  <c r="O28" i="5"/>
  <c r="O27" i="5"/>
  <c r="O26" i="5"/>
  <c r="O25" i="5"/>
  <c r="N32" i="5"/>
  <c r="P32" i="5" s="1"/>
  <c r="N31" i="5"/>
  <c r="N30" i="5"/>
  <c r="N29" i="5"/>
  <c r="N28" i="5"/>
  <c r="N27" i="5"/>
  <c r="P27" i="5" s="1"/>
  <c r="N26" i="5"/>
  <c r="N25" i="5"/>
  <c r="N24" i="5"/>
  <c r="M10" i="5"/>
  <c r="Q11" i="5"/>
  <c r="M8" i="5"/>
  <c r="L8" i="5"/>
  <c r="N5" i="5"/>
  <c r="M5" i="5"/>
  <c r="L5" i="5"/>
  <c r="F26" i="5"/>
  <c r="F31" i="5"/>
  <c r="B31" i="5"/>
  <c r="B17" i="5"/>
  <c r="B16" i="5"/>
  <c r="B8" i="5"/>
  <c r="D6" i="5"/>
  <c r="D7" i="5" s="1"/>
  <c r="D8" i="5" s="1"/>
  <c r="C6" i="5"/>
  <c r="C7" i="5" s="1"/>
  <c r="B6" i="5"/>
  <c r="AB22" i="5" l="1"/>
  <c r="W29" i="5"/>
  <c r="P25" i="5"/>
  <c r="P29" i="5"/>
  <c r="P26" i="5"/>
  <c r="P30" i="5"/>
  <c r="P24" i="5"/>
  <c r="P28" i="5"/>
  <c r="N9" i="5"/>
  <c r="R13" i="5" s="1"/>
  <c r="P31" i="5"/>
  <c r="H4" i="5"/>
  <c r="G11" i="5" s="1"/>
  <c r="C8" i="5"/>
  <c r="M44" i="5" l="1"/>
  <c r="L20" i="5"/>
</calcChain>
</file>

<file path=xl/sharedStrings.xml><?xml version="1.0" encoding="utf-8"?>
<sst xmlns="http://schemas.openxmlformats.org/spreadsheetml/2006/main" count="145" uniqueCount="99">
  <si>
    <t>Ex 1</t>
  </si>
  <si>
    <t>Stock</t>
  </si>
  <si>
    <t>Ex 2</t>
  </si>
  <si>
    <t>Cost</t>
  </si>
  <si>
    <t>NRV</t>
  </si>
  <si>
    <t>Ex 3</t>
  </si>
  <si>
    <t>Ex 6</t>
  </si>
  <si>
    <t>Ex 7</t>
  </si>
  <si>
    <t>Item X</t>
  </si>
  <si>
    <t>Item Y</t>
  </si>
  <si>
    <t>Item Z</t>
  </si>
  <si>
    <t>Carrying amount</t>
  </si>
  <si>
    <t>Selling price estimated at 31/12/20X0</t>
  </si>
  <si>
    <t>Costs to sell estimated at 31/12/20X0</t>
  </si>
  <si>
    <t>Selling price less cost to sell</t>
  </si>
  <si>
    <t>Impairment loss for the year ended 31/12/20X0</t>
  </si>
  <si>
    <t>Carrying amount of the inventory after recognition of impairment loss</t>
  </si>
  <si>
    <t>Impairment (P/L)</t>
  </si>
  <si>
    <t>Selling price less cost to complete and sell</t>
  </si>
  <si>
    <t>Carrying amount (cost c/f)</t>
  </si>
  <si>
    <t>Insurance compensation</t>
  </si>
  <si>
    <t>Receivable</t>
  </si>
  <si>
    <t>Bank</t>
  </si>
  <si>
    <t>as per 30/9/16</t>
  </si>
  <si>
    <t>as per 15/11/16</t>
  </si>
  <si>
    <t>as per 30/11/16</t>
  </si>
  <si>
    <t>Accumulated impairment loss at 31/12/20X0</t>
  </si>
  <si>
    <t>Carrying amount at 31/12/20X1 before impairment test</t>
  </si>
  <si>
    <t>Selling price estimated at 31/12/20X1</t>
  </si>
  <si>
    <t>Costs to sell estimated at 31/12/20X1</t>
  </si>
  <si>
    <t>Impairment loss for the year ended 31/12/20X1</t>
  </si>
  <si>
    <t>Reversal of impairment loss for the year ended 31/12/20X1</t>
  </si>
  <si>
    <t>Ex. 4</t>
  </si>
  <si>
    <t>Year 1</t>
  </si>
  <si>
    <t>Year 2</t>
  </si>
  <si>
    <t>Ex.5</t>
  </si>
  <si>
    <t>NBV</t>
  </si>
  <si>
    <t>Value in use</t>
  </si>
  <si>
    <t>Year</t>
  </si>
  <si>
    <t>Estimated future cash flow</t>
  </si>
  <si>
    <t>Probability</t>
  </si>
  <si>
    <t>Probability-weighted future cash flow</t>
  </si>
  <si>
    <t>Present value factor14%</t>
  </si>
  <si>
    <t>Discounted cash flow</t>
  </si>
  <si>
    <t>20X1</t>
  </si>
  <si>
    <t>20X2</t>
  </si>
  <si>
    <t>20X3</t>
  </si>
  <si>
    <t>20X4</t>
  </si>
  <si>
    <t>20X5</t>
  </si>
  <si>
    <t>20X6</t>
  </si>
  <si>
    <t>20X7</t>
  </si>
  <si>
    <t>20X8</t>
  </si>
  <si>
    <t>20X9</t>
  </si>
  <si>
    <t>20X0</t>
  </si>
  <si>
    <t>PPE</t>
  </si>
  <si>
    <t>Machine A</t>
  </si>
  <si>
    <t>Machine B</t>
  </si>
  <si>
    <t>Machine C</t>
  </si>
  <si>
    <t>Machine’s carrying amount in relation to the cash-generating unit’s carrying amount (%)</t>
  </si>
  <si>
    <t>Impairment loss (unallocated)</t>
  </si>
  <si>
    <t>Impairment loss (allocated)</t>
  </si>
  <si>
    <t>TOTAL</t>
  </si>
  <si>
    <t>x</t>
  </si>
  <si>
    <t>Recoverable amount</t>
  </si>
  <si>
    <t>Carrying amount adjusted</t>
  </si>
  <si>
    <t>Second apportionment</t>
  </si>
  <si>
    <t>Ex 8</t>
  </si>
  <si>
    <t>Goodwill</t>
  </si>
  <si>
    <t>Identifiable assets</t>
  </si>
  <si>
    <t>Total</t>
  </si>
  <si>
    <t>Historical cost</t>
  </si>
  <si>
    <t>Accumulated amortization/depreciation (20X2)</t>
  </si>
  <si>
    <t>Impairment loss</t>
  </si>
  <si>
    <t>Carrying amount after impairment loss</t>
  </si>
  <si>
    <t>Country A</t>
  </si>
  <si>
    <t>Ex 1 (scan)</t>
  </si>
  <si>
    <t xml:space="preserve">Value in use </t>
  </si>
  <si>
    <t>A</t>
  </si>
  <si>
    <t>B</t>
  </si>
  <si>
    <t>C</t>
  </si>
  <si>
    <t>Ex 2 (scan)</t>
  </si>
  <si>
    <t>t = 8 years, Residual value=0</t>
  </si>
  <si>
    <t>Depreciation charge=</t>
  </si>
  <si>
    <t>NBV adjusted</t>
  </si>
  <si>
    <t>Ex 3 (scan)</t>
  </si>
  <si>
    <t>Cost (after revaluation)</t>
  </si>
  <si>
    <t>Revaluation:</t>
  </si>
  <si>
    <t>Db PPE</t>
  </si>
  <si>
    <t>Db Ac. Depreciation</t>
  </si>
  <si>
    <t>Cr Revaluation surplus</t>
  </si>
  <si>
    <t>200,000-x</t>
  </si>
  <si>
    <t>Impairment</t>
  </si>
  <si>
    <t>Cr PPE</t>
  </si>
  <si>
    <t>Db Revaluation surplus</t>
  </si>
  <si>
    <t>Db Imparment loss</t>
  </si>
  <si>
    <t>new carrying amount as per end of 20x1</t>
  </si>
  <si>
    <t>max</t>
  </si>
  <si>
    <t>min</t>
  </si>
  <si>
    <t>NBV (carrying amount) before impairment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</si>
</sst>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č_-;\-* #,##0.00\ _K_č_-;_-* &quot;-&quot;??\ _K_č_-;_-@_-"/>
    <numFmt numFmtId="164" formatCode="_(* #,##0.00_);_(* \(#,##0.00\);_(* &quot;-&quot;??_);_(@_)"/>
    <numFmt numFmtId="165" formatCode="_-* #,##0\ _K_č_-;\-* #,##0\ _K_č_-;_-* &quot;-&quot;??\ _K_č_-;_-@_-"/>
    <numFmt numFmtId="166" formatCode="_(* #,##0_);_(* \(#,##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3" fillId="0" borderId="0" xfId="0" applyFont="1"/>
    <xf numFmtId="165" fontId="0" fillId="0" borderId="1" xfId="1" applyNumberFormat="1" applyFont="1" applyBorder="1"/>
    <xf numFmtId="165" fontId="0" fillId="2" borderId="0" xfId="0" applyNumberFormat="1" applyFill="1"/>
    <xf numFmtId="0" fontId="0" fillId="0" borderId="0" xfId="0" applyBorder="1"/>
    <xf numFmtId="0" fontId="0" fillId="0" borderId="2" xfId="0" applyBorder="1"/>
    <xf numFmtId="0" fontId="0" fillId="0" borderId="3" xfId="0" applyBorder="1"/>
    <xf numFmtId="165" fontId="0" fillId="0" borderId="0" xfId="0" applyNumberFormat="1"/>
    <xf numFmtId="165" fontId="0" fillId="0" borderId="3" xfId="0" applyNumberFormat="1" applyBorder="1"/>
    <xf numFmtId="165" fontId="0" fillId="0" borderId="0" xfId="1" applyNumberFormat="1" applyFont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5" fontId="0" fillId="0" borderId="0" xfId="1" applyNumberFormat="1" applyFont="1" applyBorder="1"/>
    <xf numFmtId="0" fontId="5" fillId="0" borderId="0" xfId="0" applyFont="1" applyBorder="1" applyAlignment="1">
      <alignment vertical="center" wrapText="1"/>
    </xf>
    <xf numFmtId="165" fontId="0" fillId="2" borderId="0" xfId="1" applyNumberFormat="1" applyFont="1" applyFill="1" applyBorder="1"/>
    <xf numFmtId="0" fontId="5" fillId="0" borderId="1" xfId="0" applyFont="1" applyBorder="1" applyAlignment="1">
      <alignment vertical="center" wrapText="1"/>
    </xf>
    <xf numFmtId="3" fontId="0" fillId="0" borderId="3" xfId="0" applyNumberFormat="1" applyBorder="1"/>
    <xf numFmtId="3" fontId="0" fillId="0" borderId="0" xfId="0" applyNumberFormat="1"/>
    <xf numFmtId="3" fontId="0" fillId="0" borderId="0" xfId="0" applyNumberFormat="1" applyBorder="1"/>
    <xf numFmtId="3" fontId="0" fillId="0" borderId="2" xfId="0" applyNumberFormat="1" applyBorder="1"/>
    <xf numFmtId="0" fontId="5" fillId="3" borderId="0" xfId="0" applyFont="1" applyFill="1" applyBorder="1" applyAlignment="1">
      <alignment vertical="center" wrapText="1"/>
    </xf>
    <xf numFmtId="165" fontId="0" fillId="3" borderId="0" xfId="1" applyNumberFormat="1" applyFont="1" applyFill="1" applyBorder="1"/>
    <xf numFmtId="0" fontId="5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5" fontId="2" fillId="2" borderId="0" xfId="1" applyNumberFormat="1" applyFont="1" applyFill="1" applyBorder="1"/>
    <xf numFmtId="0" fontId="5" fillId="2" borderId="0" xfId="0" applyFont="1" applyFill="1" applyBorder="1" applyAlignment="1">
      <alignment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5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6" fontId="1" fillId="0" borderId="0" xfId="0" applyNumberFormat="1" applyFont="1" applyBorder="1" applyAlignment="1">
      <alignment vertical="center"/>
    </xf>
    <xf numFmtId="166" fontId="0" fillId="0" borderId="0" xfId="0" applyNumberFormat="1"/>
    <xf numFmtId="166" fontId="0" fillId="0" borderId="0" xfId="0" applyNumberFormat="1" applyBorder="1"/>
    <xf numFmtId="0" fontId="0" fillId="0" borderId="0" xfId="0" applyFill="1" applyBorder="1"/>
    <xf numFmtId="0" fontId="0" fillId="2" borderId="0" xfId="0" applyFill="1" applyBorder="1"/>
    <xf numFmtId="166" fontId="0" fillId="2" borderId="0" xfId="0" applyNumberFormat="1" applyFill="1"/>
    <xf numFmtId="164" fontId="0" fillId="0" borderId="0" xfId="0" applyNumberFormat="1" applyBorder="1"/>
    <xf numFmtId="166" fontId="1" fillId="0" borderId="1" xfId="0" applyNumberFormat="1" applyFont="1" applyBorder="1" applyAlignment="1">
      <alignment vertical="center"/>
    </xf>
    <xf numFmtId="166" fontId="1" fillId="2" borderId="0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0" fontId="0" fillId="0" borderId="1" xfId="0" applyFill="1" applyBorder="1"/>
    <xf numFmtId="0" fontId="0" fillId="2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66" fontId="1" fillId="0" borderId="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99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17320</xdr:colOff>
      <xdr:row>15</xdr:row>
      <xdr:rowOff>5775</xdr:rowOff>
    </xdr:from>
    <xdr:to>
      <xdr:col>23</xdr:col>
      <xdr:colOff>865909</xdr:colOff>
      <xdr:row>15</xdr:row>
      <xdr:rowOff>167413</xdr:rowOff>
    </xdr:to>
    <xdr:sp macro="" textlink="">
      <xdr:nvSpPr>
        <xdr:cNvPr id="4" name="Right Brace 3"/>
        <xdr:cNvSpPr/>
      </xdr:nvSpPr>
      <xdr:spPr>
        <a:xfrm rot="5400000">
          <a:off x="23861568" y="3379936"/>
          <a:ext cx="161638" cy="172604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abSelected="1" topLeftCell="R18" zoomScale="145" zoomScaleNormal="145" workbookViewId="0">
      <selection activeCell="V17" sqref="V17"/>
    </sheetView>
  </sheetViews>
  <sheetFormatPr defaultRowHeight="15" x14ac:dyDescent="0.25"/>
  <cols>
    <col min="1" max="1" width="35.42578125" customWidth="1"/>
    <col min="2" max="4" width="13.5703125" customWidth="1"/>
    <col min="5" max="6" width="10.5703125" customWidth="1"/>
    <col min="7" max="8" width="10.85546875" customWidth="1"/>
    <col min="9" max="9" width="12.5703125" customWidth="1"/>
    <col min="11" max="11" width="43.28515625" customWidth="1"/>
    <col min="12" max="12" width="16.42578125" customWidth="1"/>
    <col min="13" max="14" width="12.140625" customWidth="1"/>
    <col min="15" max="15" width="5.42578125" style="31" customWidth="1"/>
    <col min="16" max="16" width="15.85546875" bestFit="1" customWidth="1"/>
    <col min="17" max="17" width="12.42578125" customWidth="1"/>
    <col min="18" max="18" width="10.85546875" bestFit="1" customWidth="1"/>
    <col min="21" max="21" width="38.28515625" customWidth="1"/>
    <col min="22" max="24" width="12.5703125" customWidth="1"/>
    <col min="25" max="25" width="12.85546875" customWidth="1"/>
    <col min="27" max="27" width="17.42578125" customWidth="1"/>
    <col min="28" max="28" width="12.42578125" customWidth="1"/>
  </cols>
  <sheetData>
    <row r="1" spans="1:31" x14ac:dyDescent="0.25">
      <c r="A1" s="2" t="s">
        <v>0</v>
      </c>
      <c r="K1" s="2" t="s">
        <v>32</v>
      </c>
      <c r="U1" s="2" t="s">
        <v>6</v>
      </c>
      <c r="AA1" s="2" t="s">
        <v>75</v>
      </c>
    </row>
    <row r="2" spans="1:31" x14ac:dyDescent="0.25">
      <c r="A2" s="13"/>
      <c r="B2" s="14" t="s">
        <v>8</v>
      </c>
      <c r="C2" s="14" t="s">
        <v>9</v>
      </c>
      <c r="D2" s="14" t="s">
        <v>10</v>
      </c>
      <c r="F2" s="5"/>
      <c r="G2" s="55" t="s">
        <v>1</v>
      </c>
      <c r="H2" s="55"/>
      <c r="I2" s="5"/>
      <c r="K2" s="13"/>
      <c r="L2" s="14" t="s">
        <v>8</v>
      </c>
      <c r="M2" s="14" t="s">
        <v>9</v>
      </c>
      <c r="N2" s="14" t="s">
        <v>10</v>
      </c>
      <c r="O2" s="32"/>
      <c r="Q2" s="55" t="s">
        <v>1</v>
      </c>
      <c r="R2" s="55"/>
      <c r="U2" s="13"/>
      <c r="V2" s="14" t="s">
        <v>55</v>
      </c>
      <c r="W2" s="14" t="s">
        <v>56</v>
      </c>
      <c r="X2" s="14" t="s">
        <v>57</v>
      </c>
      <c r="Y2" s="32" t="s">
        <v>61</v>
      </c>
      <c r="AB2" s="32" t="s">
        <v>77</v>
      </c>
      <c r="AC2" s="32" t="s">
        <v>78</v>
      </c>
      <c r="AD2" s="32" t="s">
        <v>79</v>
      </c>
    </row>
    <row r="3" spans="1:31" x14ac:dyDescent="0.25">
      <c r="A3" s="15" t="s">
        <v>11</v>
      </c>
      <c r="B3" s="16">
        <v>50000</v>
      </c>
      <c r="C3" s="16">
        <v>75000</v>
      </c>
      <c r="D3" s="16">
        <v>100000</v>
      </c>
      <c r="F3" s="5"/>
      <c r="G3" s="6"/>
      <c r="I3" s="5"/>
      <c r="K3" s="15" t="s">
        <v>11</v>
      </c>
      <c r="L3" s="16">
        <v>70000</v>
      </c>
      <c r="M3" s="16">
        <v>86000</v>
      </c>
      <c r="N3" s="16">
        <v>150000</v>
      </c>
      <c r="O3" s="33"/>
      <c r="Q3" s="6"/>
      <c r="U3" s="15" t="s">
        <v>11</v>
      </c>
      <c r="V3" s="40">
        <v>13000</v>
      </c>
      <c r="W3" s="40">
        <v>29250</v>
      </c>
      <c r="X3" s="40">
        <v>22750</v>
      </c>
      <c r="Y3" s="41">
        <f>SUM(V3:X3)</f>
        <v>65000</v>
      </c>
      <c r="AA3" s="5" t="s">
        <v>11</v>
      </c>
      <c r="AB3" s="5">
        <v>100</v>
      </c>
      <c r="AC3" s="5">
        <v>150</v>
      </c>
      <c r="AD3" s="5">
        <v>120</v>
      </c>
    </row>
    <row r="4" spans="1:31" ht="42.75" x14ac:dyDescent="0.25">
      <c r="A4" s="15" t="s">
        <v>12</v>
      </c>
      <c r="B4" s="16">
        <v>55000</v>
      </c>
      <c r="C4" s="16">
        <v>75000</v>
      </c>
      <c r="D4" s="16">
        <v>115000</v>
      </c>
      <c r="F4" s="5"/>
      <c r="G4" s="7"/>
      <c r="H4" s="8">
        <f>-SUM(B7:D7)</f>
        <v>15000</v>
      </c>
      <c r="I4" s="5"/>
      <c r="K4" s="15" t="s">
        <v>26</v>
      </c>
      <c r="L4" s="16">
        <v>-10000</v>
      </c>
      <c r="M4" s="16">
        <v>-2000</v>
      </c>
      <c r="N4" s="16">
        <v>0</v>
      </c>
      <c r="O4" s="33"/>
      <c r="Q4" s="7"/>
      <c r="R4" s="8">
        <f>L4+M4</f>
        <v>-12000</v>
      </c>
      <c r="S4" t="s">
        <v>33</v>
      </c>
      <c r="U4" s="39" t="s">
        <v>58</v>
      </c>
      <c r="V4" s="38">
        <v>0.2</v>
      </c>
      <c r="W4" s="38">
        <v>0.45</v>
      </c>
      <c r="X4" s="38">
        <v>0.35</v>
      </c>
      <c r="AA4" s="5" t="s">
        <v>4</v>
      </c>
      <c r="AB4" s="5">
        <v>110</v>
      </c>
      <c r="AC4" s="5">
        <v>125</v>
      </c>
      <c r="AD4" s="5">
        <v>100</v>
      </c>
    </row>
    <row r="5" spans="1:31" ht="28.5" x14ac:dyDescent="0.25">
      <c r="A5" s="15" t="s">
        <v>13</v>
      </c>
      <c r="B5" s="16">
        <v>-5000</v>
      </c>
      <c r="C5" s="16">
        <v>-10000</v>
      </c>
      <c r="D5" s="16">
        <v>-20000</v>
      </c>
      <c r="F5" s="5"/>
      <c r="G5" s="7"/>
      <c r="I5" s="5"/>
      <c r="K5" s="24" t="s">
        <v>27</v>
      </c>
      <c r="L5" s="25">
        <f>SUM(L3:L4)</f>
        <v>60000</v>
      </c>
      <c r="M5" s="25">
        <f t="shared" ref="M5:N5" si="0">SUM(M3:M4)</f>
        <v>84000</v>
      </c>
      <c r="N5" s="25">
        <f t="shared" si="0"/>
        <v>150000</v>
      </c>
      <c r="O5" s="33"/>
      <c r="Q5" s="7"/>
      <c r="U5" t="s">
        <v>63</v>
      </c>
      <c r="V5" s="40" t="s">
        <v>62</v>
      </c>
      <c r="W5" s="40" t="s">
        <v>62</v>
      </c>
      <c r="X5" s="40" t="s">
        <v>62</v>
      </c>
      <c r="Y5" s="40">
        <v>55000</v>
      </c>
      <c r="AA5" s="1" t="s">
        <v>76</v>
      </c>
      <c r="AB5" s="1">
        <v>120</v>
      </c>
      <c r="AC5" s="1">
        <v>130</v>
      </c>
      <c r="AD5" s="1">
        <v>90</v>
      </c>
    </row>
    <row r="6" spans="1:31" x14ac:dyDescent="0.25">
      <c r="A6" s="15" t="s">
        <v>14</v>
      </c>
      <c r="B6" s="16">
        <f>SUM(B4:B5)</f>
        <v>50000</v>
      </c>
      <c r="C6" s="16">
        <f t="shared" ref="C6:D6" si="1">SUM(C4:C5)</f>
        <v>65000</v>
      </c>
      <c r="D6" s="16">
        <f t="shared" si="1"/>
        <v>95000</v>
      </c>
      <c r="F6" s="5"/>
      <c r="G6" s="7"/>
      <c r="I6" s="5"/>
      <c r="K6" s="15" t="s">
        <v>28</v>
      </c>
      <c r="L6" s="16">
        <v>69000</v>
      </c>
      <c r="M6" s="16">
        <v>94000</v>
      </c>
      <c r="N6" s="16">
        <v>175000</v>
      </c>
      <c r="O6" s="33"/>
      <c r="P6" t="s">
        <v>34</v>
      </c>
      <c r="Q6" s="9">
        <f>SUM(L9:N10)</f>
        <v>6000</v>
      </c>
      <c r="U6" s="5" t="s">
        <v>59</v>
      </c>
      <c r="V6" s="40" t="s">
        <v>62</v>
      </c>
      <c r="W6" s="40" t="s">
        <v>62</v>
      </c>
      <c r="X6" s="40" t="s">
        <v>62</v>
      </c>
      <c r="Y6" s="40">
        <f>Y5-Y3</f>
        <v>-10000</v>
      </c>
      <c r="AA6" s="49" t="s">
        <v>11</v>
      </c>
      <c r="AB6">
        <f>AB3</f>
        <v>100</v>
      </c>
      <c r="AC6">
        <f t="shared" ref="AC6:AD6" si="2">AC3</f>
        <v>150</v>
      </c>
      <c r="AD6">
        <f t="shared" si="2"/>
        <v>120</v>
      </c>
    </row>
    <row r="7" spans="1:31" ht="28.5" x14ac:dyDescent="0.25">
      <c r="A7" s="19" t="s">
        <v>15</v>
      </c>
      <c r="B7" s="3">
        <v>0</v>
      </c>
      <c r="C7" s="3">
        <f>C6-C3</f>
        <v>-10000</v>
      </c>
      <c r="D7" s="3">
        <f>D6-D3</f>
        <v>-5000</v>
      </c>
      <c r="F7" s="5"/>
      <c r="G7" s="7"/>
      <c r="I7" s="5"/>
      <c r="K7" s="15" t="s">
        <v>29</v>
      </c>
      <c r="L7" s="16">
        <v>-4000</v>
      </c>
      <c r="M7" s="16">
        <v>-5500</v>
      </c>
      <c r="N7" s="16">
        <v>-26000</v>
      </c>
      <c r="O7" s="33"/>
      <c r="Q7" s="7"/>
      <c r="U7" s="5" t="s">
        <v>60</v>
      </c>
      <c r="V7" s="42">
        <f>V4*$Y$6</f>
        <v>-2000</v>
      </c>
      <c r="W7" s="42">
        <f>W4*$Y$6</f>
        <v>-4500</v>
      </c>
      <c r="X7" s="42">
        <f>X4*$Y$6</f>
        <v>-3500</v>
      </c>
      <c r="Y7" s="41">
        <f>SUM(V7:X7)</f>
        <v>-10000</v>
      </c>
      <c r="AA7" s="50" t="s">
        <v>63</v>
      </c>
      <c r="AB7" s="1">
        <f>AB5</f>
        <v>120</v>
      </c>
      <c r="AC7" s="1">
        <f>AC5</f>
        <v>130</v>
      </c>
      <c r="AD7" s="1">
        <f>AD4</f>
        <v>100</v>
      </c>
      <c r="AE7" t="s">
        <v>96</v>
      </c>
    </row>
    <row r="8" spans="1:31" ht="28.5" x14ac:dyDescent="0.25">
      <c r="A8" s="17" t="s">
        <v>16</v>
      </c>
      <c r="B8" s="18">
        <f>B3+B7</f>
        <v>50000</v>
      </c>
      <c r="C8" s="18">
        <f t="shared" ref="C8:D8" si="3">C3+C7</f>
        <v>65000</v>
      </c>
      <c r="D8" s="18">
        <f t="shared" si="3"/>
        <v>95000</v>
      </c>
      <c r="F8" s="5"/>
      <c r="I8" s="5"/>
      <c r="K8" s="26" t="s">
        <v>14</v>
      </c>
      <c r="L8" s="25">
        <f>SUM(L6:L7)</f>
        <v>65000</v>
      </c>
      <c r="M8" s="25">
        <f t="shared" ref="M8:N8" si="4">SUM(M6:M7)</f>
        <v>88500</v>
      </c>
      <c r="N8" s="25">
        <f>SUM(N6:N7)</f>
        <v>149000</v>
      </c>
      <c r="O8" s="33"/>
      <c r="U8" s="44" t="s">
        <v>64</v>
      </c>
      <c r="V8" s="45">
        <f>V3+V7</f>
        <v>11000</v>
      </c>
      <c r="W8" s="45">
        <f>W3+W7</f>
        <v>24750</v>
      </c>
      <c r="X8" s="45">
        <f>X3+X7</f>
        <v>19250</v>
      </c>
      <c r="Y8" s="45">
        <f>SUM(V8:X8)</f>
        <v>55000</v>
      </c>
      <c r="AA8" s="43" t="s">
        <v>72</v>
      </c>
      <c r="AB8">
        <v>0</v>
      </c>
      <c r="AC8">
        <f>AC7-AC6</f>
        <v>-20</v>
      </c>
      <c r="AD8">
        <f>AD7-AD6</f>
        <v>-20</v>
      </c>
    </row>
    <row r="9" spans="1:31" x14ac:dyDescent="0.25">
      <c r="F9" s="5"/>
      <c r="G9" s="55" t="s">
        <v>17</v>
      </c>
      <c r="H9" s="55"/>
      <c r="I9" s="5"/>
      <c r="K9" s="28" t="s">
        <v>30</v>
      </c>
      <c r="L9" s="29">
        <v>0</v>
      </c>
      <c r="M9" s="29">
        <v>0</v>
      </c>
      <c r="N9" s="29">
        <f>N8-N5</f>
        <v>-1000</v>
      </c>
      <c r="O9" s="34"/>
      <c r="Q9" s="55" t="s">
        <v>17</v>
      </c>
      <c r="R9" s="55"/>
      <c r="AA9" s="44" t="s">
        <v>64</v>
      </c>
      <c r="AB9" s="51">
        <f>AB6+AB8</f>
        <v>100</v>
      </c>
      <c r="AC9" s="51">
        <f>AC6+AC8</f>
        <v>130</v>
      </c>
      <c r="AD9" s="51">
        <f>AD6+AD8</f>
        <v>100</v>
      </c>
      <c r="AE9" t="s">
        <v>97</v>
      </c>
    </row>
    <row r="10" spans="1:31" ht="28.5" x14ac:dyDescent="0.25">
      <c r="F10" s="5"/>
      <c r="G10" s="6"/>
      <c r="I10" s="5"/>
      <c r="K10" s="30" t="s">
        <v>31</v>
      </c>
      <c r="L10" s="29">
        <v>5000</v>
      </c>
      <c r="M10" s="29">
        <f>-M4</f>
        <v>2000</v>
      </c>
      <c r="N10" s="29">
        <v>0</v>
      </c>
      <c r="O10" s="34"/>
      <c r="Q10" s="6"/>
    </row>
    <row r="11" spans="1:31" x14ac:dyDescent="0.25">
      <c r="F11" s="5"/>
      <c r="G11" s="9">
        <f>H4</f>
        <v>15000</v>
      </c>
      <c r="K11" t="s">
        <v>95</v>
      </c>
      <c r="L11">
        <v>65000</v>
      </c>
      <c r="M11">
        <v>86000</v>
      </c>
      <c r="N11">
        <v>149000</v>
      </c>
      <c r="P11" t="s">
        <v>33</v>
      </c>
      <c r="Q11" s="9">
        <f>R4</f>
        <v>-12000</v>
      </c>
      <c r="U11" s="2" t="s">
        <v>7</v>
      </c>
    </row>
    <row r="12" spans="1:31" x14ac:dyDescent="0.25">
      <c r="G12" s="7"/>
      <c r="Q12" s="7"/>
      <c r="U12" s="13"/>
      <c r="V12" s="14" t="s">
        <v>55</v>
      </c>
      <c r="W12" s="14" t="s">
        <v>56</v>
      </c>
      <c r="X12" s="14" t="s">
        <v>57</v>
      </c>
      <c r="Y12" s="32" t="s">
        <v>61</v>
      </c>
    </row>
    <row r="13" spans="1:31" x14ac:dyDescent="0.25">
      <c r="G13" s="7"/>
      <c r="Q13" s="7"/>
      <c r="R13" s="8">
        <f>Q6</f>
        <v>6000</v>
      </c>
      <c r="S13" t="s">
        <v>34</v>
      </c>
      <c r="U13" s="15" t="s">
        <v>11</v>
      </c>
      <c r="V13" s="40">
        <v>13000</v>
      </c>
      <c r="W13" s="40">
        <v>29250</v>
      </c>
      <c r="X13" s="40">
        <v>22750</v>
      </c>
      <c r="Y13" s="41">
        <f>SUM(V13:X13)</f>
        <v>65000</v>
      </c>
      <c r="AA13" s="2" t="s">
        <v>80</v>
      </c>
    </row>
    <row r="14" spans="1:31" ht="42.75" x14ac:dyDescent="0.25">
      <c r="A14" s="2" t="s">
        <v>2</v>
      </c>
      <c r="G14" s="7"/>
      <c r="Q14" s="7"/>
      <c r="U14" s="39" t="s">
        <v>58</v>
      </c>
      <c r="V14" s="38">
        <v>0.2</v>
      </c>
      <c r="W14" s="38">
        <v>0.45</v>
      </c>
      <c r="X14" s="38">
        <v>0.35</v>
      </c>
      <c r="AA14" s="5" t="s">
        <v>37</v>
      </c>
      <c r="AB14" s="40">
        <v>1000</v>
      </c>
      <c r="AC14" s="5"/>
      <c r="AD14" s="5"/>
      <c r="AE14" s="5"/>
    </row>
    <row r="15" spans="1:31" x14ac:dyDescent="0.25">
      <c r="A15" t="s">
        <v>3</v>
      </c>
      <c r="B15" s="10">
        <v>100000</v>
      </c>
      <c r="U15" t="s">
        <v>63</v>
      </c>
      <c r="V15" s="40">
        <v>12500</v>
      </c>
      <c r="W15" s="40" t="s">
        <v>62</v>
      </c>
      <c r="X15" s="40" t="s">
        <v>62</v>
      </c>
      <c r="Y15" s="40">
        <v>55000</v>
      </c>
      <c r="AA15" s="5" t="s">
        <v>4</v>
      </c>
      <c r="AB15" s="40">
        <v>3000</v>
      </c>
      <c r="AC15" s="5"/>
      <c r="AD15" s="5"/>
      <c r="AE15" s="5"/>
    </row>
    <row r="16" spans="1:31" x14ac:dyDescent="0.25">
      <c r="A16" s="12" t="s">
        <v>18</v>
      </c>
      <c r="B16" s="11">
        <f>200000-60000-25000</f>
        <v>115000</v>
      </c>
      <c r="U16" s="5"/>
      <c r="AA16" s="5" t="s">
        <v>3</v>
      </c>
      <c r="AB16" s="40">
        <v>8000</v>
      </c>
      <c r="AC16" s="5"/>
      <c r="AD16" s="5"/>
      <c r="AE16" s="5"/>
    </row>
    <row r="17" spans="1:31" x14ac:dyDescent="0.25">
      <c r="A17" t="s">
        <v>19</v>
      </c>
      <c r="B17" s="4">
        <f>B15</f>
        <v>100000</v>
      </c>
      <c r="K17" s="2" t="s">
        <v>35</v>
      </c>
      <c r="U17" s="5" t="s">
        <v>59</v>
      </c>
      <c r="V17" s="40">
        <f>V15-V13</f>
        <v>-500</v>
      </c>
      <c r="W17" s="40">
        <f>Y17-V17</f>
        <v>-9500</v>
      </c>
      <c r="X17" s="40"/>
      <c r="Y17" s="40">
        <f>Y15-Y13</f>
        <v>-10000</v>
      </c>
      <c r="AA17" s="1" t="s">
        <v>81</v>
      </c>
      <c r="AB17" s="1"/>
      <c r="AC17" s="1" t="s">
        <v>82</v>
      </c>
      <c r="AD17" s="1"/>
      <c r="AE17" s="47">
        <f>8000/8</f>
        <v>1000</v>
      </c>
    </row>
    <row r="18" spans="1:31" x14ac:dyDescent="0.25">
      <c r="U18" s="43" t="s">
        <v>65</v>
      </c>
      <c r="W18" s="38">
        <f>W13/($W$13+$X$13)</f>
        <v>0.5625</v>
      </c>
      <c r="X18" s="38">
        <f>X13/($W$13+$X$13)</f>
        <v>0.4375</v>
      </c>
    </row>
    <row r="19" spans="1:31" x14ac:dyDescent="0.25">
      <c r="K19" t="s">
        <v>36</v>
      </c>
      <c r="L19" s="16">
        <v>200000</v>
      </c>
      <c r="U19" s="5" t="s">
        <v>60</v>
      </c>
      <c r="V19" s="42">
        <f>V17</f>
        <v>-500</v>
      </c>
      <c r="W19" s="46">
        <f>W17*W18</f>
        <v>-5343.75</v>
      </c>
      <c r="X19" s="46">
        <f>W17*X18</f>
        <v>-4156.25</v>
      </c>
      <c r="Y19" s="41">
        <f>SUM(V19:X19)</f>
        <v>-10000</v>
      </c>
      <c r="AA19" t="s">
        <v>98</v>
      </c>
      <c r="AB19" s="41">
        <f>AB16-AE17</f>
        <v>7000</v>
      </c>
    </row>
    <row r="20" spans="1:31" x14ac:dyDescent="0.25">
      <c r="K20" t="s">
        <v>37</v>
      </c>
      <c r="L20" s="16">
        <f>P33</f>
        <v>179310.03583583486</v>
      </c>
      <c r="M20" s="5"/>
      <c r="U20" s="44" t="s">
        <v>64</v>
      </c>
      <c r="V20" s="45">
        <f>V13+V19</f>
        <v>12500</v>
      </c>
      <c r="W20" s="45">
        <f>W13+W19</f>
        <v>23906.25</v>
      </c>
      <c r="X20" s="45">
        <f>X13+X19</f>
        <v>18593.75</v>
      </c>
      <c r="Y20" s="45">
        <f>SUM(V20:X20)</f>
        <v>55000</v>
      </c>
      <c r="AA20" t="s">
        <v>63</v>
      </c>
      <c r="AB20" s="41">
        <f>AB15</f>
        <v>3000</v>
      </c>
    </row>
    <row r="21" spans="1:31" x14ac:dyDescent="0.25">
      <c r="A21" s="2" t="s">
        <v>5</v>
      </c>
      <c r="B21" t="s">
        <v>23</v>
      </c>
      <c r="E21" s="5" t="s">
        <v>24</v>
      </c>
      <c r="H21" t="s">
        <v>25</v>
      </c>
      <c r="M21" s="5"/>
      <c r="AA21" t="s">
        <v>72</v>
      </c>
      <c r="AB21" s="41">
        <f>AB20-AB19</f>
        <v>-4000</v>
      </c>
    </row>
    <row r="22" spans="1:31" x14ac:dyDescent="0.25">
      <c r="B22" s="55" t="s">
        <v>1</v>
      </c>
      <c r="C22" s="55"/>
      <c r="D22" s="5"/>
      <c r="E22" s="55" t="s">
        <v>21</v>
      </c>
      <c r="F22" s="55"/>
      <c r="G22" s="5"/>
      <c r="H22" s="55" t="s">
        <v>22</v>
      </c>
      <c r="I22" s="55"/>
      <c r="J22" s="5"/>
      <c r="K22" s="14" t="s">
        <v>38</v>
      </c>
      <c r="L22" s="14" t="s">
        <v>39</v>
      </c>
      <c r="M22" s="14" t="s">
        <v>40</v>
      </c>
      <c r="N22" s="14" t="s">
        <v>41</v>
      </c>
      <c r="O22" s="14" t="s">
        <v>42</v>
      </c>
      <c r="P22" s="14" t="s">
        <v>43</v>
      </c>
      <c r="AA22" s="51" t="s">
        <v>83</v>
      </c>
      <c r="AB22" s="45">
        <f>AB19+AB21</f>
        <v>3000</v>
      </c>
    </row>
    <row r="23" spans="1:31" x14ac:dyDescent="0.25">
      <c r="B23" s="6"/>
      <c r="D23" s="5"/>
      <c r="E23" s="6"/>
      <c r="G23" s="5"/>
      <c r="H23" s="6"/>
      <c r="J23" s="5"/>
      <c r="K23" s="15" t="s">
        <v>44</v>
      </c>
      <c r="L23" s="16">
        <v>23939</v>
      </c>
      <c r="M23" s="35">
        <v>0.95</v>
      </c>
      <c r="N23" s="36">
        <f>L23*M23</f>
        <v>22742.05</v>
      </c>
      <c r="O23" s="13">
        <f>1/1.14</f>
        <v>0.87719298245614041</v>
      </c>
      <c r="P23" s="36">
        <f>N23*O23</f>
        <v>19949.166666666668</v>
      </c>
      <c r="U23" s="2" t="s">
        <v>66</v>
      </c>
    </row>
    <row r="24" spans="1:31" x14ac:dyDescent="0.25">
      <c r="B24" s="7"/>
      <c r="C24" s="8">
        <v>500000</v>
      </c>
      <c r="D24" s="5"/>
      <c r="E24" s="20">
        <v>700000</v>
      </c>
      <c r="F24" s="21"/>
      <c r="G24" s="22"/>
      <c r="H24" s="20"/>
      <c r="I24" s="8"/>
      <c r="J24" s="5"/>
      <c r="K24" s="15" t="s">
        <v>45</v>
      </c>
      <c r="L24" s="16">
        <v>27878</v>
      </c>
      <c r="M24" s="35">
        <v>0.9</v>
      </c>
      <c r="N24" s="36">
        <f t="shared" ref="N24:N32" si="5">L24*M24</f>
        <v>25090.2</v>
      </c>
      <c r="O24" s="13">
        <f>1/(1.14^2)</f>
        <v>0.76946752847029865</v>
      </c>
      <c r="P24" s="36">
        <f t="shared" ref="P24:P32" si="6">N24*O24</f>
        <v>19306.094182825487</v>
      </c>
      <c r="U24" t="s">
        <v>74</v>
      </c>
    </row>
    <row r="25" spans="1:31" x14ac:dyDescent="0.25">
      <c r="B25" s="7"/>
      <c r="D25" s="5"/>
      <c r="E25" s="20"/>
      <c r="F25" s="21"/>
      <c r="G25" s="22"/>
      <c r="H25" s="20"/>
      <c r="J25" s="5"/>
      <c r="K25" s="15" t="s">
        <v>46</v>
      </c>
      <c r="L25" s="16">
        <v>31522</v>
      </c>
      <c r="M25" s="35">
        <v>0.85</v>
      </c>
      <c r="N25" s="36">
        <f t="shared" si="5"/>
        <v>26793.7</v>
      </c>
      <c r="O25" s="13">
        <f>1/(1.14^3)</f>
        <v>0.67497151620201634</v>
      </c>
      <c r="P25" s="36">
        <f t="shared" si="6"/>
        <v>18084.984313661967</v>
      </c>
    </row>
    <row r="26" spans="1:31" x14ac:dyDescent="0.25">
      <c r="B26" s="7"/>
      <c r="D26" s="5"/>
      <c r="E26" s="20"/>
      <c r="F26" s="21">
        <f>H26</f>
        <v>700000</v>
      </c>
      <c r="G26" s="22"/>
      <c r="H26" s="20">
        <v>700000</v>
      </c>
      <c r="J26" s="5"/>
      <c r="K26" s="15" t="s">
        <v>47</v>
      </c>
      <c r="L26" s="16">
        <v>44371</v>
      </c>
      <c r="M26" s="35">
        <v>0.8</v>
      </c>
      <c r="N26" s="36">
        <f t="shared" si="5"/>
        <v>35496.800000000003</v>
      </c>
      <c r="O26" s="13">
        <f>1/(1.14^4)</f>
        <v>0.59208027737018987</v>
      </c>
      <c r="P26" s="36">
        <f t="shared" si="6"/>
        <v>21016.955189754157</v>
      </c>
      <c r="U26" s="13"/>
      <c r="V26" s="14" t="s">
        <v>67</v>
      </c>
      <c r="W26" s="14" t="s">
        <v>68</v>
      </c>
      <c r="X26" s="14" t="s">
        <v>69</v>
      </c>
      <c r="AA26" s="52" t="s">
        <v>84</v>
      </c>
    </row>
    <row r="27" spans="1:31" x14ac:dyDescent="0.25">
      <c r="B27" s="7"/>
      <c r="D27" s="5"/>
      <c r="E27" s="20"/>
      <c r="F27" s="21"/>
      <c r="G27" s="22"/>
      <c r="H27" s="20"/>
      <c r="J27" s="5"/>
      <c r="K27" s="15" t="s">
        <v>48</v>
      </c>
      <c r="L27" s="16">
        <v>53313</v>
      </c>
      <c r="M27" s="35">
        <v>0.75</v>
      </c>
      <c r="N27" s="36">
        <f t="shared" si="5"/>
        <v>39984.75</v>
      </c>
      <c r="O27" s="13">
        <f>1/(1.14^5)</f>
        <v>0.51936866435981566</v>
      </c>
      <c r="P27" s="36">
        <f t="shared" si="6"/>
        <v>20766.826202261138</v>
      </c>
      <c r="U27" s="15" t="s">
        <v>70</v>
      </c>
      <c r="V27" s="40">
        <v>1000</v>
      </c>
      <c r="W27" s="40">
        <v>2000</v>
      </c>
      <c r="X27" s="40">
        <f>SUM(V27:W27)</f>
        <v>3000</v>
      </c>
      <c r="AA27" t="s">
        <v>85</v>
      </c>
      <c r="AB27" s="40">
        <v>500000</v>
      </c>
    </row>
    <row r="28" spans="1:31" ht="28.5" x14ac:dyDescent="0.25">
      <c r="D28" s="5"/>
      <c r="E28" s="21"/>
      <c r="F28" s="21"/>
      <c r="G28" s="22"/>
      <c r="H28" s="21"/>
      <c r="J28" s="5"/>
      <c r="K28" s="15" t="s">
        <v>49</v>
      </c>
      <c r="L28" s="16">
        <v>59941</v>
      </c>
      <c r="M28" s="35">
        <v>0.7</v>
      </c>
      <c r="N28" s="36">
        <f t="shared" si="5"/>
        <v>41958.7</v>
      </c>
      <c r="O28" s="13">
        <f>1/(1.14^6)</f>
        <v>0.45558654768404888</v>
      </c>
      <c r="P28" s="36">
        <f t="shared" si="6"/>
        <v>19115.819278310701</v>
      </c>
      <c r="U28" s="17" t="s">
        <v>71</v>
      </c>
      <c r="V28" s="40"/>
      <c r="W28" s="40">
        <f>X29-X27</f>
        <v>-367</v>
      </c>
      <c r="X28" s="40">
        <f>W28</f>
        <v>-367</v>
      </c>
      <c r="AA28" t="s">
        <v>36</v>
      </c>
      <c r="AB28" s="40">
        <v>460000</v>
      </c>
    </row>
    <row r="29" spans="1:31" x14ac:dyDescent="0.25">
      <c r="B29" s="55" t="s">
        <v>17</v>
      </c>
      <c r="C29" s="55"/>
      <c r="D29" s="5"/>
      <c r="E29" s="56" t="s">
        <v>20</v>
      </c>
      <c r="F29" s="56"/>
      <c r="G29" s="22"/>
      <c r="H29" s="21"/>
      <c r="J29" s="5"/>
      <c r="K29" s="15" t="s">
        <v>50</v>
      </c>
      <c r="L29" s="16">
        <v>66865</v>
      </c>
      <c r="M29" s="35">
        <v>0.65</v>
      </c>
      <c r="N29" s="36">
        <f t="shared" si="5"/>
        <v>43462.25</v>
      </c>
      <c r="O29" s="13">
        <f>1/(1.14^7)</f>
        <v>0.39963732252986744</v>
      </c>
      <c r="P29" s="36">
        <f t="shared" si="6"/>
        <v>17369.137221123732</v>
      </c>
      <c r="U29" s="15" t="s">
        <v>11</v>
      </c>
      <c r="V29" s="40">
        <f>V27</f>
        <v>1000</v>
      </c>
      <c r="W29" s="40">
        <f>SUM(W27:W28)</f>
        <v>1633</v>
      </c>
      <c r="X29" s="40">
        <v>2633</v>
      </c>
      <c r="AA29" t="s">
        <v>63</v>
      </c>
      <c r="AB29" s="40">
        <v>200000</v>
      </c>
    </row>
    <row r="30" spans="1:31" x14ac:dyDescent="0.25">
      <c r="B30" s="6"/>
      <c r="D30" s="5"/>
      <c r="E30" s="23"/>
      <c r="F30" s="21"/>
      <c r="G30" s="22"/>
      <c r="H30" s="21"/>
      <c r="J30" s="5"/>
      <c r="K30" s="15" t="s">
        <v>51</v>
      </c>
      <c r="L30" s="16">
        <v>78907</v>
      </c>
      <c r="M30" s="35">
        <v>0.6</v>
      </c>
      <c r="N30" s="36">
        <f t="shared" si="5"/>
        <v>47344.2</v>
      </c>
      <c r="O30" s="13">
        <f>1/(1.14^8)</f>
        <v>0.35055905485076089</v>
      </c>
      <c r="P30" s="36">
        <f t="shared" si="6"/>
        <v>16596.938004665393</v>
      </c>
      <c r="U30" t="s">
        <v>63</v>
      </c>
      <c r="V30" s="41"/>
      <c r="W30" s="41"/>
      <c r="X30" s="40">
        <v>1360</v>
      </c>
      <c r="AB30" s="40"/>
    </row>
    <row r="31" spans="1:31" x14ac:dyDescent="0.25">
      <c r="B31" s="9">
        <f>C24</f>
        <v>500000</v>
      </c>
      <c r="D31" s="5"/>
      <c r="E31" s="20"/>
      <c r="F31" s="21">
        <f>E24</f>
        <v>700000</v>
      </c>
      <c r="G31" s="22"/>
      <c r="H31" s="21"/>
      <c r="J31" s="5"/>
      <c r="K31" s="15" t="s">
        <v>52</v>
      </c>
      <c r="L31" s="16">
        <v>85976</v>
      </c>
      <c r="M31" s="35">
        <v>0.55000000000000004</v>
      </c>
      <c r="N31" s="36">
        <f t="shared" si="5"/>
        <v>47286.8</v>
      </c>
      <c r="O31" s="13">
        <f>1/(1.14^9)</f>
        <v>0.30750794285154465</v>
      </c>
      <c r="P31" s="36">
        <f t="shared" si="6"/>
        <v>14541.066592032423</v>
      </c>
      <c r="U31" s="15" t="s">
        <v>72</v>
      </c>
      <c r="V31" s="41">
        <f>-V29</f>
        <v>-1000</v>
      </c>
      <c r="W31" s="41">
        <f>X31-V31</f>
        <v>-273</v>
      </c>
      <c r="X31" s="40">
        <f>X30-X29</f>
        <v>-1273</v>
      </c>
    </row>
    <row r="32" spans="1:31" x14ac:dyDescent="0.25">
      <c r="B32" s="7"/>
      <c r="D32" s="5"/>
      <c r="E32" s="20"/>
      <c r="F32" s="21"/>
      <c r="G32" s="22"/>
      <c r="H32" s="21"/>
      <c r="J32" s="5"/>
      <c r="K32" s="15" t="s">
        <v>53</v>
      </c>
      <c r="L32" s="16">
        <v>93148</v>
      </c>
      <c r="M32" s="35">
        <v>0.5</v>
      </c>
      <c r="N32" s="36">
        <f t="shared" si="5"/>
        <v>46574</v>
      </c>
      <c r="O32" s="13">
        <f>1/(1.14^10)</f>
        <v>0.26974380951889881</v>
      </c>
      <c r="P32" s="36">
        <f t="shared" si="6"/>
        <v>12563.048184533194</v>
      </c>
      <c r="U32" s="28" t="s">
        <v>73</v>
      </c>
      <c r="V32" s="48">
        <f>V29+V31</f>
        <v>0</v>
      </c>
      <c r="W32" s="48">
        <f>W29+W31</f>
        <v>1360</v>
      </c>
      <c r="X32" s="48">
        <f>X29+X31</f>
        <v>1360</v>
      </c>
      <c r="AA32" s="1" t="s">
        <v>86</v>
      </c>
    </row>
    <row r="33" spans="2:28" x14ac:dyDescent="0.25">
      <c r="B33" s="7"/>
      <c r="D33" s="5"/>
      <c r="E33" s="20"/>
      <c r="F33" s="21"/>
      <c r="G33" s="22"/>
      <c r="H33" s="21"/>
      <c r="K33" s="27" t="s">
        <v>37</v>
      </c>
      <c r="L33" s="13"/>
      <c r="M33" s="13"/>
      <c r="N33" s="13"/>
      <c r="O33" s="13"/>
      <c r="P33" s="37">
        <f>SUM(P23:P32)</f>
        <v>179310.03583583486</v>
      </c>
      <c r="AA33" t="s">
        <v>87</v>
      </c>
      <c r="AB33" s="53" t="s">
        <v>90</v>
      </c>
    </row>
    <row r="34" spans="2:28" x14ac:dyDescent="0.25">
      <c r="B34" s="7"/>
      <c r="D34" s="5"/>
      <c r="E34" s="7"/>
      <c r="G34" s="5"/>
      <c r="AA34" t="s">
        <v>88</v>
      </c>
      <c r="AB34" s="53" t="s">
        <v>62</v>
      </c>
    </row>
    <row r="35" spans="2:28" x14ac:dyDescent="0.25">
      <c r="E35" s="5"/>
      <c r="M35" s="55" t="s">
        <v>54</v>
      </c>
      <c r="N35" s="55"/>
      <c r="AA35" t="s">
        <v>89</v>
      </c>
      <c r="AB35" s="54">
        <v>200000</v>
      </c>
    </row>
    <row r="36" spans="2:28" x14ac:dyDescent="0.25">
      <c r="M36" s="6"/>
    </row>
    <row r="37" spans="2:28" x14ac:dyDescent="0.25">
      <c r="M37" s="7"/>
      <c r="N37" s="8">
        <f>-(P33-L19)</f>
        <v>20689.96416416514</v>
      </c>
      <c r="AA37" s="1" t="s">
        <v>91</v>
      </c>
    </row>
    <row r="38" spans="2:28" x14ac:dyDescent="0.25">
      <c r="M38" s="7"/>
      <c r="AA38" s="44" t="s">
        <v>93</v>
      </c>
      <c r="AB38" s="45">
        <f>AB35</f>
        <v>200000</v>
      </c>
    </row>
    <row r="39" spans="2:28" x14ac:dyDescent="0.25">
      <c r="M39" s="9"/>
      <c r="AA39" s="44" t="s">
        <v>94</v>
      </c>
      <c r="AB39" s="45">
        <f>AB40-AB38</f>
        <v>60000</v>
      </c>
    </row>
    <row r="40" spans="2:28" x14ac:dyDescent="0.25">
      <c r="M40" s="7"/>
      <c r="AA40" s="44" t="s">
        <v>92</v>
      </c>
      <c r="AB40" s="45">
        <f>-(AB29-AB28)</f>
        <v>260000</v>
      </c>
    </row>
    <row r="42" spans="2:28" x14ac:dyDescent="0.25">
      <c r="M42" s="55" t="s">
        <v>17</v>
      </c>
      <c r="N42" s="55"/>
    </row>
    <row r="43" spans="2:28" x14ac:dyDescent="0.25">
      <c r="M43" s="6"/>
    </row>
    <row r="44" spans="2:28" x14ac:dyDescent="0.25">
      <c r="M44" s="9">
        <f>N37</f>
        <v>20689.96416416514</v>
      </c>
    </row>
    <row r="45" spans="2:28" x14ac:dyDescent="0.25">
      <c r="M45" s="7"/>
    </row>
    <row r="46" spans="2:28" x14ac:dyDescent="0.25">
      <c r="M46" s="7"/>
      <c r="N46" s="8"/>
    </row>
    <row r="47" spans="2:28" x14ac:dyDescent="0.25">
      <c r="M47" s="7"/>
    </row>
  </sheetData>
  <mergeCells count="11">
    <mergeCell ref="B22:C22"/>
    <mergeCell ref="B29:C29"/>
    <mergeCell ref="E22:F22"/>
    <mergeCell ref="E29:F29"/>
    <mergeCell ref="H22:I22"/>
    <mergeCell ref="Q2:R2"/>
    <mergeCell ref="Q9:R9"/>
    <mergeCell ref="M35:N35"/>
    <mergeCell ref="M42:N42"/>
    <mergeCell ref="G2:H2"/>
    <mergeCell ref="G9:H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Sheet2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CIKT</dc:creator>
  <cp:lastModifiedBy>CIKT</cp:lastModifiedBy>
  <dcterms:created xsi:type="dcterms:W3CDTF">2018-10-25T16:40:00Z</dcterms:created>
  <dcterms:modified xsi:type="dcterms:W3CDTF">2018-11-05T18:03:44Z</dcterms:modified>
</cp:coreProperties>
</file>