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IFRS for SMEs 2018\IFRS 2018 (from IS)\seminars_2019\fin instruments, provisions, equity\"/>
    </mc:Choice>
  </mc:AlternateContent>
  <xr:revisionPtr revIDLastSave="0" documentId="13_ncr:1_{E47F3D6B-8312-44B6-896B-6ED2826765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7" i="3" l="1"/>
  <c r="R66" i="3"/>
  <c r="R65" i="3"/>
  <c r="P64" i="3"/>
  <c r="Q29" i="3"/>
  <c r="R23" i="3"/>
  <c r="E37" i="3"/>
  <c r="E17" i="3" l="1"/>
  <c r="Y31" i="3" l="1"/>
  <c r="Y30" i="3"/>
  <c r="W30" i="3"/>
  <c r="Y26" i="3"/>
  <c r="Y24" i="3"/>
  <c r="AB19" i="3"/>
  <c r="R57" i="3"/>
  <c r="T44" i="3"/>
  <c r="Q40" i="3"/>
  <c r="Q36" i="3"/>
  <c r="R15" i="3"/>
  <c r="R14" i="3"/>
  <c r="Q39" i="3" l="1"/>
  <c r="Q41" i="3" s="1"/>
  <c r="Q37" i="3"/>
  <c r="V43" i="3" s="1"/>
  <c r="Q33" i="3"/>
  <c r="T42" i="3" s="1"/>
  <c r="Q32" i="3"/>
  <c r="Q30" i="3"/>
  <c r="T41" i="3" s="1"/>
  <c r="T45" i="3" s="1"/>
  <c r="I10" i="3"/>
  <c r="I13" i="3" s="1"/>
  <c r="K12" i="3"/>
  <c r="K11" i="3"/>
  <c r="W43" i="3" l="1"/>
  <c r="Q43" i="3"/>
  <c r="V44" i="3" s="1"/>
  <c r="V45" i="3" s="1"/>
  <c r="W42" i="3"/>
  <c r="Q44" i="3"/>
  <c r="W41" i="3"/>
  <c r="Q34" i="3"/>
  <c r="U42" i="3" s="1"/>
  <c r="K13" i="3"/>
  <c r="AB15" i="3"/>
  <c r="AB16" i="3" s="1"/>
  <c r="AB18" i="3" s="1"/>
  <c r="AB20" i="3" s="1"/>
  <c r="AB8" i="3"/>
  <c r="AB9" i="3" s="1"/>
  <c r="AB5" i="3"/>
  <c r="AB6" i="3" s="1"/>
  <c r="Y6" i="3"/>
  <c r="W8" i="3" s="1"/>
  <c r="R56" i="3"/>
  <c r="E36" i="3"/>
  <c r="E39" i="3" s="1"/>
  <c r="C35" i="3"/>
  <c r="C39" i="3" s="1"/>
  <c r="E12" i="3"/>
  <c r="E6" i="3"/>
  <c r="W44" i="3" l="1"/>
  <c r="U44" i="3"/>
  <c r="U45" i="3"/>
  <c r="W45" i="3" s="1"/>
  <c r="W35" i="3"/>
  <c r="Y19" i="3"/>
  <c r="W18" i="3"/>
  <c r="W20" i="3" s="1"/>
  <c r="Y15" i="3"/>
  <c r="Y16" i="3" s="1"/>
  <c r="Y18" i="3" s="1"/>
  <c r="Y8" i="3"/>
  <c r="W10" i="3"/>
  <c r="Y5" i="3"/>
  <c r="R60" i="3"/>
  <c r="P55" i="3"/>
  <c r="P5" i="3"/>
  <c r="P12" i="3" s="1"/>
  <c r="P21" i="3" s="1"/>
  <c r="R6" i="3"/>
  <c r="R13" i="3" s="1"/>
  <c r="E28" i="3"/>
  <c r="C27" i="3"/>
  <c r="E29" i="3" s="1"/>
  <c r="E11" i="3"/>
  <c r="E10" i="3"/>
  <c r="E5" i="3"/>
  <c r="E7" i="3" s="1"/>
  <c r="C16" i="3"/>
  <c r="C19" i="3" s="1"/>
  <c r="C4" i="3"/>
  <c r="C7" i="3" s="1"/>
  <c r="R22" i="3" l="1"/>
  <c r="R17" i="3"/>
  <c r="E13" i="3"/>
  <c r="P69" i="3"/>
  <c r="P8" i="3"/>
  <c r="C30" i="3"/>
  <c r="E30" i="3"/>
  <c r="E19" i="3"/>
  <c r="R8" i="3"/>
  <c r="P60" i="3"/>
  <c r="R69" i="3"/>
  <c r="Y10" i="3"/>
  <c r="Y35" i="3"/>
  <c r="Y20" i="3"/>
  <c r="R26" i="3" l="1"/>
  <c r="P26" i="3"/>
  <c r="P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Oleksandra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if subscription gives a </t>
        </r>
        <r>
          <rPr>
            <b/>
            <u/>
            <sz val="9"/>
            <color indexed="81"/>
            <rFont val="Tahoma"/>
            <family val="2"/>
          </rPr>
          <t>right</t>
        </r>
        <r>
          <rPr>
            <sz val="9"/>
            <color indexed="81"/>
            <rFont val="Tahoma"/>
            <family val="2"/>
          </rPr>
          <t xml:space="preserve"> to potential investor to buy shares of entity</t>
        </r>
      </text>
    </comment>
    <comment ref="H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Oleksandra:</t>
        </r>
        <r>
          <rPr>
            <sz val="9"/>
            <color indexed="81"/>
            <rFont val="Tahoma"/>
            <family val="2"/>
          </rPr>
          <t xml:space="preserve">
if subscription implies an </t>
        </r>
        <r>
          <rPr>
            <b/>
            <u/>
            <sz val="9"/>
            <color indexed="81"/>
            <rFont val="Tahoma"/>
            <family val="2"/>
          </rPr>
          <t>obligation</t>
        </r>
        <r>
          <rPr>
            <sz val="9"/>
            <color indexed="81"/>
            <rFont val="Tahoma"/>
            <family val="2"/>
          </rPr>
          <t xml:space="preserve"> to potential investor to buy shares of entity</t>
        </r>
      </text>
    </comment>
  </commentList>
</comments>
</file>

<file path=xl/sharedStrings.xml><?xml version="1.0" encoding="utf-8"?>
<sst xmlns="http://schemas.openxmlformats.org/spreadsheetml/2006/main" count="140" uniqueCount="65">
  <si>
    <t>=&gt;</t>
  </si>
  <si>
    <t>Bank</t>
  </si>
  <si>
    <t>Scenario a:</t>
  </si>
  <si>
    <t>Business result</t>
  </si>
  <si>
    <t>Retained earnings</t>
  </si>
  <si>
    <t>BS</t>
  </si>
  <si>
    <t>Scenario b:</t>
  </si>
  <si>
    <t>Ex.1</t>
  </si>
  <si>
    <t>Scenario c:</t>
  </si>
  <si>
    <t>=</t>
  </si>
  <si>
    <t>Share capital</t>
  </si>
  <si>
    <t>Share premium</t>
  </si>
  <si>
    <t>Receivable for subscribed capital</t>
  </si>
  <si>
    <t>Scenario d:</t>
  </si>
  <si>
    <t>not accounted for</t>
  </si>
  <si>
    <t>Ex. 2</t>
  </si>
  <si>
    <t>Gold</t>
  </si>
  <si>
    <t>Ex. 3</t>
  </si>
  <si>
    <t>Cash</t>
  </si>
  <si>
    <t>Ex. 4</t>
  </si>
  <si>
    <t>Option reserve</t>
  </si>
  <si>
    <t>as per 31/12/X0 (movement):</t>
  </si>
  <si>
    <t>as per 01/01/X1 (movement):</t>
  </si>
  <si>
    <t>as per 31/01/X2 (movement):</t>
  </si>
  <si>
    <t>Ex.5</t>
  </si>
  <si>
    <t>Item</t>
  </si>
  <si>
    <t>Value (CU)</t>
  </si>
  <si>
    <t>Share capital (10,000 ordinary shares at CU10 par value each)</t>
  </si>
  <si>
    <t>Total equity attributable to owners</t>
  </si>
  <si>
    <t>as per 01/01/X1 (c/f balance):</t>
  </si>
  <si>
    <t>RE</t>
  </si>
  <si>
    <t>Ex.6</t>
  </si>
  <si>
    <t>(1) RE</t>
  </si>
  <si>
    <t>(1) Dividends payable for the year</t>
  </si>
  <si>
    <t>(2) Bank</t>
  </si>
  <si>
    <t>(2) Dividends payable for the year</t>
  </si>
  <si>
    <t>Ex. 7</t>
  </si>
  <si>
    <t>(2) PPE</t>
  </si>
  <si>
    <t>(2) Gain from revaluation</t>
  </si>
  <si>
    <t>Ex. 8</t>
  </si>
  <si>
    <t>Subsidiary Z share (FV)</t>
  </si>
  <si>
    <t>Subsidiary Z share (NBV)</t>
  </si>
  <si>
    <t>Profit</t>
  </si>
  <si>
    <t>Db RE</t>
  </si>
  <si>
    <t>Cr Div payable</t>
  </si>
  <si>
    <t>Db Div payable</t>
  </si>
  <si>
    <t>Cr Bank</t>
  </si>
  <si>
    <t>Cr PPE</t>
  </si>
  <si>
    <t>Cr Gain from revaluation</t>
  </si>
  <si>
    <t>NCI (liability to 3d party =&gt; company B)</t>
  </si>
  <si>
    <t>BS of company A</t>
  </si>
  <si>
    <t>or</t>
  </si>
  <si>
    <t>Dr</t>
  </si>
  <si>
    <t>Cr</t>
  </si>
  <si>
    <t>Cr.</t>
  </si>
  <si>
    <t>Total</t>
  </si>
  <si>
    <t>OB</t>
  </si>
  <si>
    <t>issue of shares</t>
  </si>
  <si>
    <t>issues of shares</t>
  </si>
  <si>
    <t xml:space="preserve">issue of options </t>
  </si>
  <si>
    <t>CB</t>
  </si>
  <si>
    <t>Advance received</t>
  </si>
  <si>
    <t>as per 31/12/x0</t>
  </si>
  <si>
    <t>as per 01/01/x1</t>
  </si>
  <si>
    <t>as per 31/01/x2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</si>
</sst>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quotePrefix="1"/>
    <xf numFmtId="165" fontId="0" fillId="0" borderId="0" xfId="0" applyNumberFormat="1"/>
    <xf numFmtId="0" fontId="0" fillId="0" borderId="1" xfId="0" applyBorder="1"/>
    <xf numFmtId="0" fontId="0" fillId="0" borderId="0" xfId="0" applyBorder="1"/>
    <xf numFmtId="165" fontId="0" fillId="0" borderId="0" xfId="0" applyNumberFormat="1" applyBorder="1"/>
    <xf numFmtId="165" fontId="0" fillId="0" borderId="2" xfId="0" applyNumberFormat="1" applyBorder="1"/>
    <xf numFmtId="165" fontId="0" fillId="0" borderId="0" xfId="1" applyNumberFormat="1" applyFont="1"/>
    <xf numFmtId="0" fontId="0" fillId="0" borderId="0" xfId="0" quotePrefix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165" fontId="0" fillId="0" borderId="4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8" xfId="0" applyBorder="1"/>
    <xf numFmtId="9" fontId="0" fillId="0" borderId="0" xfId="0" applyNumberFormat="1" applyBorder="1"/>
    <xf numFmtId="0" fontId="0" fillId="0" borderId="0" xfId="0" quotePrefix="1" applyBorder="1"/>
    <xf numFmtId="165" fontId="0" fillId="0" borderId="0" xfId="1" applyNumberFormat="1" applyFont="1" applyFill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0" fontId="0" fillId="0" borderId="0" xfId="0" applyFill="1" applyBorder="1"/>
    <xf numFmtId="165" fontId="0" fillId="0" borderId="11" xfId="0" applyNumberFormat="1" applyBorder="1"/>
    <xf numFmtId="0" fontId="0" fillId="0" borderId="1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60049</xdr:colOff>
      <xdr:row>18</xdr:row>
      <xdr:rowOff>74956</xdr:rowOff>
    </xdr:from>
    <xdr:to>
      <xdr:col>11</xdr:col>
      <xdr:colOff>490286</xdr:colOff>
      <xdr:row>34</xdr:row>
      <xdr:rowOff>131643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255048-AA7E-4CA1-9E66-E8FA2E4C2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3503956"/>
          <a:ext cx="5648281" cy="3104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102068</xdr:rowOff>
    </xdr:from>
    <xdr:to>
      <xdr:col>9</xdr:col>
      <xdr:colOff>9525</xdr:colOff>
      <xdr:row>59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39F93-1708-453A-ACE2-16CE0980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922093"/>
          <a:ext cx="6848475" cy="3526091"/>
        </a:xfrm>
        <a:prstGeom prst="rect">
          <a:avLst/>
        </a:prstGeom>
      </xdr:spPr>
    </xdr:pic>
    <xdr:clientData/>
  </xdr:twoCellAnchor>
  <xdr:twoCellAnchor editAs="oneCell">
    <xdr:from>
      <xdr:col>26</xdr:col>
      <xdr:colOff>82826</xdr:colOff>
      <xdr:row>23</xdr:row>
      <xdr:rowOff>49695</xdr:rowOff>
    </xdr:from>
    <xdr:to>
      <xdr:col>38</xdr:col>
      <xdr:colOff>424731</xdr:colOff>
      <xdr:row>32</xdr:row>
      <xdr:rowOff>144719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BA0FF5-9265-4008-AE0B-7EA8D779B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10783" y="4431195"/>
          <a:ext cx="7961905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tabSelected="1" topLeftCell="S13" zoomScale="115" zoomScaleNormal="115" workbookViewId="0">
      <selection activeCell="AB36" sqref="AB36"/>
    </sheetView>
  </sheetViews>
  <sheetFormatPr defaultRowHeight="15" x14ac:dyDescent="0.25"/>
  <cols>
    <col min="3" max="3" width="11.140625" bestFit="1" customWidth="1"/>
    <col min="4" max="4" width="17.42578125" customWidth="1"/>
    <col min="5" max="5" width="11.140625" bestFit="1" customWidth="1"/>
    <col min="6" max="11" width="11.140625" customWidth="1"/>
    <col min="16" max="16" width="13.5703125" customWidth="1"/>
    <col min="17" max="17" width="16.7109375" customWidth="1"/>
    <col min="18" max="18" width="11.5703125" customWidth="1"/>
    <col min="19" max="19" width="9.7109375" bestFit="1" customWidth="1"/>
    <col min="20" max="21" width="13.42578125" customWidth="1"/>
    <col min="23" max="23" width="11.7109375" customWidth="1"/>
    <col min="24" max="24" width="18.28515625" customWidth="1"/>
    <col min="25" max="25" width="10.140625" bestFit="1" customWidth="1"/>
    <col min="28" max="28" width="13.140625" customWidth="1"/>
  </cols>
  <sheetData>
    <row r="1" spans="1:28" x14ac:dyDescent="0.25">
      <c r="A1" t="s">
        <v>7</v>
      </c>
      <c r="N1" t="s">
        <v>19</v>
      </c>
      <c r="U1" t="s">
        <v>31</v>
      </c>
    </row>
    <row r="2" spans="1:28" x14ac:dyDescent="0.25">
      <c r="A2" t="s">
        <v>2</v>
      </c>
    </row>
    <row r="3" spans="1:28" x14ac:dyDescent="0.25">
      <c r="C3" s="30" t="s">
        <v>5</v>
      </c>
      <c r="D3" s="30"/>
      <c r="E3" s="3"/>
      <c r="F3" s="4"/>
      <c r="G3" s="4"/>
      <c r="H3" s="4"/>
      <c r="I3" s="4"/>
      <c r="J3" s="4"/>
      <c r="K3" s="4"/>
      <c r="N3" t="s">
        <v>21</v>
      </c>
    </row>
    <row r="4" spans="1:28" x14ac:dyDescent="0.25">
      <c r="B4" s="9" t="s">
        <v>1</v>
      </c>
      <c r="C4" s="12">
        <f>50000*5</f>
        <v>250000</v>
      </c>
      <c r="D4" s="7"/>
      <c r="E4" s="7"/>
      <c r="F4" s="7"/>
      <c r="G4" s="7"/>
      <c r="H4" s="7"/>
      <c r="I4" s="7"/>
      <c r="J4" s="7"/>
      <c r="K4" s="7"/>
      <c r="P4" s="30" t="s">
        <v>5</v>
      </c>
      <c r="Q4" s="30"/>
      <c r="R4" s="3"/>
      <c r="W4" s="30" t="s">
        <v>5</v>
      </c>
      <c r="X4" s="30"/>
      <c r="Y4" s="3"/>
    </row>
    <row r="5" spans="1:28" x14ac:dyDescent="0.25">
      <c r="C5" s="13"/>
      <c r="D5" s="7" t="s">
        <v>10</v>
      </c>
      <c r="E5" s="7">
        <f>50000*1</f>
        <v>50000</v>
      </c>
      <c r="F5" s="7"/>
      <c r="G5" s="7"/>
      <c r="H5" s="7"/>
      <c r="I5" s="7"/>
      <c r="J5" s="7"/>
      <c r="K5" s="7"/>
      <c r="O5" s="9" t="s">
        <v>1</v>
      </c>
      <c r="P5" s="12">
        <f>100000*1</f>
        <v>100000</v>
      </c>
      <c r="Q5" s="7"/>
      <c r="R5" s="7"/>
      <c r="V5" s="9"/>
      <c r="W5" s="12"/>
      <c r="X5" s="7" t="s">
        <v>32</v>
      </c>
      <c r="Y5" s="7">
        <f>-100000*0.5</f>
        <v>-50000</v>
      </c>
      <c r="Z5" s="8" t="s">
        <v>0</v>
      </c>
      <c r="AA5" t="s">
        <v>43</v>
      </c>
      <c r="AB5" s="7">
        <f>50000</f>
        <v>50000</v>
      </c>
    </row>
    <row r="6" spans="1:28" x14ac:dyDescent="0.25">
      <c r="B6" s="3"/>
      <c r="C6" s="14"/>
      <c r="D6" s="15" t="s">
        <v>11</v>
      </c>
      <c r="E6" s="15">
        <f>50000*(5-1)</f>
        <v>200000</v>
      </c>
      <c r="F6" s="16"/>
      <c r="G6" s="16"/>
      <c r="H6" s="16"/>
      <c r="I6" s="16"/>
      <c r="J6" s="16"/>
      <c r="K6" s="16"/>
      <c r="P6" s="13"/>
      <c r="Q6" s="7" t="s">
        <v>10</v>
      </c>
      <c r="R6" s="7">
        <f>100000*1</f>
        <v>100000</v>
      </c>
      <c r="W6" s="13"/>
      <c r="X6" s="7" t="s">
        <v>33</v>
      </c>
      <c r="Y6" s="7">
        <f>100000*0.5</f>
        <v>50000</v>
      </c>
      <c r="AA6" t="s">
        <v>44</v>
      </c>
      <c r="AB6" s="7">
        <f>AB5</f>
        <v>50000</v>
      </c>
    </row>
    <row r="7" spans="1:28" x14ac:dyDescent="0.25">
      <c r="C7" s="16">
        <f>SUM(C4:C6)</f>
        <v>250000</v>
      </c>
      <c r="D7" s="7"/>
      <c r="E7" s="16">
        <f>SUM(E4:E6)</f>
        <v>250000</v>
      </c>
      <c r="F7" s="16"/>
      <c r="G7" s="16"/>
      <c r="H7" s="16"/>
      <c r="I7" s="16"/>
      <c r="J7" s="16"/>
      <c r="K7" s="16"/>
      <c r="O7" s="3"/>
      <c r="P7" s="14"/>
      <c r="Q7" s="15"/>
      <c r="R7" s="15"/>
      <c r="W7" s="6"/>
      <c r="AB7" s="7"/>
    </row>
    <row r="8" spans="1:28" x14ac:dyDescent="0.25">
      <c r="A8" t="s">
        <v>6</v>
      </c>
      <c r="C8" s="7"/>
      <c r="D8" s="7"/>
      <c r="E8" s="7"/>
      <c r="F8" s="7"/>
      <c r="G8" s="7"/>
      <c r="H8" s="7"/>
      <c r="I8" s="7"/>
      <c r="J8" s="7"/>
      <c r="K8" s="7"/>
      <c r="P8" s="16">
        <f>SUM(P5:P7)</f>
        <v>100000</v>
      </c>
      <c r="Q8" s="7"/>
      <c r="R8" s="16">
        <f>SUM(R5:R7)</f>
        <v>100000</v>
      </c>
      <c r="V8" t="s">
        <v>34</v>
      </c>
      <c r="W8" s="6">
        <f>-Y6</f>
        <v>-50000</v>
      </c>
      <c r="X8" s="7" t="s">
        <v>35</v>
      </c>
      <c r="Y8" s="7">
        <f>-100000*0.5</f>
        <v>-50000</v>
      </c>
      <c r="Z8" s="1" t="s">
        <v>0</v>
      </c>
      <c r="AA8" s="24" t="s">
        <v>45</v>
      </c>
      <c r="AB8" s="7">
        <f>50000</f>
        <v>50000</v>
      </c>
    </row>
    <row r="9" spans="1:28" x14ac:dyDescent="0.25">
      <c r="B9" s="3"/>
      <c r="C9" s="31" t="s">
        <v>5</v>
      </c>
      <c r="D9" s="31"/>
      <c r="E9" s="15"/>
      <c r="F9" s="16"/>
      <c r="G9" s="16"/>
      <c r="H9" s="3"/>
      <c r="I9" s="31" t="s">
        <v>5</v>
      </c>
      <c r="J9" s="31"/>
      <c r="K9" s="15"/>
      <c r="V9" s="3"/>
      <c r="W9" s="14"/>
      <c r="X9" s="15"/>
      <c r="Y9" s="15"/>
      <c r="AA9" t="s">
        <v>46</v>
      </c>
      <c r="AB9" s="7">
        <f>AB8</f>
        <v>50000</v>
      </c>
    </row>
    <row r="10" spans="1:28" x14ac:dyDescent="0.25">
      <c r="C10" s="12"/>
      <c r="D10" s="7" t="s">
        <v>12</v>
      </c>
      <c r="E10" s="7">
        <f>-50000*5</f>
        <v>-250000</v>
      </c>
      <c r="F10" s="7"/>
      <c r="G10" s="7" t="s">
        <v>51</v>
      </c>
      <c r="H10" s="7" t="s">
        <v>12</v>
      </c>
      <c r="I10" s="7">
        <f>50000*5</f>
        <v>250000</v>
      </c>
      <c r="J10" s="25"/>
      <c r="K10" s="7"/>
      <c r="N10" t="s">
        <v>22</v>
      </c>
      <c r="W10" s="16">
        <f>SUM(W5:W9)</f>
        <v>-50000</v>
      </c>
      <c r="X10" s="7"/>
      <c r="Y10" s="16">
        <f>SUM(Y5:Y9)</f>
        <v>-50000</v>
      </c>
      <c r="AB10" s="7"/>
    </row>
    <row r="11" spans="1:28" x14ac:dyDescent="0.25">
      <c r="C11" s="13"/>
      <c r="D11" s="7" t="s">
        <v>10</v>
      </c>
      <c r="E11" s="7">
        <f>50000*1</f>
        <v>50000</v>
      </c>
      <c r="F11" s="7"/>
      <c r="G11" s="7"/>
      <c r="I11" s="16"/>
      <c r="J11" s="17" t="s">
        <v>10</v>
      </c>
      <c r="K11" s="7">
        <f>50000*1</f>
        <v>50000</v>
      </c>
      <c r="P11" s="30" t="s">
        <v>5</v>
      </c>
      <c r="Q11" s="30"/>
      <c r="R11" s="3"/>
      <c r="AB11" s="7"/>
    </row>
    <row r="12" spans="1:28" x14ac:dyDescent="0.25">
      <c r="B12" s="3"/>
      <c r="C12" s="14"/>
      <c r="D12" s="15" t="s">
        <v>11</v>
      </c>
      <c r="E12" s="15">
        <f>50000*(5-1)</f>
        <v>200000</v>
      </c>
      <c r="F12" s="16"/>
      <c r="G12" s="16"/>
      <c r="H12" s="3"/>
      <c r="I12" s="15"/>
      <c r="J12" s="26" t="s">
        <v>11</v>
      </c>
      <c r="K12" s="15">
        <f>50000*(5-1)</f>
        <v>200000</v>
      </c>
      <c r="O12" s="9" t="s">
        <v>1</v>
      </c>
      <c r="P12" s="12">
        <f>P5+(150000*5)+(100000*0.5)</f>
        <v>900000</v>
      </c>
      <c r="Q12" s="7"/>
      <c r="R12" s="7"/>
      <c r="AB12" s="7"/>
    </row>
    <row r="13" spans="1:28" x14ac:dyDescent="0.25">
      <c r="B13" s="4"/>
      <c r="C13" s="16"/>
      <c r="D13" s="16"/>
      <c r="E13" s="7">
        <f>SUM(E10:E12)</f>
        <v>0</v>
      </c>
      <c r="F13" s="7"/>
      <c r="G13" s="7"/>
      <c r="H13" s="4"/>
      <c r="I13" s="7">
        <f>SUM(I10:I12)</f>
        <v>250000</v>
      </c>
      <c r="J13" s="16"/>
      <c r="K13" s="7">
        <f>SUM(K10:K12)</f>
        <v>250000</v>
      </c>
      <c r="P13" s="13"/>
      <c r="Q13" s="7" t="s">
        <v>10</v>
      </c>
      <c r="R13" s="7">
        <f>R6+(150000*1)</f>
        <v>250000</v>
      </c>
      <c r="U13" t="s">
        <v>36</v>
      </c>
      <c r="AB13" s="7"/>
    </row>
    <row r="14" spans="1:28" x14ac:dyDescent="0.25">
      <c r="A14" t="s">
        <v>8</v>
      </c>
      <c r="C14" s="7"/>
      <c r="D14" s="7"/>
      <c r="O14" s="4"/>
      <c r="P14" s="13"/>
      <c r="Q14" s="16" t="s">
        <v>11</v>
      </c>
      <c r="R14" s="16">
        <f>150000*(5-1)</f>
        <v>600000</v>
      </c>
      <c r="W14" s="30" t="s">
        <v>5</v>
      </c>
      <c r="X14" s="30"/>
      <c r="Y14" s="3"/>
      <c r="AB14" s="7"/>
    </row>
    <row r="15" spans="1:28" x14ac:dyDescent="0.25">
      <c r="B15" s="3"/>
      <c r="C15" s="31" t="s">
        <v>5</v>
      </c>
      <c r="D15" s="31"/>
      <c r="E15" s="15"/>
      <c r="F15" s="16"/>
      <c r="G15" s="16"/>
      <c r="H15" s="16"/>
      <c r="I15" s="16"/>
      <c r="J15" s="16"/>
      <c r="K15" s="16"/>
      <c r="O15" s="4"/>
      <c r="P15" s="10"/>
      <c r="Q15" s="16" t="s">
        <v>20</v>
      </c>
      <c r="R15" s="16">
        <f>100000*0.5</f>
        <v>50000</v>
      </c>
      <c r="V15" s="9"/>
      <c r="W15" s="12"/>
      <c r="X15" s="7" t="s">
        <v>32</v>
      </c>
      <c r="Y15" s="7">
        <f>-100000</f>
        <v>-100000</v>
      </c>
      <c r="Z15" s="8" t="s">
        <v>0</v>
      </c>
      <c r="AA15" t="s">
        <v>43</v>
      </c>
      <c r="AB15" s="7">
        <f>100000</f>
        <v>100000</v>
      </c>
    </row>
    <row r="16" spans="1:28" x14ac:dyDescent="0.25">
      <c r="B16" s="9" t="s">
        <v>1</v>
      </c>
      <c r="C16" s="12">
        <f>50000*5</f>
        <v>250000</v>
      </c>
      <c r="D16" s="7"/>
      <c r="E16" s="7"/>
      <c r="F16" s="7"/>
      <c r="G16" s="7"/>
      <c r="H16" s="7"/>
      <c r="I16" s="7"/>
      <c r="J16" s="7"/>
      <c r="K16" s="7"/>
      <c r="O16" s="3"/>
      <c r="P16" s="11"/>
      <c r="Q16" s="3"/>
      <c r="R16" s="3"/>
      <c r="W16" s="13"/>
      <c r="X16" s="7" t="s">
        <v>33</v>
      </c>
      <c r="Y16" s="7">
        <f>-Y15</f>
        <v>100000</v>
      </c>
      <c r="AA16" t="s">
        <v>44</v>
      </c>
      <c r="AB16" s="7">
        <f>AB15</f>
        <v>100000</v>
      </c>
    </row>
    <row r="17" spans="1:28" x14ac:dyDescent="0.25">
      <c r="C17" s="13"/>
      <c r="D17" s="7" t="s">
        <v>61</v>
      </c>
      <c r="E17" s="7">
        <f>C16</f>
        <v>250000</v>
      </c>
      <c r="F17" s="7"/>
      <c r="G17" s="7"/>
      <c r="H17" s="7"/>
      <c r="I17" s="7"/>
      <c r="J17" s="7"/>
      <c r="K17" s="7"/>
      <c r="P17" s="13">
        <f>SUM(P12:P14)</f>
        <v>900000</v>
      </c>
      <c r="Q17" s="7"/>
      <c r="R17" s="16">
        <f>SUM(R13:R15)</f>
        <v>900000</v>
      </c>
      <c r="W17" s="6"/>
      <c r="AB17" s="7"/>
    </row>
    <row r="18" spans="1:28" x14ac:dyDescent="0.25">
      <c r="B18" s="3"/>
      <c r="C18" s="14"/>
      <c r="D18" s="15"/>
      <c r="E18" s="15"/>
      <c r="F18" s="16"/>
      <c r="G18" s="16"/>
      <c r="H18" s="16"/>
      <c r="I18" s="16"/>
      <c r="J18" s="16"/>
      <c r="K18" s="16"/>
      <c r="V18" t="s">
        <v>37</v>
      </c>
      <c r="W18" s="6">
        <f>-1000</f>
        <v>-1000</v>
      </c>
      <c r="X18" s="7" t="s">
        <v>35</v>
      </c>
      <c r="Y18" s="7">
        <f>-Y16</f>
        <v>-100000</v>
      </c>
      <c r="Z18" s="1" t="s">
        <v>0</v>
      </c>
      <c r="AA18" s="24" t="s">
        <v>45</v>
      </c>
      <c r="AB18" s="7">
        <f>AB16</f>
        <v>100000</v>
      </c>
    </row>
    <row r="19" spans="1:28" x14ac:dyDescent="0.25">
      <c r="C19" s="2">
        <f>SUM(C16:C18)</f>
        <v>250000</v>
      </c>
      <c r="E19" s="2">
        <f>SUM(E16:E18)</f>
        <v>250000</v>
      </c>
      <c r="F19" s="2"/>
      <c r="G19" s="2"/>
      <c r="H19" s="2"/>
      <c r="I19" s="2"/>
      <c r="J19" s="2"/>
      <c r="K19" s="2"/>
      <c r="N19" t="s">
        <v>23</v>
      </c>
      <c r="V19" s="3"/>
      <c r="W19" s="14"/>
      <c r="X19" s="15" t="s">
        <v>38</v>
      </c>
      <c r="Y19" s="15">
        <f>100000-1000</f>
        <v>99000</v>
      </c>
      <c r="AA19" t="s">
        <v>47</v>
      </c>
      <c r="AB19" s="7">
        <f>1000</f>
        <v>1000</v>
      </c>
    </row>
    <row r="20" spans="1:28" x14ac:dyDescent="0.25">
      <c r="P20" s="30" t="s">
        <v>5</v>
      </c>
      <c r="Q20" s="30"/>
      <c r="R20" s="3"/>
      <c r="W20" s="16">
        <f>SUM(W15:W19)</f>
        <v>-1000</v>
      </c>
      <c r="X20" s="7"/>
      <c r="Y20" s="16">
        <f>SUM(Y15:Y19)</f>
        <v>-1000</v>
      </c>
      <c r="AA20" t="s">
        <v>48</v>
      </c>
      <c r="AB20" s="7">
        <f>AB18-AB19</f>
        <v>99000</v>
      </c>
    </row>
    <row r="21" spans="1:28" x14ac:dyDescent="0.25">
      <c r="A21" t="s">
        <v>13</v>
      </c>
      <c r="O21" s="9" t="s">
        <v>1</v>
      </c>
      <c r="P21" s="12">
        <f>P12+(100000*4)</f>
        <v>1300000</v>
      </c>
      <c r="Q21" s="7"/>
      <c r="R21" s="7"/>
    </row>
    <row r="22" spans="1:28" x14ac:dyDescent="0.25">
      <c r="B22" t="s">
        <v>14</v>
      </c>
      <c r="P22" s="13"/>
      <c r="Q22" s="7" t="s">
        <v>10</v>
      </c>
      <c r="R22" s="7">
        <f>R13+(100000*1)</f>
        <v>350000</v>
      </c>
    </row>
    <row r="23" spans="1:28" x14ac:dyDescent="0.25">
      <c r="O23" s="4"/>
      <c r="P23" s="13"/>
      <c r="Q23" s="16" t="s">
        <v>11</v>
      </c>
      <c r="R23" s="16">
        <f>100000*(4-1)+R15+R14</f>
        <v>950000</v>
      </c>
      <c r="U23" t="s">
        <v>39</v>
      </c>
    </row>
    <row r="24" spans="1:28" x14ac:dyDescent="0.25">
      <c r="O24" s="4"/>
      <c r="P24" s="10"/>
      <c r="Q24" s="16" t="s">
        <v>20</v>
      </c>
      <c r="R24" s="16"/>
      <c r="V24" s="4" t="s">
        <v>41</v>
      </c>
      <c r="W24" s="22">
        <v>0.15</v>
      </c>
      <c r="X24" s="23" t="s">
        <v>9</v>
      </c>
      <c r="Y24" s="16">
        <f>100000*W24</f>
        <v>15000</v>
      </c>
    </row>
    <row r="25" spans="1:28" x14ac:dyDescent="0.25">
      <c r="A25" t="s">
        <v>15</v>
      </c>
      <c r="O25" s="3"/>
      <c r="P25" s="11"/>
      <c r="Q25" s="3"/>
      <c r="R25" s="3"/>
      <c r="V25" s="3" t="s">
        <v>40</v>
      </c>
      <c r="W25" s="3"/>
      <c r="X25" s="3"/>
      <c r="Y25" s="15">
        <v>20000</v>
      </c>
    </row>
    <row r="26" spans="1:28" x14ac:dyDescent="0.25">
      <c r="B26" s="3"/>
      <c r="C26" s="31" t="s">
        <v>5</v>
      </c>
      <c r="D26" s="31"/>
      <c r="E26" s="15"/>
      <c r="F26" s="16"/>
      <c r="G26" s="16"/>
      <c r="H26" s="16"/>
      <c r="I26" s="16"/>
      <c r="J26" s="16"/>
      <c r="K26" s="16"/>
      <c r="P26" s="13">
        <f>SUM(P21:P23)</f>
        <v>1300000</v>
      </c>
      <c r="Q26" s="7"/>
      <c r="R26" s="16">
        <f>SUM(R22:R24)</f>
        <v>1300000</v>
      </c>
      <c r="V26" t="s">
        <v>42</v>
      </c>
      <c r="Y26" s="2">
        <f>Y25-Y24</f>
        <v>5000</v>
      </c>
    </row>
    <row r="27" spans="1:28" x14ac:dyDescent="0.25">
      <c r="B27" s="9" t="s">
        <v>16</v>
      </c>
      <c r="C27" s="12">
        <f>1000*800</f>
        <v>800000</v>
      </c>
      <c r="D27" s="7"/>
      <c r="E27" s="7"/>
      <c r="F27" s="7"/>
      <c r="G27" s="7"/>
      <c r="H27" s="7"/>
      <c r="I27" s="7"/>
      <c r="J27" s="7"/>
      <c r="K27" s="7"/>
    </row>
    <row r="28" spans="1:28" x14ac:dyDescent="0.25">
      <c r="C28" s="13"/>
      <c r="D28" s="7" t="s">
        <v>10</v>
      </c>
      <c r="E28" s="7">
        <f>150000*2</f>
        <v>300000</v>
      </c>
      <c r="F28" s="7"/>
      <c r="G28" s="7"/>
      <c r="H28" s="7"/>
      <c r="I28" s="7"/>
      <c r="J28" s="7"/>
      <c r="K28" s="7"/>
      <c r="N28" s="4"/>
      <c r="O28" s="4"/>
      <c r="P28" s="4"/>
      <c r="Q28" s="4"/>
      <c r="R28" s="4"/>
      <c r="S28" s="4"/>
    </row>
    <row r="29" spans="1:28" x14ac:dyDescent="0.25">
      <c r="B29" s="3"/>
      <c r="C29" s="14"/>
      <c r="D29" s="15" t="s">
        <v>11</v>
      </c>
      <c r="E29" s="15">
        <f>C27-E28</f>
        <v>500000</v>
      </c>
      <c r="F29" s="16"/>
      <c r="G29" s="16"/>
      <c r="H29" s="16"/>
      <c r="I29" s="16"/>
      <c r="J29" s="16"/>
      <c r="K29" s="16"/>
      <c r="N29" s="4" t="s">
        <v>62</v>
      </c>
      <c r="O29" s="4" t="s">
        <v>52</v>
      </c>
      <c r="P29" s="16" t="s">
        <v>1</v>
      </c>
      <c r="Q29" s="16">
        <f>100000*1</f>
        <v>100000</v>
      </c>
      <c r="R29" s="4"/>
      <c r="S29" s="4"/>
      <c r="W29" s="30" t="s">
        <v>50</v>
      </c>
      <c r="X29" s="30"/>
      <c r="Y29" s="3"/>
    </row>
    <row r="30" spans="1:28" x14ac:dyDescent="0.25">
      <c r="C30" s="2">
        <f>SUM(C27:C29)</f>
        <v>800000</v>
      </c>
      <c r="E30" s="2">
        <f>SUM(E27:E29)</f>
        <v>800000</v>
      </c>
      <c r="F30" s="2"/>
      <c r="G30" s="2"/>
      <c r="H30" s="2"/>
      <c r="I30" s="2"/>
      <c r="J30" s="2"/>
      <c r="K30" s="2"/>
      <c r="N30" s="4"/>
      <c r="O30" s="4" t="s">
        <v>53</v>
      </c>
      <c r="P30" s="16" t="s">
        <v>10</v>
      </c>
      <c r="Q30" s="16">
        <f>Q29</f>
        <v>100000</v>
      </c>
      <c r="R30" s="16"/>
      <c r="S30" s="4"/>
      <c r="V30" s="9" t="s">
        <v>1</v>
      </c>
      <c r="W30" s="12">
        <f>Y25</f>
        <v>20000</v>
      </c>
      <c r="X30" s="7" t="s">
        <v>49</v>
      </c>
      <c r="Y30" s="7">
        <f>Y24</f>
        <v>15000</v>
      </c>
    </row>
    <row r="31" spans="1:28" x14ac:dyDescent="0.25">
      <c r="N31" s="4"/>
      <c r="O31" s="4"/>
      <c r="P31" s="16"/>
      <c r="Q31" s="16"/>
      <c r="R31" s="16"/>
      <c r="S31" s="4"/>
      <c r="W31" s="13"/>
      <c r="X31" s="7" t="s">
        <v>3</v>
      </c>
      <c r="Y31" s="7">
        <f>Y26</f>
        <v>5000</v>
      </c>
    </row>
    <row r="32" spans="1:28" x14ac:dyDescent="0.25">
      <c r="N32" s="4" t="s">
        <v>63</v>
      </c>
      <c r="O32" s="4" t="s">
        <v>52</v>
      </c>
      <c r="P32" s="16" t="s">
        <v>1</v>
      </c>
      <c r="Q32" s="16">
        <f>150000*5</f>
        <v>750000</v>
      </c>
      <c r="R32" s="16"/>
      <c r="S32" s="4"/>
      <c r="W32" s="6"/>
    </row>
    <row r="33" spans="1:25" x14ac:dyDescent="0.25">
      <c r="A33" t="s">
        <v>17</v>
      </c>
      <c r="N33" s="4"/>
      <c r="O33" s="4" t="s">
        <v>53</v>
      </c>
      <c r="P33" s="16" t="s">
        <v>10</v>
      </c>
      <c r="Q33" s="16">
        <f>150000*1</f>
        <v>150000</v>
      </c>
      <c r="R33" s="16"/>
      <c r="S33" s="4"/>
      <c r="W33" s="6"/>
      <c r="X33" s="7"/>
      <c r="Y33" s="7"/>
    </row>
    <row r="34" spans="1:25" x14ac:dyDescent="0.25">
      <c r="B34" s="3"/>
      <c r="C34" s="31" t="s">
        <v>5</v>
      </c>
      <c r="D34" s="31"/>
      <c r="E34" s="15"/>
      <c r="F34" s="16"/>
      <c r="G34" s="16"/>
      <c r="H34" s="16"/>
      <c r="I34" s="16"/>
      <c r="J34" s="16"/>
      <c r="K34" s="16"/>
      <c r="N34" s="4"/>
      <c r="O34" s="4" t="s">
        <v>53</v>
      </c>
      <c r="P34" s="24" t="s">
        <v>11</v>
      </c>
      <c r="Q34" s="5">
        <f>Q32-Q33</f>
        <v>600000</v>
      </c>
      <c r="R34" s="4"/>
      <c r="S34" s="4"/>
      <c r="V34" s="3"/>
      <c r="W34" s="14"/>
      <c r="X34" s="15"/>
      <c r="Y34" s="15"/>
    </row>
    <row r="35" spans="1:25" x14ac:dyDescent="0.25">
      <c r="B35" s="9" t="s">
        <v>18</v>
      </c>
      <c r="C35" s="12">
        <f>200000*1.25-1000</f>
        <v>249000</v>
      </c>
      <c r="D35" s="7"/>
      <c r="E35" s="7"/>
      <c r="F35" s="7"/>
      <c r="G35" s="7"/>
      <c r="H35" s="7"/>
      <c r="I35" s="7"/>
      <c r="J35" s="7"/>
      <c r="K35" s="7"/>
      <c r="N35" s="4"/>
      <c r="O35" s="4"/>
      <c r="P35" s="16"/>
      <c r="Q35" s="16"/>
      <c r="R35" s="16"/>
      <c r="S35" s="4"/>
      <c r="W35" s="16">
        <f>SUM(W30:W34)</f>
        <v>20000</v>
      </c>
      <c r="X35" s="7"/>
      <c r="Y35" s="16">
        <f>SUM(Y30:Y34)</f>
        <v>20000</v>
      </c>
    </row>
    <row r="36" spans="1:25" x14ac:dyDescent="0.25">
      <c r="C36" s="13"/>
      <c r="D36" s="7" t="s">
        <v>10</v>
      </c>
      <c r="E36" s="7">
        <f>200000*1</f>
        <v>200000</v>
      </c>
      <c r="F36" s="7"/>
      <c r="G36" s="7"/>
      <c r="H36" s="7"/>
      <c r="I36" s="7"/>
      <c r="J36" s="7"/>
      <c r="K36" s="7"/>
      <c r="N36" s="4" t="s">
        <v>63</v>
      </c>
      <c r="O36" s="4" t="s">
        <v>52</v>
      </c>
      <c r="P36" s="16" t="s">
        <v>1</v>
      </c>
      <c r="Q36">
        <f>100000*0.5</f>
        <v>50000</v>
      </c>
    </row>
    <row r="37" spans="1:25" x14ac:dyDescent="0.25">
      <c r="C37" s="16"/>
      <c r="D37" s="16" t="s">
        <v>11</v>
      </c>
      <c r="E37" s="16">
        <f>200000*(1.25-1)-1000</f>
        <v>49000</v>
      </c>
      <c r="F37" s="16"/>
      <c r="G37" s="16"/>
      <c r="H37" s="16"/>
      <c r="I37" s="16"/>
      <c r="J37" s="16"/>
      <c r="K37" s="16"/>
      <c r="O37" s="27" t="s">
        <v>54</v>
      </c>
      <c r="P37" s="24" t="s">
        <v>20</v>
      </c>
      <c r="Q37">
        <f>Q36</f>
        <v>50000</v>
      </c>
    </row>
    <row r="38" spans="1:25" x14ac:dyDescent="0.25">
      <c r="B38" s="3"/>
      <c r="C38" s="14"/>
      <c r="D38" s="15"/>
      <c r="E38" s="15"/>
      <c r="F38" s="16"/>
      <c r="G38" s="16"/>
      <c r="H38" s="16"/>
      <c r="I38" s="16"/>
      <c r="J38" s="16"/>
      <c r="K38" s="16"/>
    </row>
    <row r="39" spans="1:25" x14ac:dyDescent="0.25">
      <c r="C39" s="2">
        <f>SUM(C35:C38)</f>
        <v>249000</v>
      </c>
      <c r="E39" s="2">
        <f>SUM(E35:E38)</f>
        <v>249000</v>
      </c>
      <c r="F39" s="2"/>
      <c r="G39" s="2"/>
      <c r="H39" s="2"/>
      <c r="I39" s="2"/>
      <c r="J39" s="2"/>
      <c r="K39" s="2"/>
      <c r="N39" t="s">
        <v>64</v>
      </c>
      <c r="O39" s="4" t="s">
        <v>52</v>
      </c>
      <c r="P39" s="16" t="s">
        <v>1</v>
      </c>
      <c r="Q39" s="16">
        <f>100000*4</f>
        <v>400000</v>
      </c>
    </row>
    <row r="40" spans="1:25" x14ac:dyDescent="0.25">
      <c r="O40" s="4" t="s">
        <v>53</v>
      </c>
      <c r="P40" s="16" t="s">
        <v>10</v>
      </c>
      <c r="Q40" s="16">
        <f>100000*1</f>
        <v>100000</v>
      </c>
      <c r="T40" t="s">
        <v>10</v>
      </c>
      <c r="U40" t="s">
        <v>11</v>
      </c>
      <c r="V40" t="s">
        <v>20</v>
      </c>
      <c r="W40" t="s">
        <v>55</v>
      </c>
    </row>
    <row r="41" spans="1:25" ht="15.75" thickBot="1" x14ac:dyDescent="0.3">
      <c r="O41" s="4" t="s">
        <v>53</v>
      </c>
      <c r="P41" s="24" t="s">
        <v>11</v>
      </c>
      <c r="Q41" s="5">
        <f>Q39-Q40</f>
        <v>300000</v>
      </c>
      <c r="S41" t="s">
        <v>56</v>
      </c>
      <c r="T41" s="28">
        <f>Q30</f>
        <v>100000</v>
      </c>
      <c r="U41" s="29"/>
      <c r="V41" s="29"/>
      <c r="W41" s="28">
        <f>SUM(T41:V41)</f>
        <v>100000</v>
      </c>
    </row>
    <row r="42" spans="1:25" ht="15.75" thickTop="1" x14ac:dyDescent="0.25">
      <c r="O42" s="4"/>
      <c r="P42" s="24"/>
      <c r="Q42" s="5"/>
      <c r="S42" t="s">
        <v>58</v>
      </c>
      <c r="T42" s="2">
        <f>Q33</f>
        <v>150000</v>
      </c>
      <c r="U42" s="2">
        <f>Q34</f>
        <v>600000</v>
      </c>
      <c r="W42" s="2">
        <f t="shared" ref="W42:W44" si="0">SUM(T42:V42)</f>
        <v>750000</v>
      </c>
    </row>
    <row r="43" spans="1:25" x14ac:dyDescent="0.25">
      <c r="N43" t="s">
        <v>64</v>
      </c>
      <c r="O43" s="4" t="s">
        <v>52</v>
      </c>
      <c r="P43" s="16" t="s">
        <v>20</v>
      </c>
      <c r="Q43" s="16">
        <f>Q37</f>
        <v>50000</v>
      </c>
      <c r="S43" t="s">
        <v>59</v>
      </c>
      <c r="V43">
        <f>Q37</f>
        <v>50000</v>
      </c>
      <c r="W43" s="2">
        <f t="shared" si="0"/>
        <v>50000</v>
      </c>
    </row>
    <row r="44" spans="1:25" x14ac:dyDescent="0.25">
      <c r="O44" s="4" t="s">
        <v>53</v>
      </c>
      <c r="P44" s="24" t="s">
        <v>11</v>
      </c>
      <c r="Q44" s="16">
        <f>Q43</f>
        <v>50000</v>
      </c>
      <c r="S44" t="s">
        <v>57</v>
      </c>
      <c r="T44" s="2">
        <f>Q40</f>
        <v>100000</v>
      </c>
      <c r="U44" s="2">
        <f>Q41+Q44</f>
        <v>350000</v>
      </c>
      <c r="V44" s="2">
        <f>-Q43</f>
        <v>-50000</v>
      </c>
      <c r="W44" s="2">
        <f t="shared" si="0"/>
        <v>400000</v>
      </c>
    </row>
    <row r="45" spans="1:25" ht="15.75" thickBot="1" x14ac:dyDescent="0.3">
      <c r="S45" t="s">
        <v>60</v>
      </c>
      <c r="T45" s="28">
        <f>SUM(T41:T44)</f>
        <v>350000</v>
      </c>
      <c r="U45" s="28">
        <f>SUM(U41:U44)</f>
        <v>950000</v>
      </c>
      <c r="V45" s="28">
        <f>SUM(V41:V44)</f>
        <v>0</v>
      </c>
      <c r="W45" s="28">
        <f>SUM(T45:V45)</f>
        <v>1300000</v>
      </c>
    </row>
    <row r="46" spans="1:25" ht="15.75" thickTop="1" x14ac:dyDescent="0.25">
      <c r="N46" t="s">
        <v>24</v>
      </c>
    </row>
    <row r="47" spans="1:25" x14ac:dyDescent="0.25">
      <c r="N47" s="18" t="s">
        <v>25</v>
      </c>
      <c r="O47" s="19"/>
      <c r="P47" s="21"/>
      <c r="Q47" s="20" t="s">
        <v>26</v>
      </c>
    </row>
    <row r="48" spans="1:25" x14ac:dyDescent="0.25">
      <c r="N48" s="17" t="s">
        <v>27</v>
      </c>
      <c r="O48" s="16"/>
      <c r="P48" s="10"/>
      <c r="Q48" s="13">
        <v>100000</v>
      </c>
    </row>
    <row r="49" spans="14:19" x14ac:dyDescent="0.25">
      <c r="N49" s="17" t="s">
        <v>11</v>
      </c>
      <c r="O49" s="16"/>
      <c r="P49" s="10"/>
      <c r="Q49" s="13">
        <v>500000</v>
      </c>
    </row>
    <row r="50" spans="14:19" x14ac:dyDescent="0.25">
      <c r="N50" s="17" t="s">
        <v>4</v>
      </c>
      <c r="O50" s="16"/>
      <c r="P50" s="10"/>
      <c r="Q50" s="13">
        <v>600000</v>
      </c>
    </row>
    <row r="51" spans="14:19" x14ac:dyDescent="0.25">
      <c r="N51" s="18" t="s">
        <v>28</v>
      </c>
      <c r="O51" s="19"/>
      <c r="P51" s="21"/>
      <c r="Q51" s="20">
        <v>1200000</v>
      </c>
    </row>
    <row r="53" spans="14:19" x14ac:dyDescent="0.25">
      <c r="N53" t="s">
        <v>22</v>
      </c>
    </row>
    <row r="54" spans="14:19" x14ac:dyDescent="0.25">
      <c r="P54" s="30" t="s">
        <v>5</v>
      </c>
      <c r="Q54" s="30"/>
      <c r="R54" s="3"/>
    </row>
    <row r="55" spans="14:19" x14ac:dyDescent="0.25">
      <c r="O55" s="9" t="s">
        <v>1</v>
      </c>
      <c r="P55" s="12">
        <f>-4000*75</f>
        <v>-300000</v>
      </c>
      <c r="Q55" s="7"/>
      <c r="R55" s="7"/>
    </row>
    <row r="56" spans="14:19" x14ac:dyDescent="0.25">
      <c r="P56" s="13"/>
      <c r="Q56" s="7" t="s">
        <v>10</v>
      </c>
      <c r="R56" s="7">
        <f>-4000*10</f>
        <v>-40000</v>
      </c>
    </row>
    <row r="57" spans="14:19" x14ac:dyDescent="0.25">
      <c r="O57" s="4"/>
      <c r="P57" s="13"/>
      <c r="Q57" s="16" t="s">
        <v>11</v>
      </c>
      <c r="R57" s="16">
        <f>-4000*(75-10)</f>
        <v>-260000</v>
      </c>
      <c r="S57" s="2"/>
    </row>
    <row r="58" spans="14:19" x14ac:dyDescent="0.25">
      <c r="O58" s="4"/>
      <c r="P58" s="10"/>
      <c r="Q58" s="16"/>
      <c r="R58" s="16"/>
    </row>
    <row r="59" spans="14:19" x14ac:dyDescent="0.25">
      <c r="O59" s="3"/>
      <c r="P59" s="11"/>
      <c r="Q59" s="3"/>
      <c r="R59" s="3"/>
    </row>
    <row r="60" spans="14:19" x14ac:dyDescent="0.25">
      <c r="P60" s="13">
        <f>SUM(P55:P57)</f>
        <v>-300000</v>
      </c>
      <c r="Q60" s="7"/>
      <c r="R60" s="16">
        <f>SUM(R56:R58)</f>
        <v>-300000</v>
      </c>
    </row>
    <row r="62" spans="14:19" x14ac:dyDescent="0.25">
      <c r="N62" t="s">
        <v>29</v>
      </c>
    </row>
    <row r="63" spans="14:19" x14ac:dyDescent="0.25">
      <c r="P63" s="30" t="s">
        <v>5</v>
      </c>
      <c r="Q63" s="30"/>
      <c r="R63" s="3"/>
    </row>
    <row r="64" spans="14:19" x14ac:dyDescent="0.25">
      <c r="O64" s="9" t="s">
        <v>1</v>
      </c>
      <c r="P64" s="12">
        <f>Q51+P55</f>
        <v>900000</v>
      </c>
      <c r="Q64" s="7"/>
      <c r="R64" s="7"/>
    </row>
    <row r="65" spans="15:18" x14ac:dyDescent="0.25">
      <c r="P65" s="13"/>
      <c r="Q65" s="7" t="s">
        <v>10</v>
      </c>
      <c r="R65" s="7">
        <f>Q48+R56</f>
        <v>60000</v>
      </c>
    </row>
    <row r="66" spans="15:18" x14ac:dyDescent="0.25">
      <c r="O66" s="4"/>
      <c r="P66" s="13"/>
      <c r="Q66" s="16" t="s">
        <v>11</v>
      </c>
      <c r="R66" s="16">
        <f>Q49+R57</f>
        <v>240000</v>
      </c>
    </row>
    <row r="67" spans="15:18" x14ac:dyDescent="0.25">
      <c r="O67" s="4"/>
      <c r="P67" s="10"/>
      <c r="Q67" s="16" t="s">
        <v>30</v>
      </c>
      <c r="R67" s="16">
        <f>Q50</f>
        <v>600000</v>
      </c>
    </row>
    <row r="68" spans="15:18" x14ac:dyDescent="0.25">
      <c r="O68" s="3"/>
      <c r="P68" s="11"/>
      <c r="Q68" s="3"/>
      <c r="R68" s="3"/>
    </row>
    <row r="69" spans="15:18" x14ac:dyDescent="0.25">
      <c r="P69" s="13">
        <f>SUM(P64:P66)</f>
        <v>900000</v>
      </c>
      <c r="Q69" s="7"/>
      <c r="R69" s="16">
        <f>SUM(R65:R67)</f>
        <v>900000</v>
      </c>
    </row>
  </sheetData>
  <mergeCells count="14">
    <mergeCell ref="I9:J9"/>
    <mergeCell ref="P54:Q54"/>
    <mergeCell ref="P63:Q63"/>
    <mergeCell ref="W4:X4"/>
    <mergeCell ref="W14:X14"/>
    <mergeCell ref="W29:X29"/>
    <mergeCell ref="P4:Q4"/>
    <mergeCell ref="P11:Q11"/>
    <mergeCell ref="P20:Q20"/>
    <mergeCell ref="C3:D3"/>
    <mergeCell ref="C9:D9"/>
    <mergeCell ref="C15:D15"/>
    <mergeCell ref="C26:D26"/>
    <mergeCell ref="C34:D34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Oleksandra</dc:creator>
  <cp:lastModifiedBy>Oleksandra Lemeshko</cp:lastModifiedBy>
  <dcterms:created xsi:type="dcterms:W3CDTF">2018-11-04T15:47:01Z</dcterms:created>
  <dcterms:modified xsi:type="dcterms:W3CDTF">2020-12-14T18:14:41Z</dcterms:modified>
</cp:coreProperties>
</file>