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ACP_I\"/>
    </mc:Choice>
  </mc:AlternateContent>
  <xr:revisionPtr revIDLastSave="0" documentId="8_{15A47DBD-3F7E-4A43-8299-213B52EF3AF4}" xr6:coauthVersionLast="36" xr6:coauthVersionMax="36" xr10:uidLastSave="{00000000-0000-0000-0000-000000000000}"/>
  <bookViews>
    <workbookView xWindow="0" yWindow="0" windowWidth="28800" windowHeight="14025" xr2:uid="{3D60D705-6493-4BB0-AA6E-55F6CAC7D2B3}"/>
  </bookViews>
  <sheets>
    <sheet name="Pr01" sheetId="2" r:id="rId1"/>
    <sheet name="Pr02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" i="1" l="1"/>
  <c r="N37" i="1"/>
  <c r="W31" i="1"/>
  <c r="R25" i="1"/>
  <c r="O19" i="1"/>
  <c r="J12" i="1"/>
  <c r="O49" i="1" l="1"/>
  <c r="P50" i="1"/>
  <c r="P48" i="1"/>
  <c r="P46" i="1"/>
  <c r="AA27" i="1"/>
  <c r="D34" i="2"/>
  <c r="E29" i="2"/>
  <c r="E15" i="2"/>
  <c r="E16" i="2" s="1"/>
  <c r="F23" i="2"/>
  <c r="F25" i="2" s="1"/>
  <c r="G23" i="2"/>
  <c r="H23" i="2"/>
  <c r="I23" i="2"/>
  <c r="J23" i="2"/>
  <c r="J28" i="2" s="1"/>
  <c r="K23" i="2"/>
  <c r="L23" i="2"/>
  <c r="E23" i="2"/>
  <c r="E25" i="2" s="1"/>
  <c r="D33" i="2"/>
  <c r="K28" i="2"/>
  <c r="L28" i="2"/>
  <c r="J25" i="2"/>
  <c r="K25" i="2"/>
  <c r="L25" i="2"/>
  <c r="L22" i="2"/>
  <c r="H28" i="2"/>
  <c r="G28" i="2"/>
  <c r="G25" i="2"/>
  <c r="I25" i="2"/>
  <c r="H25" i="2"/>
  <c r="F22" i="2"/>
  <c r="G22" i="2"/>
  <c r="H22" i="2"/>
  <c r="I22" i="2"/>
  <c r="J22" i="2"/>
  <c r="K22" i="2"/>
  <c r="E22" i="2"/>
  <c r="F14" i="2"/>
  <c r="G14" i="2"/>
  <c r="H14" i="2"/>
  <c r="I14" i="2"/>
  <c r="E14" i="2"/>
  <c r="E13" i="2"/>
  <c r="E12" i="2"/>
  <c r="F11" i="2"/>
  <c r="G11" i="2"/>
  <c r="H11" i="2"/>
  <c r="I11" i="2"/>
  <c r="E11" i="2"/>
  <c r="E10" i="2"/>
  <c r="I9" i="2"/>
  <c r="I8" i="2"/>
  <c r="F8" i="2"/>
  <c r="F9" i="2" s="1"/>
  <c r="G8" i="2"/>
  <c r="G9" i="2" s="1"/>
  <c r="H8" i="2"/>
  <c r="H9" i="2" s="1"/>
  <c r="E8" i="2"/>
  <c r="E9" i="2" s="1"/>
  <c r="B7" i="1"/>
  <c r="D40" i="1"/>
  <c r="D41" i="1" s="1"/>
  <c r="D28" i="1"/>
  <c r="D15" i="1"/>
  <c r="D16" i="1" s="1"/>
  <c r="K21" i="1"/>
  <c r="L21" i="1"/>
  <c r="M21" i="1"/>
  <c r="N21" i="1"/>
  <c r="O21" i="1"/>
  <c r="K39" i="1"/>
  <c r="L39" i="1"/>
  <c r="M39" i="1"/>
  <c r="N39" i="1"/>
  <c r="J39" i="1"/>
  <c r="I39" i="1"/>
  <c r="H39" i="1"/>
  <c r="G39" i="1"/>
  <c r="F39" i="1"/>
  <c r="E39" i="1"/>
  <c r="D39" i="1"/>
  <c r="D38" i="1"/>
  <c r="O50" i="1" s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K27" i="1"/>
  <c r="L27" i="1"/>
  <c r="M27" i="1"/>
  <c r="N27" i="1"/>
  <c r="O27" i="1"/>
  <c r="P27" i="1"/>
  <c r="Q27" i="1"/>
  <c r="R27" i="1"/>
  <c r="D32" i="1"/>
  <c r="J33" i="1"/>
  <c r="I33" i="1"/>
  <c r="H33" i="1"/>
  <c r="G33" i="1"/>
  <c r="F33" i="1"/>
  <c r="E33" i="1"/>
  <c r="D33" i="1"/>
  <c r="D34" i="1" s="1"/>
  <c r="J27" i="1"/>
  <c r="I27" i="1"/>
  <c r="H27" i="1"/>
  <c r="G27" i="1"/>
  <c r="F27" i="1"/>
  <c r="E27" i="1"/>
  <c r="D27" i="1"/>
  <c r="J21" i="1"/>
  <c r="I21" i="1"/>
  <c r="H21" i="1"/>
  <c r="G21" i="1"/>
  <c r="F21" i="1"/>
  <c r="E21" i="1"/>
  <c r="D21" i="1"/>
  <c r="D22" i="1" s="1"/>
  <c r="D23" i="1" s="1"/>
  <c r="E14" i="1"/>
  <c r="F14" i="1"/>
  <c r="G14" i="1"/>
  <c r="H14" i="1"/>
  <c r="I14" i="1"/>
  <c r="J14" i="1"/>
  <c r="D14" i="1"/>
  <c r="E37" i="1"/>
  <c r="F37" i="1"/>
  <c r="G37" i="1"/>
  <c r="H37" i="1"/>
  <c r="I37" i="1"/>
  <c r="J37" i="1"/>
  <c r="K37" i="1"/>
  <c r="L37" i="1"/>
  <c r="M37" i="1"/>
  <c r="D37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1" i="1"/>
  <c r="D26" i="1"/>
  <c r="O48" i="1" s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D25" i="1"/>
  <c r="D20" i="1"/>
  <c r="O47" i="1" s="1"/>
  <c r="E19" i="1"/>
  <c r="F19" i="1"/>
  <c r="G19" i="1"/>
  <c r="H19" i="1"/>
  <c r="I19" i="1"/>
  <c r="J19" i="1"/>
  <c r="K19" i="1"/>
  <c r="L19" i="1"/>
  <c r="M19" i="1"/>
  <c r="N19" i="1"/>
  <c r="D19" i="1"/>
  <c r="D13" i="1"/>
  <c r="O46" i="1" s="1"/>
  <c r="E12" i="1"/>
  <c r="F12" i="1"/>
  <c r="G12" i="1"/>
  <c r="H12" i="1"/>
  <c r="I12" i="1"/>
  <c r="D12" i="1"/>
  <c r="S48" i="1" l="1"/>
  <c r="T48" i="1" s="1"/>
  <c r="S50" i="1"/>
  <c r="T50" i="1" s="1"/>
  <c r="D35" i="1"/>
  <c r="Y31" i="1" s="1"/>
  <c r="D29" i="1"/>
  <c r="Q48" i="1" s="1"/>
  <c r="R48" i="1" s="1"/>
  <c r="Q46" i="1"/>
  <c r="R46" i="1" s="1"/>
  <c r="Y12" i="1"/>
  <c r="S46" i="1"/>
  <c r="T46" i="1" s="1"/>
  <c r="Q50" i="1"/>
  <c r="R50" i="1" s="1"/>
  <c r="Y37" i="1"/>
  <c r="Y25" i="1"/>
  <c r="Q47" i="1"/>
  <c r="Y19" i="1"/>
  <c r="E26" i="2"/>
  <c r="E24" i="2"/>
  <c r="E28" i="2"/>
  <c r="I28" i="2"/>
  <c r="F28" i="2"/>
  <c r="Q49" i="1" l="1"/>
  <c r="AA34" i="1"/>
  <c r="AA25" i="1"/>
  <c r="AA31" i="1" s="1"/>
  <c r="AA36" i="1" s="1"/>
  <c r="P47" i="1" s="1"/>
  <c r="E27" i="2"/>
  <c r="E30" i="2"/>
  <c r="AA38" i="1" l="1"/>
  <c r="P49" i="1" s="1"/>
  <c r="P51" i="1" s="1"/>
  <c r="S47" i="1"/>
  <c r="T47" i="1" s="1"/>
  <c r="R47" i="1"/>
  <c r="R49" i="1" l="1"/>
  <c r="R51" i="1" s="1"/>
  <c r="S49" i="1"/>
  <c r="T49" i="1" s="1"/>
  <c r="T51" i="1" s="1"/>
</calcChain>
</file>

<file path=xl/sharedStrings.xml><?xml version="1.0" encoding="utf-8"?>
<sst xmlns="http://schemas.openxmlformats.org/spreadsheetml/2006/main" count="74" uniqueCount="36">
  <si>
    <t>Zavazky</t>
  </si>
  <si>
    <t>T</t>
  </si>
  <si>
    <t>NPV</t>
  </si>
  <si>
    <t>D</t>
  </si>
  <si>
    <t>A</t>
  </si>
  <si>
    <t>B</t>
  </si>
  <si>
    <t>C</t>
  </si>
  <si>
    <t>E</t>
  </si>
  <si>
    <t>wi</t>
  </si>
  <si>
    <t>?</t>
  </si>
  <si>
    <t>CF</t>
  </si>
  <si>
    <t>DCF</t>
  </si>
  <si>
    <t>c</t>
  </si>
  <si>
    <t>ytm</t>
  </si>
  <si>
    <t>Nominal</t>
  </si>
  <si>
    <t>P</t>
  </si>
  <si>
    <t>t*DCF</t>
  </si>
  <si>
    <t>sum</t>
  </si>
  <si>
    <t>D v letech</t>
  </si>
  <si>
    <t>t*(t+1)*DCF</t>
  </si>
  <si>
    <t>CX</t>
  </si>
  <si>
    <t>Portfolio ytm</t>
  </si>
  <si>
    <t>Portfolio CX</t>
  </si>
  <si>
    <t>Proof</t>
  </si>
  <si>
    <t>wi*Di</t>
  </si>
  <si>
    <t>#_i</t>
  </si>
  <si>
    <t>P_i</t>
  </si>
  <si>
    <t>w_i</t>
  </si>
  <si>
    <t>D_i</t>
  </si>
  <si>
    <t>P_i*#_i</t>
  </si>
  <si>
    <t>Year</t>
  </si>
  <si>
    <t>coupon</t>
  </si>
  <si>
    <t>Durace</t>
  </si>
  <si>
    <t xml:space="preserve">  let</t>
  </si>
  <si>
    <t>… podíl durace v portfoliu</t>
  </si>
  <si>
    <t>..zastoupeni 3 obligaci v portfoliu - durace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</si>
</sst>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" xfId="0" applyFont="1" applyFill="1" applyBorder="1" applyAlignment="1">
      <alignment horizontal="right"/>
    </xf>
    <xf numFmtId="0" fontId="6" fillId="3" borderId="8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469F-43AC-4126-A826-61D6A58B792F}">
  <dimension ref="C4:L34"/>
  <sheetViews>
    <sheetView tabSelected="1" workbookViewId="0">
      <selection activeCell="H40" sqref="H40"/>
    </sheetView>
  </sheetViews>
  <sheetFormatPr defaultRowHeight="15" x14ac:dyDescent="0.25"/>
  <cols>
    <col min="3" max="3" width="12.7109375" bestFit="1" customWidth="1"/>
  </cols>
  <sheetData>
    <row r="4" spans="3:9" x14ac:dyDescent="0.25">
      <c r="D4" s="1" t="s">
        <v>4</v>
      </c>
    </row>
    <row r="5" spans="3:9" x14ac:dyDescent="0.25">
      <c r="C5" t="s">
        <v>12</v>
      </c>
      <c r="D5">
        <v>4.8000000000000001E-2</v>
      </c>
    </row>
    <row r="6" spans="3:9" x14ac:dyDescent="0.25">
      <c r="C6" t="s">
        <v>13</v>
      </c>
      <c r="D6">
        <v>4.2000000000000003E-2</v>
      </c>
    </row>
    <row r="7" spans="3:9" x14ac:dyDescent="0.25">
      <c r="C7" t="s">
        <v>14</v>
      </c>
      <c r="D7">
        <v>10000</v>
      </c>
      <c r="E7">
        <v>1</v>
      </c>
      <c r="F7">
        <v>2</v>
      </c>
      <c r="G7">
        <v>3</v>
      </c>
      <c r="H7">
        <v>4</v>
      </c>
      <c r="I7">
        <v>5</v>
      </c>
    </row>
    <row r="8" spans="3:9" x14ac:dyDescent="0.25">
      <c r="D8" t="s">
        <v>10</v>
      </c>
      <c r="E8">
        <f>$D$7*$D$5</f>
        <v>480</v>
      </c>
      <c r="F8">
        <f>$D$7*$D$5</f>
        <v>480</v>
      </c>
      <c r="G8">
        <f>$D$7*$D$5</f>
        <v>480</v>
      </c>
      <c r="H8">
        <f>$D$7*$D$5</f>
        <v>480</v>
      </c>
      <c r="I8">
        <f>$D$7*$D$5+D7</f>
        <v>10480</v>
      </c>
    </row>
    <row r="9" spans="3:9" x14ac:dyDescent="0.25">
      <c r="D9" t="s">
        <v>11</v>
      </c>
      <c r="E9">
        <f>E8/(1+$D$6)^E7</f>
        <v>460.6525911708253</v>
      </c>
      <c r="F9">
        <f>F8/(1+$D$6)^F7</f>
        <v>442.08502031749066</v>
      </c>
      <c r="G9">
        <f>G8/(1+$D$6)^G7</f>
        <v>424.26585443137293</v>
      </c>
      <c r="H9">
        <f>H8/(1+$D$6)^H7</f>
        <v>407.16492747732525</v>
      </c>
      <c r="I9">
        <f>I8/(1+$D$6)^I7</f>
        <v>8531.4468169433148</v>
      </c>
    </row>
    <row r="10" spans="3:9" x14ac:dyDescent="0.25">
      <c r="D10" t="s">
        <v>15</v>
      </c>
      <c r="E10">
        <f>SUM(E9:I9)</f>
        <v>10265.615210340329</v>
      </c>
    </row>
    <row r="11" spans="3:9" x14ac:dyDescent="0.25">
      <c r="D11" t="s">
        <v>16</v>
      </c>
      <c r="E11">
        <f>E7*E9</f>
        <v>460.6525911708253</v>
      </c>
      <c r="F11">
        <f>F7*F9</f>
        <v>884.17004063498132</v>
      </c>
      <c r="G11">
        <f>G7*G9</f>
        <v>1272.7975632941188</v>
      </c>
      <c r="H11">
        <f>H7*H9</f>
        <v>1628.659709909301</v>
      </c>
      <c r="I11">
        <f>I7*I9</f>
        <v>42657.234084716576</v>
      </c>
    </row>
    <row r="12" spans="3:9" x14ac:dyDescent="0.25">
      <c r="D12" t="s">
        <v>17</v>
      </c>
      <c r="E12">
        <f>SUM(E11:I11)</f>
        <v>46903.513989725805</v>
      </c>
    </row>
    <row r="13" spans="3:9" x14ac:dyDescent="0.25">
      <c r="D13" t="s">
        <v>18</v>
      </c>
      <c r="E13">
        <f>E12/E10</f>
        <v>4.5689920212946342</v>
      </c>
    </row>
    <row r="14" spans="3:9" x14ac:dyDescent="0.25">
      <c r="D14" t="s">
        <v>19</v>
      </c>
      <c r="E14">
        <f>E7*(E7+1)*E9</f>
        <v>921.30518234165061</v>
      </c>
      <c r="F14">
        <f>F7*(F7+1)*F9</f>
        <v>2652.5101219049438</v>
      </c>
      <c r="G14">
        <f>G7*(G7+1)*G9</f>
        <v>5091.1902531764754</v>
      </c>
      <c r="H14">
        <f>H7*(H7+1)*H9</f>
        <v>8143.2985495465055</v>
      </c>
      <c r="I14">
        <f>I7*(I7+1)*I9</f>
        <v>255943.40450829946</v>
      </c>
    </row>
    <row r="15" spans="3:9" x14ac:dyDescent="0.25">
      <c r="D15" t="s">
        <v>17</v>
      </c>
      <c r="E15">
        <f>SUM(E14:I14)/(1+D6)^2</f>
        <v>251207.17634335731</v>
      </c>
    </row>
    <row r="16" spans="3:9" x14ac:dyDescent="0.25">
      <c r="D16" s="1" t="s">
        <v>20</v>
      </c>
      <c r="E16" s="1">
        <f>E15/E10</f>
        <v>24.470737622263673</v>
      </c>
    </row>
    <row r="18" spans="3:12" x14ac:dyDescent="0.25">
      <c r="D18" t="s">
        <v>5</v>
      </c>
    </row>
    <row r="19" spans="3:12" x14ac:dyDescent="0.25">
      <c r="C19" t="s">
        <v>12</v>
      </c>
      <c r="D19">
        <v>0.08</v>
      </c>
    </row>
    <row r="20" spans="3:12" x14ac:dyDescent="0.25">
      <c r="C20" t="s">
        <v>13</v>
      </c>
      <c r="D20">
        <v>4.9000000000000002E-2</v>
      </c>
    </row>
    <row r="21" spans="3:12" x14ac:dyDescent="0.25">
      <c r="C21" t="s">
        <v>14</v>
      </c>
      <c r="D21">
        <v>10000</v>
      </c>
      <c r="E21">
        <v>1</v>
      </c>
      <c r="F21">
        <v>2</v>
      </c>
      <c r="G21">
        <v>3</v>
      </c>
      <c r="H21">
        <v>4</v>
      </c>
      <c r="I21">
        <v>5</v>
      </c>
      <c r="J21">
        <v>6</v>
      </c>
      <c r="K21">
        <v>7</v>
      </c>
      <c r="L21">
        <v>8</v>
      </c>
    </row>
    <row r="22" spans="3:12" x14ac:dyDescent="0.25">
      <c r="D22" t="s">
        <v>10</v>
      </c>
      <c r="E22">
        <f>$D$21*$D$19</f>
        <v>800</v>
      </c>
      <c r="F22">
        <f t="shared" ref="F22:K22" si="0">$D$21*$D$19</f>
        <v>800</v>
      </c>
      <c r="G22">
        <f t="shared" si="0"/>
        <v>800</v>
      </c>
      <c r="H22">
        <f t="shared" si="0"/>
        <v>800</v>
      </c>
      <c r="I22">
        <f t="shared" si="0"/>
        <v>800</v>
      </c>
      <c r="J22">
        <f t="shared" si="0"/>
        <v>800</v>
      </c>
      <c r="K22">
        <f t="shared" si="0"/>
        <v>800</v>
      </c>
      <c r="L22">
        <f>$D$21*$D$19+D21</f>
        <v>10800</v>
      </c>
    </row>
    <row r="23" spans="3:12" x14ac:dyDescent="0.25">
      <c r="D23" t="s">
        <v>11</v>
      </c>
      <c r="E23">
        <f>E22/(1+$D$20)^E21</f>
        <v>762.63107721639665</v>
      </c>
      <c r="F23">
        <f t="shared" ref="F23:L23" si="1">F22/(1+$D$20)^F21</f>
        <v>727.00769992030177</v>
      </c>
      <c r="G23">
        <f t="shared" si="1"/>
        <v>693.04833166854314</v>
      </c>
      <c r="H23">
        <f t="shared" si="1"/>
        <v>660.67524467925944</v>
      </c>
      <c r="I23">
        <f t="shared" si="1"/>
        <v>629.81434192493759</v>
      </c>
      <c r="J23">
        <f t="shared" si="1"/>
        <v>600.39498753568876</v>
      </c>
      <c r="K23">
        <f t="shared" si="1"/>
        <v>572.34984512458414</v>
      </c>
      <c r="L23">
        <f t="shared" si="1"/>
        <v>7365.7987694774893</v>
      </c>
    </row>
    <row r="24" spans="3:12" x14ac:dyDescent="0.25">
      <c r="D24" t="s">
        <v>15</v>
      </c>
      <c r="E24">
        <f>SUM(E23:L23)</f>
        <v>12011.720297547201</v>
      </c>
    </row>
    <row r="25" spans="3:12" x14ac:dyDescent="0.25">
      <c r="D25" t="s">
        <v>16</v>
      </c>
      <c r="E25">
        <f>E21*E23</f>
        <v>762.63107721639665</v>
      </c>
      <c r="F25">
        <f t="shared" ref="F25:L25" si="2">F21*F23</f>
        <v>1454.0153998406035</v>
      </c>
      <c r="G25">
        <f t="shared" si="2"/>
        <v>2079.1449950056294</v>
      </c>
      <c r="H25">
        <f t="shared" si="2"/>
        <v>2642.7009787170377</v>
      </c>
      <c r="I25">
        <f t="shared" si="2"/>
        <v>3149.0717096246881</v>
      </c>
      <c r="J25">
        <f t="shared" si="2"/>
        <v>3602.3699252141323</v>
      </c>
      <c r="K25">
        <f t="shared" si="2"/>
        <v>4006.4489158720889</v>
      </c>
      <c r="L25">
        <f t="shared" si="2"/>
        <v>58926.390155819914</v>
      </c>
    </row>
    <row r="26" spans="3:12" x14ac:dyDescent="0.25">
      <c r="D26" t="s">
        <v>17</v>
      </c>
      <c r="E26">
        <f>SUM(E25:L25)</f>
        <v>76622.773157310497</v>
      </c>
    </row>
    <row r="27" spans="3:12" x14ac:dyDescent="0.25">
      <c r="D27" t="s">
        <v>18</v>
      </c>
      <c r="E27">
        <f>E26/E24</f>
        <v>6.3790007808420999</v>
      </c>
    </row>
    <row r="28" spans="3:12" x14ac:dyDescent="0.25">
      <c r="D28" t="s">
        <v>19</v>
      </c>
      <c r="E28">
        <f>E21*(E21+1)*E23</f>
        <v>1525.2621544327933</v>
      </c>
      <c r="F28">
        <f t="shared" ref="F28:L28" si="3">F21*(F21+1)*F23</f>
        <v>4362.0461995218102</v>
      </c>
      <c r="G28">
        <f t="shared" si="3"/>
        <v>8316.5799800225177</v>
      </c>
      <c r="H28">
        <f t="shared" si="3"/>
        <v>13213.504893585188</v>
      </c>
      <c r="I28">
        <f t="shared" si="3"/>
        <v>18894.430257748128</v>
      </c>
      <c r="J28">
        <f t="shared" si="3"/>
        <v>25216.589476498928</v>
      </c>
      <c r="K28">
        <f t="shared" si="3"/>
        <v>32051.591326976712</v>
      </c>
      <c r="L28">
        <f t="shared" si="3"/>
        <v>530337.51140237926</v>
      </c>
    </row>
    <row r="29" spans="3:12" x14ac:dyDescent="0.25">
      <c r="D29" t="s">
        <v>17</v>
      </c>
      <c r="E29">
        <f>SUM(E28:L28)/(1+D20)</f>
        <v>604306.49732236925</v>
      </c>
    </row>
    <row r="30" spans="3:12" x14ac:dyDescent="0.25">
      <c r="D30" s="1" t="s">
        <v>20</v>
      </c>
      <c r="E30" s="1">
        <f>E29/E24</f>
        <v>50.309737685597703</v>
      </c>
    </row>
    <row r="33" spans="3:4" x14ac:dyDescent="0.25">
      <c r="C33" s="1" t="s">
        <v>21</v>
      </c>
      <c r="D33" s="1">
        <f>D20*0.5+0.5*D6</f>
        <v>4.5499999999999999E-2</v>
      </c>
    </row>
    <row r="34" spans="3:4" x14ac:dyDescent="0.25">
      <c r="C34" s="1" t="s">
        <v>22</v>
      </c>
      <c r="D34" s="1">
        <f>0.5*E30+0.5*E16</f>
        <v>37.39023765393069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4D3D-16B9-461D-A572-96739C01A493}">
  <dimension ref="A5:AB51"/>
  <sheetViews>
    <sheetView topLeftCell="A4" workbookViewId="0">
      <selection activeCell="T38" sqref="T38"/>
    </sheetView>
  </sheetViews>
  <sheetFormatPr defaultRowHeight="15" x14ac:dyDescent="0.25"/>
  <cols>
    <col min="1" max="1" width="9.140625" style="2"/>
    <col min="2" max="2" width="11.5703125" style="2" bestFit="1" customWidth="1"/>
    <col min="3" max="3" width="2.5703125" style="2" customWidth="1"/>
    <col min="4" max="24" width="9.140625" style="2"/>
    <col min="25" max="25" width="12.7109375" style="2" bestFit="1" customWidth="1"/>
    <col min="26" max="16384" width="9.140625" style="2"/>
  </cols>
  <sheetData>
    <row r="5" spans="1:25" ht="18.75" x14ac:dyDescent="0.3">
      <c r="A5" s="3" t="s">
        <v>0</v>
      </c>
      <c r="B5" s="4">
        <v>20000000</v>
      </c>
    </row>
    <row r="6" spans="1:25" x14ac:dyDescent="0.25">
      <c r="A6" s="2" t="s">
        <v>1</v>
      </c>
      <c r="B6" s="5">
        <v>8</v>
      </c>
    </row>
    <row r="7" spans="1:25" x14ac:dyDescent="0.25">
      <c r="A7" s="2" t="s">
        <v>2</v>
      </c>
      <c r="B7" s="29">
        <f>B5/1.029^B6</f>
        <v>15911348.849523405</v>
      </c>
    </row>
    <row r="8" spans="1:25" x14ac:dyDescent="0.25">
      <c r="A8" s="2" t="s">
        <v>3</v>
      </c>
      <c r="B8" s="4">
        <v>8</v>
      </c>
    </row>
    <row r="11" spans="1:25" ht="18.75" x14ac:dyDescent="0.3">
      <c r="A11" s="3" t="s">
        <v>4</v>
      </c>
      <c r="B11" s="6" t="s">
        <v>30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Y11" s="2" t="s">
        <v>34</v>
      </c>
    </row>
    <row r="12" spans="1:25" x14ac:dyDescent="0.25">
      <c r="A12" s="7" t="s">
        <v>31</v>
      </c>
      <c r="B12" s="8">
        <v>3.7999999999999999E-2</v>
      </c>
      <c r="D12" s="2">
        <f>$B$14*$B$12/(1+$B$13)^D11</f>
        <v>7307.6923076923076</v>
      </c>
      <c r="E12" s="2">
        <f t="shared" ref="E12:J12" si="0">$B$14*$B$12/(1+$B$13)^E11</f>
        <v>7026.6272189349102</v>
      </c>
      <c r="F12" s="2">
        <f t="shared" si="0"/>
        <v>6756.372325898953</v>
      </c>
      <c r="G12" s="2">
        <f t="shared" si="0"/>
        <v>6496.5118518259151</v>
      </c>
      <c r="H12" s="2">
        <f t="shared" si="0"/>
        <v>6246.6460113710718</v>
      </c>
      <c r="I12" s="2">
        <f t="shared" si="0"/>
        <v>6006.3903955491078</v>
      </c>
      <c r="J12" s="2">
        <f>(B14+$B$14*$B$12)/(1+$B$13)^J11</f>
        <v>157758.93802074832</v>
      </c>
      <c r="Y12" s="2">
        <f>B15*D16</f>
        <v>0.31356412041299397</v>
      </c>
    </row>
    <row r="13" spans="1:25" x14ac:dyDescent="0.25">
      <c r="A13" s="7" t="s">
        <v>13</v>
      </c>
      <c r="B13" s="8">
        <v>0.04</v>
      </c>
      <c r="D13" s="9">
        <f>SUM(D12:J12)</f>
        <v>197599.17813202058</v>
      </c>
    </row>
    <row r="14" spans="1:25" x14ac:dyDescent="0.25">
      <c r="A14" s="7"/>
      <c r="B14" s="8">
        <v>200000</v>
      </c>
      <c r="D14" s="2">
        <f>D11*D12</f>
        <v>7307.6923076923076</v>
      </c>
      <c r="E14" s="2">
        <f t="shared" ref="E14:J14" si="1">E11*E12</f>
        <v>14053.25443786982</v>
      </c>
      <c r="F14" s="2">
        <f t="shared" si="1"/>
        <v>20269.11697769686</v>
      </c>
      <c r="G14" s="2">
        <f t="shared" si="1"/>
        <v>25986.04740730366</v>
      </c>
      <c r="H14" s="2">
        <f t="shared" si="1"/>
        <v>31233.230056855358</v>
      </c>
      <c r="I14" s="2">
        <f t="shared" si="1"/>
        <v>36038.342373294647</v>
      </c>
      <c r="J14" s="2">
        <f t="shared" si="1"/>
        <v>1104312.5661452382</v>
      </c>
    </row>
    <row r="15" spans="1:25" x14ac:dyDescent="0.25">
      <c r="A15" s="7" t="s">
        <v>8</v>
      </c>
      <c r="B15" s="8">
        <v>0.05</v>
      </c>
      <c r="D15" s="9">
        <f>SUM(D14:J14)</f>
        <v>1239200.249705951</v>
      </c>
    </row>
    <row r="16" spans="1:25" x14ac:dyDescent="0.25">
      <c r="B16" s="6" t="s">
        <v>32</v>
      </c>
      <c r="C16" s="7"/>
      <c r="D16" s="2">
        <f>D15/D13</f>
        <v>6.2712824082598795</v>
      </c>
      <c r="E16" s="7" t="s">
        <v>33</v>
      </c>
    </row>
    <row r="17" spans="1:27" x14ac:dyDescent="0.25">
      <c r="B17" s="6"/>
    </row>
    <row r="18" spans="1:27" ht="18.75" x14ac:dyDescent="0.3">
      <c r="A18" s="3" t="s">
        <v>5</v>
      </c>
      <c r="B18" s="6"/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>
        <v>7</v>
      </c>
      <c r="K18" s="2">
        <v>8</v>
      </c>
      <c r="L18" s="2">
        <v>9</v>
      </c>
      <c r="M18" s="2">
        <v>10</v>
      </c>
      <c r="N18" s="2">
        <v>11</v>
      </c>
      <c r="O18" s="2">
        <v>12</v>
      </c>
    </row>
    <row r="19" spans="1:27" x14ac:dyDescent="0.25">
      <c r="A19" s="7" t="s">
        <v>31</v>
      </c>
      <c r="B19" s="8">
        <v>4.3999999999999997E-2</v>
      </c>
      <c r="D19" s="2">
        <f>$B$21*$B$19/(1+$B$20)^D18</f>
        <v>2121.5043394406944</v>
      </c>
      <c r="E19" s="2">
        <f t="shared" ref="E19:O19" si="2">$B$21*$B$19/(1+$B$20)^E18</f>
        <v>2045.8093919389535</v>
      </c>
      <c r="F19" s="2">
        <f t="shared" si="2"/>
        <v>1972.8152284850082</v>
      </c>
      <c r="G19" s="2">
        <f t="shared" si="2"/>
        <v>1902.4254855207409</v>
      </c>
      <c r="H19" s="2">
        <f t="shared" si="2"/>
        <v>1834.5472377249191</v>
      </c>
      <c r="I19" s="2">
        <f t="shared" si="2"/>
        <v>1769.0908753374342</v>
      </c>
      <c r="J19" s="2">
        <f t="shared" si="2"/>
        <v>1705.9699858605923</v>
      </c>
      <c r="K19" s="2">
        <f t="shared" si="2"/>
        <v>1645.1012399812851</v>
      </c>
      <c r="L19" s="2">
        <f t="shared" si="2"/>
        <v>1586.404281563438</v>
      </c>
      <c r="M19" s="2">
        <f t="shared" si="2"/>
        <v>1529.8016215655141</v>
      </c>
      <c r="N19" s="2">
        <f t="shared" si="2"/>
        <v>1475.2185357430221</v>
      </c>
      <c r="O19" s="2">
        <f>(B21+$B$21*$B$19)/(1+$B$20)^O18</f>
        <v>33754.014011477942</v>
      </c>
      <c r="Y19" s="2" t="e">
        <f>B22*D23</f>
        <v>#VALUE!</v>
      </c>
    </row>
    <row r="20" spans="1:27" x14ac:dyDescent="0.25">
      <c r="A20" s="7" t="s">
        <v>13</v>
      </c>
      <c r="B20" s="8">
        <v>3.6999999999999998E-2</v>
      </c>
      <c r="D20" s="9">
        <f>SUM(D19:O19)</f>
        <v>53342.702234639539</v>
      </c>
    </row>
    <row r="21" spans="1:27" x14ac:dyDescent="0.25">
      <c r="A21" s="7"/>
      <c r="B21" s="8">
        <v>50000</v>
      </c>
      <c r="D21" s="2">
        <f>D18*D19</f>
        <v>2121.5043394406944</v>
      </c>
      <c r="E21" s="2">
        <f t="shared" ref="E21:O21" si="3">E18*E19</f>
        <v>4091.6187838779069</v>
      </c>
      <c r="F21" s="2">
        <f t="shared" si="3"/>
        <v>5918.4456854550244</v>
      </c>
      <c r="G21" s="2">
        <f t="shared" si="3"/>
        <v>7609.7019420829638</v>
      </c>
      <c r="H21" s="2">
        <f t="shared" si="3"/>
        <v>9172.7361886245963</v>
      </c>
      <c r="I21" s="2">
        <f t="shared" si="3"/>
        <v>10614.545252024605</v>
      </c>
      <c r="J21" s="2">
        <f t="shared" si="3"/>
        <v>11941.789901024145</v>
      </c>
      <c r="K21" s="2">
        <f t="shared" si="3"/>
        <v>13160.80991985028</v>
      </c>
      <c r="L21" s="2">
        <f t="shared" si="3"/>
        <v>14277.638534070942</v>
      </c>
      <c r="M21" s="2">
        <f t="shared" si="3"/>
        <v>15298.016215655141</v>
      </c>
      <c r="N21" s="2">
        <f t="shared" si="3"/>
        <v>16227.403893173243</v>
      </c>
      <c r="O21" s="2">
        <f t="shared" si="3"/>
        <v>405048.16813773534</v>
      </c>
    </row>
    <row r="22" spans="1:27" x14ac:dyDescent="0.25">
      <c r="A22" s="7" t="s">
        <v>8</v>
      </c>
      <c r="B22" s="10" t="s">
        <v>9</v>
      </c>
      <c r="C22" s="11"/>
      <c r="D22" s="9">
        <f>SUM(D21:O21)</f>
        <v>515482.37879301491</v>
      </c>
    </row>
    <row r="23" spans="1:27" x14ac:dyDescent="0.25">
      <c r="B23" s="6" t="s">
        <v>32</v>
      </c>
      <c r="C23" s="7"/>
      <c r="D23" s="2">
        <f>D22/D20</f>
        <v>9.6635970282411439</v>
      </c>
      <c r="E23" s="7" t="s">
        <v>33</v>
      </c>
    </row>
    <row r="24" spans="1:27" ht="18.75" x14ac:dyDescent="0.3">
      <c r="A24" s="3" t="s">
        <v>6</v>
      </c>
      <c r="B24" s="6"/>
      <c r="D24" s="2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>
        <v>11</v>
      </c>
      <c r="O24" s="2">
        <v>12</v>
      </c>
      <c r="P24" s="2">
        <v>13</v>
      </c>
      <c r="Q24" s="2">
        <v>14</v>
      </c>
      <c r="R24" s="2">
        <v>15</v>
      </c>
      <c r="AA24" s="2" t="s">
        <v>35</v>
      </c>
    </row>
    <row r="25" spans="1:27" x14ac:dyDescent="0.25">
      <c r="A25" s="7" t="s">
        <v>31</v>
      </c>
      <c r="B25" s="8">
        <v>4.9000000000000002E-2</v>
      </c>
      <c r="D25" s="2">
        <f>$B$27*$B$25/(1+$B$26)^D24</f>
        <v>15866.666666666666</v>
      </c>
      <c r="E25" s="2">
        <f t="shared" ref="E25:R25" si="4">$B$27*$B$25/(1+$B$26)^E24</f>
        <v>15111.111111111111</v>
      </c>
      <c r="F25" s="2">
        <f t="shared" si="4"/>
        <v>14391.534391534389</v>
      </c>
      <c r="G25" s="2">
        <f t="shared" si="4"/>
        <v>13706.223230032754</v>
      </c>
      <c r="H25" s="2">
        <f t="shared" si="4"/>
        <v>13053.545933364527</v>
      </c>
      <c r="I25" s="2">
        <f t="shared" si="4"/>
        <v>12431.948507966217</v>
      </c>
      <c r="J25" s="2">
        <f t="shared" si="4"/>
        <v>11839.950959967824</v>
      </c>
      <c r="K25" s="2">
        <f t="shared" si="4"/>
        <v>11276.143771397929</v>
      </c>
      <c r="L25" s="2">
        <f t="shared" si="4"/>
        <v>10739.184544188503</v>
      </c>
      <c r="M25" s="2">
        <f t="shared" si="4"/>
        <v>10227.794803989051</v>
      </c>
      <c r="N25" s="2">
        <f t="shared" si="4"/>
        <v>9740.7569561800465</v>
      </c>
      <c r="O25" s="2">
        <f t="shared" si="4"/>
        <v>9276.911386838141</v>
      </c>
      <c r="P25" s="2">
        <f t="shared" si="4"/>
        <v>8835.1537017506089</v>
      </c>
      <c r="Q25" s="2">
        <f t="shared" si="4"/>
        <v>8414.4320969053442</v>
      </c>
      <c r="R25" s="2">
        <f>(B27+$B$27*$B$25)/(1+$B$26)^R24</f>
        <v>171559.55820512542</v>
      </c>
      <c r="Y25" s="2">
        <f>B28*D29</f>
        <v>1.6407766885514505</v>
      </c>
      <c r="AA25" s="2">
        <f>Y12+Y25+Y37</f>
        <v>5.7221077881225062</v>
      </c>
    </row>
    <row r="26" spans="1:27" x14ac:dyDescent="0.25">
      <c r="A26" s="7" t="s">
        <v>13</v>
      </c>
      <c r="B26" s="8">
        <v>0.05</v>
      </c>
      <c r="D26" s="9">
        <f>SUM(D25:R25)</f>
        <v>336470.91626701853</v>
      </c>
    </row>
    <row r="27" spans="1:27" x14ac:dyDescent="0.25">
      <c r="A27" s="7"/>
      <c r="B27" s="8">
        <v>340000</v>
      </c>
      <c r="D27" s="2">
        <f>D24*D25</f>
        <v>15866.666666666666</v>
      </c>
      <c r="E27" s="2">
        <f t="shared" ref="E27:R27" si="5">E24*E25</f>
        <v>30222.222222222223</v>
      </c>
      <c r="F27" s="2">
        <f t="shared" si="5"/>
        <v>43174.603174603166</v>
      </c>
      <c r="G27" s="2">
        <f t="shared" si="5"/>
        <v>54824.892920131017</v>
      </c>
      <c r="H27" s="2">
        <f t="shared" si="5"/>
        <v>65267.729666822634</v>
      </c>
      <c r="I27" s="2">
        <f t="shared" si="5"/>
        <v>74591.6910477973</v>
      </c>
      <c r="J27" s="2">
        <f t="shared" si="5"/>
        <v>82879.656719774764</v>
      </c>
      <c r="K27" s="2">
        <f t="shared" si="5"/>
        <v>90209.150171183428</v>
      </c>
      <c r="L27" s="2">
        <f t="shared" si="5"/>
        <v>96652.660897696536</v>
      </c>
      <c r="M27" s="2">
        <f t="shared" si="5"/>
        <v>102277.9480398905</v>
      </c>
      <c r="N27" s="2">
        <f t="shared" si="5"/>
        <v>107148.32651798052</v>
      </c>
      <c r="O27" s="2">
        <f t="shared" si="5"/>
        <v>111322.9366420577</v>
      </c>
      <c r="P27" s="2">
        <f t="shared" si="5"/>
        <v>114856.99812275791</v>
      </c>
      <c r="Q27" s="2">
        <f t="shared" si="5"/>
        <v>117802.04935667482</v>
      </c>
      <c r="R27" s="2">
        <f t="shared" si="5"/>
        <v>2573393.3730768813</v>
      </c>
      <c r="AA27" s="2">
        <f>0.38*8.546643</f>
        <v>3.24772434</v>
      </c>
    </row>
    <row r="28" spans="1:27" x14ac:dyDescent="0.25">
      <c r="A28" s="7" t="s">
        <v>8</v>
      </c>
      <c r="B28" s="8">
        <v>0.15</v>
      </c>
      <c r="D28" s="9">
        <f>SUM(D27:R27)</f>
        <v>3680490.9052431406</v>
      </c>
      <c r="AA28" s="2">
        <f>AA27+AA25</f>
        <v>8.9698321281225066</v>
      </c>
    </row>
    <row r="29" spans="1:27" x14ac:dyDescent="0.25">
      <c r="B29" s="6" t="s">
        <v>32</v>
      </c>
      <c r="C29" s="7"/>
      <c r="D29" s="2">
        <f>D28/D26</f>
        <v>10.938511257009671</v>
      </c>
      <c r="E29" s="7" t="s">
        <v>33</v>
      </c>
    </row>
    <row r="30" spans="1:27" ht="18.75" x14ac:dyDescent="0.3">
      <c r="A30" s="3" t="s">
        <v>3</v>
      </c>
      <c r="B30" s="6"/>
      <c r="D30" s="2">
        <v>1</v>
      </c>
      <c r="E30" s="2">
        <v>2</v>
      </c>
      <c r="F30" s="2">
        <v>3</v>
      </c>
      <c r="G30" s="2">
        <v>4</v>
      </c>
      <c r="H30" s="2">
        <v>5</v>
      </c>
      <c r="I30" s="2">
        <v>6</v>
      </c>
      <c r="J30" s="2">
        <v>7</v>
      </c>
      <c r="K30" s="2">
        <v>8</v>
      </c>
      <c r="L30" s="2">
        <v>9</v>
      </c>
      <c r="M30" s="2">
        <v>10</v>
      </c>
      <c r="N30" s="2">
        <v>11</v>
      </c>
      <c r="O30" s="2">
        <v>12</v>
      </c>
      <c r="P30" s="2">
        <v>13</v>
      </c>
      <c r="Q30" s="2">
        <v>14</v>
      </c>
      <c r="R30" s="2">
        <v>15</v>
      </c>
      <c r="S30" s="2">
        <v>16</v>
      </c>
      <c r="T30" s="2">
        <v>17</v>
      </c>
      <c r="U30" s="2">
        <v>18</v>
      </c>
      <c r="V30" s="2">
        <v>19</v>
      </c>
      <c r="W30" s="2">
        <v>20</v>
      </c>
    </row>
    <row r="31" spans="1:27" x14ac:dyDescent="0.25">
      <c r="A31" s="7" t="s">
        <v>31</v>
      </c>
      <c r="B31" s="8">
        <v>5.5E-2</v>
      </c>
      <c r="D31" s="2">
        <f>$B$33*$B$31/(1+$B$32)^D30</f>
        <v>40395.4802259887</v>
      </c>
      <c r="E31" s="2">
        <f t="shared" ref="E31:W31" si="6">$B$33*$B$31/(1+$B$32)^E30</f>
        <v>38037.175354038322</v>
      </c>
      <c r="F31" s="2">
        <f t="shared" si="6"/>
        <v>35816.549297587873</v>
      </c>
      <c r="G31" s="2">
        <f t="shared" si="6"/>
        <v>33725.564310346395</v>
      </c>
      <c r="H31" s="2">
        <f t="shared" si="6"/>
        <v>31756.651892981539</v>
      </c>
      <c r="I31" s="2">
        <f t="shared" si="6"/>
        <v>29902.6853982877</v>
      </c>
      <c r="J31" s="2">
        <f t="shared" si="6"/>
        <v>28156.954235675803</v>
      </c>
      <c r="K31" s="2">
        <f t="shared" si="6"/>
        <v>26513.139581615633</v>
      </c>
      <c r="L31" s="2">
        <f t="shared" si="6"/>
        <v>24965.291508112645</v>
      </c>
      <c r="M31" s="2">
        <f t="shared" si="6"/>
        <v>23507.807446433755</v>
      </c>
      <c r="N31" s="2">
        <f t="shared" si="6"/>
        <v>22135.41190812971</v>
      </c>
      <c r="O31" s="2">
        <f t="shared" si="6"/>
        <v>20843.137389952644</v>
      </c>
      <c r="P31" s="2">
        <f t="shared" si="6"/>
        <v>19626.306393552401</v>
      </c>
      <c r="Q31" s="2">
        <f t="shared" si="6"/>
        <v>18480.514494870429</v>
      </c>
      <c r="R31" s="2">
        <f t="shared" si="6"/>
        <v>17401.614401949559</v>
      </c>
      <c r="S31" s="2">
        <f t="shared" si="6"/>
        <v>16385.700943455326</v>
      </c>
      <c r="T31" s="2">
        <f t="shared" si="6"/>
        <v>15429.096933573752</v>
      </c>
      <c r="U31" s="2">
        <f t="shared" si="6"/>
        <v>14528.339862122177</v>
      </c>
      <c r="V31" s="2">
        <f t="shared" si="6"/>
        <v>13680.169361696966</v>
      </c>
      <c r="W31" s="2">
        <f>(B33+$B$33*$B$31)/(1+$B$32)^W30</f>
        <v>247090.88643366369</v>
      </c>
      <c r="Y31" s="2" t="e">
        <f>B34*D35</f>
        <v>#VALUE!</v>
      </c>
      <c r="AA31" s="2">
        <f>8-AA28</f>
        <v>-0.96983212812250663</v>
      </c>
    </row>
    <row r="32" spans="1:27" x14ac:dyDescent="0.25">
      <c r="A32" s="7" t="s">
        <v>13</v>
      </c>
      <c r="B32" s="8">
        <v>6.2E-2</v>
      </c>
      <c r="D32" s="9">
        <f>SUM(D31:W31)</f>
        <v>718378.47737403517</v>
      </c>
    </row>
    <row r="33" spans="1:28" x14ac:dyDescent="0.25">
      <c r="A33" s="7"/>
      <c r="B33" s="8">
        <v>780000</v>
      </c>
      <c r="D33" s="2">
        <f>D30*D31</f>
        <v>40395.4802259887</v>
      </c>
      <c r="E33" s="2">
        <f t="shared" ref="E33:W33" si="7">E30*E31</f>
        <v>76074.350708076643</v>
      </c>
      <c r="F33" s="2">
        <f t="shared" si="7"/>
        <v>107449.64789276362</v>
      </c>
      <c r="G33" s="2">
        <f t="shared" si="7"/>
        <v>134902.25724138558</v>
      </c>
      <c r="H33" s="2">
        <f t="shared" si="7"/>
        <v>158783.25946490769</v>
      </c>
      <c r="I33" s="2">
        <f t="shared" si="7"/>
        <v>179416.11238972622</v>
      </c>
      <c r="J33" s="2">
        <f t="shared" si="7"/>
        <v>197098.67964973062</v>
      </c>
      <c r="K33" s="2">
        <f t="shared" si="7"/>
        <v>212105.11665292506</v>
      </c>
      <c r="L33" s="2">
        <f t="shared" si="7"/>
        <v>224687.62357301381</v>
      </c>
      <c r="M33" s="2">
        <f t="shared" si="7"/>
        <v>235078.07446433755</v>
      </c>
      <c r="N33" s="2">
        <f t="shared" si="7"/>
        <v>243489.53098942683</v>
      </c>
      <c r="O33" s="2">
        <f t="shared" si="7"/>
        <v>250117.64867943173</v>
      </c>
      <c r="P33" s="2">
        <f t="shared" si="7"/>
        <v>255141.98311618122</v>
      </c>
      <c r="Q33" s="2">
        <f t="shared" si="7"/>
        <v>258727.20292818602</v>
      </c>
      <c r="R33" s="2">
        <f t="shared" si="7"/>
        <v>261024.21602924337</v>
      </c>
      <c r="S33" s="2">
        <f t="shared" si="7"/>
        <v>262171.21509528521</v>
      </c>
      <c r="T33" s="2">
        <f t="shared" si="7"/>
        <v>262294.64787075378</v>
      </c>
      <c r="U33" s="2">
        <f t="shared" si="7"/>
        <v>261510.11751819917</v>
      </c>
      <c r="V33" s="2">
        <f t="shared" si="7"/>
        <v>259923.21787224236</v>
      </c>
      <c r="W33" s="2">
        <f t="shared" si="7"/>
        <v>4941817.7286732737</v>
      </c>
    </row>
    <row r="34" spans="1:28" x14ac:dyDescent="0.25">
      <c r="A34" s="7" t="s">
        <v>8</v>
      </c>
      <c r="B34" s="12" t="s">
        <v>9</v>
      </c>
      <c r="C34" s="11"/>
      <c r="D34" s="9">
        <f>SUM(D33:W33)</f>
        <v>8822208.1110350788</v>
      </c>
      <c r="AA34" s="2">
        <f>D23-D35</f>
        <v>-2.6171273933532078</v>
      </c>
    </row>
    <row r="35" spans="1:28" x14ac:dyDescent="0.25">
      <c r="B35" s="6" t="s">
        <v>32</v>
      </c>
      <c r="C35" s="7"/>
      <c r="D35" s="2">
        <f>D34/D32</f>
        <v>12.280724421594352</v>
      </c>
      <c r="E35" s="7" t="s">
        <v>33</v>
      </c>
    </row>
    <row r="36" spans="1:28" ht="18.75" x14ac:dyDescent="0.3">
      <c r="A36" s="3" t="s">
        <v>7</v>
      </c>
      <c r="B36" s="6"/>
      <c r="D36" s="2">
        <v>1</v>
      </c>
      <c r="E36" s="2">
        <v>2</v>
      </c>
      <c r="F36" s="2">
        <v>3</v>
      </c>
      <c r="G36" s="2">
        <v>4</v>
      </c>
      <c r="H36" s="2">
        <v>5</v>
      </c>
      <c r="I36" s="2">
        <v>6</v>
      </c>
      <c r="J36" s="2">
        <v>7</v>
      </c>
      <c r="K36" s="2">
        <v>8</v>
      </c>
      <c r="L36" s="2">
        <v>9</v>
      </c>
      <c r="M36" s="2">
        <v>10</v>
      </c>
      <c r="N36" s="2">
        <v>11</v>
      </c>
      <c r="AA36" s="2">
        <f>AA31/AA34</f>
        <v>0.37057123416522125</v>
      </c>
    </row>
    <row r="37" spans="1:28" x14ac:dyDescent="0.25">
      <c r="A37" s="7" t="s">
        <v>31</v>
      </c>
      <c r="B37" s="8">
        <v>4.2999999999999997E-2</v>
      </c>
      <c r="D37" s="2">
        <f>$B$39*$B$37/(1+$B$38)^D36</f>
        <v>4732.0574162679432</v>
      </c>
      <c r="E37" s="2">
        <f t="shared" ref="E37:N37" si="8">$B$39*$B$37/(1+$B$38)^E36</f>
        <v>4528.2846088688457</v>
      </c>
      <c r="F37" s="2">
        <f t="shared" si="8"/>
        <v>4333.2867070515267</v>
      </c>
      <c r="G37" s="2">
        <f t="shared" si="8"/>
        <v>4146.6858440684473</v>
      </c>
      <c r="H37" s="2">
        <f t="shared" si="8"/>
        <v>3968.1204249458829</v>
      </c>
      <c r="I37" s="2">
        <f t="shared" si="8"/>
        <v>3797.244425785535</v>
      </c>
      <c r="J37" s="2">
        <f t="shared" si="8"/>
        <v>3633.7267232397458</v>
      </c>
      <c r="K37" s="2">
        <f t="shared" si="8"/>
        <v>3477.250452861002</v>
      </c>
      <c r="L37" s="2">
        <f t="shared" si="8"/>
        <v>3327.512395082299</v>
      </c>
      <c r="M37" s="2">
        <f t="shared" si="8"/>
        <v>3184.2223876385642</v>
      </c>
      <c r="N37" s="2">
        <f>(B39+$B$39*$B$37)/(1+$B$38)^N36</f>
        <v>73909.957723534491</v>
      </c>
      <c r="Y37" s="2">
        <f>B40*D41</f>
        <v>3.7677669791580617</v>
      </c>
    </row>
    <row r="38" spans="1:28" x14ac:dyDescent="0.25">
      <c r="A38" s="7" t="s">
        <v>13</v>
      </c>
      <c r="B38" s="8">
        <v>4.4999999999999998E-2</v>
      </c>
      <c r="D38" s="9">
        <f>SUM(D37:N37)</f>
        <v>113038.34910934427</v>
      </c>
      <c r="AA38" s="2">
        <f>0.38-AA36</f>
        <v>9.4287658347787517E-3</v>
      </c>
    </row>
    <row r="39" spans="1:28" x14ac:dyDescent="0.25">
      <c r="A39" s="7"/>
      <c r="B39" s="8">
        <v>115000</v>
      </c>
      <c r="D39" s="2">
        <f>D36*D37</f>
        <v>4732.0574162679432</v>
      </c>
      <c r="E39" s="2">
        <f t="shared" ref="E39:N39" si="9">E36*E37</f>
        <v>9056.5692177376914</v>
      </c>
      <c r="F39" s="2">
        <f t="shared" si="9"/>
        <v>12999.860121154579</v>
      </c>
      <c r="G39" s="2">
        <f t="shared" si="9"/>
        <v>16586.743376273789</v>
      </c>
      <c r="H39" s="2">
        <f t="shared" si="9"/>
        <v>19840.602124729416</v>
      </c>
      <c r="I39" s="2">
        <f t="shared" si="9"/>
        <v>22783.46655471321</v>
      </c>
      <c r="J39" s="2">
        <f t="shared" si="9"/>
        <v>25436.08706267822</v>
      </c>
      <c r="K39" s="2">
        <f>K36*K37</f>
        <v>27818.003622888016</v>
      </c>
      <c r="L39" s="2">
        <f t="shared" si="9"/>
        <v>29947.611555740692</v>
      </c>
      <c r="M39" s="2">
        <f t="shared" si="9"/>
        <v>31842.223876385644</v>
      </c>
      <c r="N39" s="2">
        <f t="shared" si="9"/>
        <v>813009.53495887946</v>
      </c>
    </row>
    <row r="40" spans="1:28" x14ac:dyDescent="0.25">
      <c r="A40" s="7" t="s">
        <v>8</v>
      </c>
      <c r="B40" s="8">
        <v>0.42</v>
      </c>
      <c r="D40" s="9">
        <f>SUM(D39:N39)</f>
        <v>1014052.7598874486</v>
      </c>
    </row>
    <row r="41" spans="1:28" x14ac:dyDescent="0.25">
      <c r="B41" s="6" t="s">
        <v>32</v>
      </c>
      <c r="C41" s="7"/>
      <c r="D41" s="2">
        <f>D40/D38</f>
        <v>8.9708737599001473</v>
      </c>
      <c r="E41" s="7" t="s">
        <v>33</v>
      </c>
      <c r="V41" s="16"/>
      <c r="W41" s="16"/>
      <c r="X41" s="16"/>
      <c r="Y41" s="16"/>
      <c r="Z41" s="16"/>
      <c r="AA41" s="16"/>
    </row>
    <row r="42" spans="1:28" x14ac:dyDescent="0.25">
      <c r="U42" s="14"/>
      <c r="AB42" s="15"/>
    </row>
    <row r="43" spans="1:28" x14ac:dyDescent="0.25">
      <c r="U43" s="14"/>
      <c r="AB43" s="15"/>
    </row>
    <row r="44" spans="1:28" x14ac:dyDescent="0.25">
      <c r="U44" s="14"/>
      <c r="AB44" s="15"/>
    </row>
    <row r="45" spans="1:28" x14ac:dyDescent="0.25">
      <c r="O45" s="18" t="s">
        <v>26</v>
      </c>
      <c r="P45" s="19" t="s">
        <v>27</v>
      </c>
      <c r="Q45" s="19" t="s">
        <v>28</v>
      </c>
      <c r="R45" s="19" t="s">
        <v>24</v>
      </c>
      <c r="S45" s="19" t="s">
        <v>25</v>
      </c>
      <c r="T45" s="20" t="s">
        <v>29</v>
      </c>
      <c r="U45" s="14"/>
      <c r="AB45" s="15"/>
    </row>
    <row r="46" spans="1:28" x14ac:dyDescent="0.25">
      <c r="O46" s="21">
        <f>D13</f>
        <v>197599.17813202058</v>
      </c>
      <c r="P46" s="22">
        <f>B15</f>
        <v>0.05</v>
      </c>
      <c r="Q46" s="22">
        <f>D16</f>
        <v>6.2712824082598795</v>
      </c>
      <c r="R46" s="22">
        <f>P46*Q46</f>
        <v>0.31356412041299397</v>
      </c>
      <c r="S46" s="22">
        <f>$B$7*P46/O46</f>
        <v>4.0261677705189305</v>
      </c>
      <c r="T46" s="23">
        <f>S46*O46</f>
        <v>795567.44247617025</v>
      </c>
      <c r="U46" s="14"/>
      <c r="AB46" s="15"/>
    </row>
    <row r="47" spans="1:28" x14ac:dyDescent="0.25">
      <c r="O47" s="24">
        <f>D20</f>
        <v>53342.702234639539</v>
      </c>
      <c r="P47" s="13">
        <f>AA36</f>
        <v>0.37057123416522125</v>
      </c>
      <c r="Q47" s="2">
        <f>D23</f>
        <v>9.6635970282411439</v>
      </c>
      <c r="R47" s="2">
        <f>P47*Q47</f>
        <v>3.5810510772306849</v>
      </c>
      <c r="S47" s="2">
        <f>$B$7*P47/O47</f>
        <v>110.53598586860389</v>
      </c>
      <c r="T47" s="25">
        <f>S47*O47</f>
        <v>5896288.180401261</v>
      </c>
      <c r="U47" s="14"/>
      <c r="AB47" s="15"/>
    </row>
    <row r="48" spans="1:28" x14ac:dyDescent="0.25">
      <c r="O48" s="24">
        <f>D26</f>
        <v>336470.91626701853</v>
      </c>
      <c r="P48" s="2">
        <f>B28</f>
        <v>0.15</v>
      </c>
      <c r="Q48" s="2">
        <f>D29</f>
        <v>10.938511257009671</v>
      </c>
      <c r="R48" s="2">
        <f>P48*Q48</f>
        <v>1.6407766885514505</v>
      </c>
      <c r="S48" s="2">
        <f>$B$7*P48/O48</f>
        <v>7.093339162587406</v>
      </c>
      <c r="T48" s="25">
        <f>S48*O48</f>
        <v>2386702.3274285104</v>
      </c>
      <c r="U48" s="14"/>
      <c r="AB48" s="15"/>
    </row>
    <row r="49" spans="15:27" x14ac:dyDescent="0.25">
      <c r="O49" s="24">
        <f>D32</f>
        <v>718378.47737403517</v>
      </c>
      <c r="P49" s="13">
        <f>AA38</f>
        <v>9.4287658347787517E-3</v>
      </c>
      <c r="Q49" s="2">
        <f>D35</f>
        <v>12.280724421594352</v>
      </c>
      <c r="R49" s="2">
        <f>P49*Q49</f>
        <v>0.11579207485266187</v>
      </c>
      <c r="S49" s="2">
        <f>$B$7*P49/O49</f>
        <v>0.20883752387186275</v>
      </c>
      <c r="T49" s="25">
        <f>S49*O49</f>
        <v>150024.38241763247</v>
      </c>
      <c r="V49" s="17"/>
      <c r="W49" s="17"/>
      <c r="X49" s="17"/>
      <c r="Y49" s="17"/>
      <c r="Z49" s="17"/>
      <c r="AA49" s="17"/>
    </row>
    <row r="50" spans="15:27" x14ac:dyDescent="0.25">
      <c r="O50" s="26">
        <f>D38</f>
        <v>113038.34910934427</v>
      </c>
      <c r="P50" s="27">
        <f>B40</f>
        <v>0.42</v>
      </c>
      <c r="Q50" s="27">
        <f>D41</f>
        <v>8.9708737599001473</v>
      </c>
      <c r="R50" s="27">
        <f>P50*Q50</f>
        <v>3.7677669791580617</v>
      </c>
      <c r="S50" s="27">
        <f>$B$7*P50/O50</f>
        <v>59.119463168516866</v>
      </c>
      <c r="T50" s="28">
        <f>S50*O50</f>
        <v>6682766.5167998299</v>
      </c>
    </row>
    <row r="51" spans="15:27" x14ac:dyDescent="0.25">
      <c r="O51" s="18" t="s">
        <v>23</v>
      </c>
      <c r="P51" s="19">
        <f>SUM(P46:P50)</f>
        <v>1</v>
      </c>
      <c r="Q51" s="19"/>
      <c r="R51" s="19">
        <f>SUM(R46:R50)</f>
        <v>9.4189509402058533</v>
      </c>
      <c r="S51" s="19"/>
      <c r="T51" s="30">
        <f>SUM(T46:T50)</f>
        <v>15911348.849523405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Pr01</vt:lpstr>
      <vt:lpstr>Pr02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2021-10-25T14:09:01Z</dcterms:created>
  <dcterms:modified xsi:type="dcterms:W3CDTF">2021-10-28T11:31:51Z</dcterms:modified>
</cp:coreProperties>
</file>