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390048_muni_cz/Documents/FIFI/Semináře/"/>
    </mc:Choice>
  </mc:AlternateContent>
  <xr:revisionPtr revIDLastSave="810" documentId="8_{4CE67D5A-52E7-472E-9724-9B8EEF8C1FEB}" xr6:coauthVersionLast="47" xr6:coauthVersionMax="47" xr10:uidLastSave="{C520725D-BF37-469E-9E45-004F28B971FB}"/>
  <bookViews>
    <workbookView xWindow="-108" yWindow="-108" windowWidth="23256" windowHeight="12456" activeTab="6" xr2:uid="{AC1A67F3-42BE-4BE0-B091-8928E9FE3BE9}"/>
  </bookViews>
  <sheets>
    <sheet name="Př.1" sheetId="3" r:id="rId1"/>
    <sheet name="Př.2" sheetId="4" r:id="rId2"/>
    <sheet name="Př.3" sheetId="5" r:id="rId3"/>
    <sheet name="Př. 4" sheetId="6" r:id="rId4"/>
    <sheet name="Př.5" sheetId="7" r:id="rId5"/>
    <sheet name="Př.6" sheetId="8" r:id="rId6"/>
    <sheet name="Př. 7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7" l="1"/>
  <c r="C17" i="8"/>
  <c r="C18" i="8" s="1"/>
  <c r="D17" i="8"/>
  <c r="D18" i="8" s="1"/>
  <c r="E17" i="8"/>
  <c r="E18" i="8" s="1"/>
  <c r="B17" i="8"/>
  <c r="B18" i="8" s="1"/>
  <c r="J6" i="8"/>
  <c r="J7" i="8" s="1"/>
  <c r="K6" i="8"/>
  <c r="K7" i="8" s="1"/>
  <c r="I6" i="8"/>
  <c r="I7" i="8" s="1"/>
  <c r="H7" i="8"/>
  <c r="F14" i="8"/>
  <c r="F17" i="8" s="1"/>
  <c r="F18" i="8" s="1"/>
  <c r="E7" i="8"/>
  <c r="E8" i="8" s="1"/>
  <c r="C7" i="8"/>
  <c r="D7" i="8"/>
  <c r="D8" i="8" s="1"/>
  <c r="D9" i="8" s="1"/>
  <c r="D11" i="8" s="1"/>
  <c r="C8" i="8"/>
  <c r="C9" i="8" s="1"/>
  <c r="C11" i="8" s="1"/>
  <c r="B19" i="8" l="1"/>
  <c r="E9" i="8"/>
  <c r="E11" i="8" s="1"/>
  <c r="F45" i="8"/>
  <c r="E45" i="8"/>
  <c r="D45" i="8"/>
  <c r="C45" i="8"/>
  <c r="B41" i="8"/>
  <c r="F40" i="8"/>
  <c r="F41" i="8" s="1"/>
  <c r="E40" i="8"/>
  <c r="E41" i="8" s="1"/>
  <c r="D40" i="8"/>
  <c r="D41" i="8" s="1"/>
  <c r="C40" i="8"/>
  <c r="C41" i="8" s="1"/>
  <c r="F33" i="8"/>
  <c r="E33" i="8"/>
  <c r="D33" i="8"/>
  <c r="D34" i="8" s="1"/>
  <c r="D35" i="8" s="1"/>
  <c r="D36" i="8" s="1"/>
  <c r="C33" i="8"/>
  <c r="B33" i="8"/>
  <c r="E27" i="8"/>
  <c r="D27" i="8"/>
  <c r="C27" i="8"/>
  <c r="B27" i="8"/>
  <c r="F26" i="8"/>
  <c r="F27" i="8" s="1"/>
  <c r="C34" i="8" l="1"/>
  <c r="C35" i="8" s="1"/>
  <c r="C36" i="8" s="1"/>
  <c r="C44" i="8" s="1"/>
  <c r="C46" i="8" s="1"/>
  <c r="E34" i="8"/>
  <c r="E35" i="8" s="1"/>
  <c r="E36" i="8" s="1"/>
  <c r="E44" i="8" s="1"/>
  <c r="E46" i="8" s="1"/>
  <c r="D44" i="8"/>
  <c r="D46" i="8" s="1"/>
  <c r="B34" i="8"/>
  <c r="B35" i="8" s="1"/>
  <c r="B36" i="8" s="1"/>
  <c r="B44" i="8" s="1"/>
  <c r="B46" i="8" s="1"/>
  <c r="F34" i="8"/>
  <c r="F35" i="8" s="1"/>
  <c r="F36" i="8" s="1"/>
  <c r="F44" i="8" s="1"/>
  <c r="F46" i="8" s="1"/>
  <c r="H40" i="9"/>
  <c r="H38" i="9"/>
  <c r="S41" i="9"/>
  <c r="R41" i="9"/>
  <c r="Q41" i="9"/>
  <c r="S40" i="9"/>
  <c r="Q40" i="9"/>
  <c r="Q39" i="9"/>
  <c r="S38" i="9"/>
  <c r="Q38" i="9"/>
  <c r="R40" i="9"/>
  <c r="S39" i="9"/>
  <c r="R38" i="9"/>
  <c r="I41" i="9"/>
  <c r="H41" i="9"/>
  <c r="G41" i="9"/>
  <c r="I40" i="9"/>
  <c r="G40" i="9"/>
  <c r="I38" i="9"/>
  <c r="G38" i="9"/>
  <c r="I39" i="9"/>
  <c r="G39" i="9"/>
  <c r="N41" i="9"/>
  <c r="M41" i="9"/>
  <c r="L41" i="9"/>
  <c r="N40" i="9"/>
  <c r="L40" i="9"/>
  <c r="N39" i="9"/>
  <c r="M39" i="9"/>
  <c r="N38" i="9"/>
  <c r="M38" i="9"/>
  <c r="L38" i="9"/>
  <c r="M40" i="9"/>
  <c r="L39" i="9"/>
  <c r="B47" i="8" l="1"/>
  <c r="N42" i="9"/>
  <c r="Q42" i="9"/>
  <c r="Q43" i="9" s="1"/>
  <c r="Q48" i="9" s="1"/>
  <c r="S42" i="9"/>
  <c r="S43" i="9" s="1"/>
  <c r="S44" i="9" s="1"/>
  <c r="S47" i="9" s="1"/>
  <c r="R39" i="9"/>
  <c r="R42" i="9" s="1"/>
  <c r="M42" i="9"/>
  <c r="M43" i="9" s="1"/>
  <c r="M44" i="9" s="1"/>
  <c r="M47" i="9" s="1"/>
  <c r="G42" i="9"/>
  <c r="I42" i="9"/>
  <c r="H39" i="9"/>
  <c r="H42" i="9" s="1"/>
  <c r="L42" i="9"/>
  <c r="N43" i="9"/>
  <c r="N48" i="9" s="1"/>
  <c r="Q44" i="9" l="1"/>
  <c r="Q47" i="9" s="1"/>
  <c r="R43" i="9"/>
  <c r="R48" i="9" s="1"/>
  <c r="R44" i="9"/>
  <c r="R47" i="9" s="1"/>
  <c r="S48" i="9"/>
  <c r="H43" i="9"/>
  <c r="H48" i="9" s="1"/>
  <c r="I43" i="9"/>
  <c r="I44" i="9" s="1"/>
  <c r="I47" i="9" s="1"/>
  <c r="G43" i="9"/>
  <c r="G44" i="9" s="1"/>
  <c r="G47" i="9" s="1"/>
  <c r="N44" i="9"/>
  <c r="N47" i="9" s="1"/>
  <c r="M48" i="9"/>
  <c r="L43" i="9"/>
  <c r="L48" i="9" s="1"/>
  <c r="G48" i="9" l="1"/>
  <c r="H44" i="9"/>
  <c r="H47" i="9" s="1"/>
  <c r="I48" i="9"/>
  <c r="L44" i="9"/>
  <c r="L47" i="9" s="1"/>
  <c r="D39" i="9" l="1"/>
  <c r="C34" i="9"/>
  <c r="C38" i="9" s="1"/>
  <c r="C35" i="9"/>
  <c r="C36" i="9"/>
  <c r="D41" i="9"/>
  <c r="C41" i="9"/>
  <c r="B41" i="9"/>
  <c r="D40" i="9"/>
  <c r="C40" i="9"/>
  <c r="B40" i="9"/>
  <c r="B39" i="9"/>
  <c r="D38" i="9"/>
  <c r="B38" i="9"/>
  <c r="B56" i="9"/>
  <c r="G25" i="9"/>
  <c r="C15" i="9"/>
  <c r="C18" i="9" s="1"/>
  <c r="C14" i="9"/>
  <c r="C13" i="9"/>
  <c r="C12" i="9"/>
  <c r="B19" i="9"/>
  <c r="B7" i="9"/>
  <c r="B13" i="9" s="1"/>
  <c r="B8" i="9"/>
  <c r="D14" i="9" s="1"/>
  <c r="B9" i="9"/>
  <c r="D15" i="9" s="1"/>
  <c r="D18" i="9" s="1"/>
  <c r="B6" i="9"/>
  <c r="B12" i="9" s="1"/>
  <c r="D7" i="9"/>
  <c r="D8" i="9"/>
  <c r="B14" i="9" s="1"/>
  <c r="D9" i="9"/>
  <c r="B15" i="9" s="1"/>
  <c r="B18" i="9" s="1"/>
  <c r="D6" i="9"/>
  <c r="D12" i="9" s="1"/>
  <c r="C19" i="9"/>
  <c r="B58" i="9" s="1"/>
  <c r="D19" i="9"/>
  <c r="C16" i="9"/>
  <c r="D13" i="9"/>
  <c r="C60" i="9" l="1"/>
  <c r="C61" i="9" s="1"/>
  <c r="Q49" i="9"/>
  <c r="N49" i="9"/>
  <c r="S49" i="9"/>
  <c r="R49" i="9"/>
  <c r="M49" i="9"/>
  <c r="L49" i="9"/>
  <c r="L50" i="9" s="1"/>
  <c r="H49" i="9"/>
  <c r="G49" i="9"/>
  <c r="G50" i="9" s="1"/>
  <c r="I49" i="9"/>
  <c r="I50" i="9" s="1"/>
  <c r="B42" i="9"/>
  <c r="B43" i="9" s="1"/>
  <c r="B48" i="9" s="1"/>
  <c r="B49" i="9" s="1"/>
  <c r="D42" i="9"/>
  <c r="D43" i="9" s="1"/>
  <c r="D44" i="9" s="1"/>
  <c r="D47" i="9" s="1"/>
  <c r="C39" i="9"/>
  <c r="C42" i="9"/>
  <c r="C43" i="9" s="1"/>
  <c r="C44" i="9" s="1"/>
  <c r="C47" i="9" s="1"/>
  <c r="C17" i="9"/>
  <c r="C20" i="9" s="1"/>
  <c r="C21" i="9" s="1"/>
  <c r="D16" i="9"/>
  <c r="B17" i="9"/>
  <c r="D17" i="9"/>
  <c r="B16" i="9"/>
  <c r="S50" i="9" l="1"/>
  <c r="N50" i="9"/>
  <c r="Q50" i="9"/>
  <c r="D20" i="9"/>
  <c r="D21" i="9" s="1"/>
  <c r="D48" i="9"/>
  <c r="D49" i="9" s="1"/>
  <c r="B44" i="9"/>
  <c r="B47" i="9" s="1"/>
  <c r="C48" i="9"/>
  <c r="C49" i="9" s="1"/>
  <c r="B50" i="9" s="1"/>
  <c r="B20" i="9"/>
  <c r="B21" i="9" s="1"/>
  <c r="D22" i="9"/>
  <c r="C22" i="9"/>
  <c r="D50" i="9" l="1"/>
  <c r="C25" i="9"/>
  <c r="C26" i="9"/>
  <c r="C27" i="9" s="1"/>
  <c r="D25" i="9"/>
  <c r="D26" i="9"/>
  <c r="D27" i="9" s="1"/>
  <c r="B22" i="9"/>
  <c r="B25" i="9" l="1"/>
  <c r="B26" i="9"/>
  <c r="B27" i="9" s="1"/>
  <c r="B19" i="7" l="1"/>
  <c r="B14" i="7"/>
  <c r="B16" i="7" s="1"/>
  <c r="B35" i="6"/>
  <c r="B22" i="6"/>
  <c r="C40" i="6" s="1"/>
  <c r="E5" i="6"/>
  <c r="E3" i="6"/>
  <c r="E4" i="6"/>
  <c r="B17" i="6"/>
  <c r="B18" i="6" s="1"/>
  <c r="B8" i="6"/>
  <c r="E6" i="6" s="1"/>
  <c r="K6" i="3"/>
  <c r="J6" i="3"/>
  <c r="B18" i="7" l="1"/>
  <c r="C43" i="6"/>
  <c r="B15" i="7"/>
  <c r="B32" i="6"/>
  <c r="E7" i="6"/>
  <c r="E9" i="6" s="1"/>
  <c r="C16" i="6" s="1"/>
  <c r="D16" i="6" s="1"/>
  <c r="C17" i="6"/>
  <c r="C18" i="6" s="1"/>
  <c r="L6" i="3"/>
  <c r="B3" i="5"/>
  <c r="B23" i="6" l="1"/>
  <c r="E16" i="6"/>
  <c r="D17" i="6"/>
  <c r="D18" i="6" s="1"/>
  <c r="F10" i="5"/>
  <c r="F11" i="5" s="1"/>
  <c r="C10" i="5"/>
  <c r="C11" i="5" s="1"/>
  <c r="D10" i="5"/>
  <c r="D11" i="5" s="1"/>
  <c r="E10" i="5"/>
  <c r="E11" i="5" s="1"/>
  <c r="B10" i="5"/>
  <c r="B11" i="5" s="1"/>
  <c r="C7" i="4"/>
  <c r="D7" i="4"/>
  <c r="E7" i="4"/>
  <c r="B7" i="4"/>
  <c r="C6" i="4"/>
  <c r="F6" i="4" s="1"/>
  <c r="D6" i="4"/>
  <c r="B6" i="4"/>
  <c r="J5" i="4"/>
  <c r="J4" i="4"/>
  <c r="K4" i="4" s="1"/>
  <c r="I4" i="4"/>
  <c r="I5" i="4"/>
  <c r="L5" i="3"/>
  <c r="L4" i="3"/>
  <c r="K5" i="3"/>
  <c r="K4" i="3"/>
  <c r="J5" i="3"/>
  <c r="J4" i="3"/>
  <c r="C7" i="3"/>
  <c r="D7" i="3"/>
  <c r="E7" i="3"/>
  <c r="F7" i="3"/>
  <c r="B7" i="3"/>
  <c r="G7" i="3" s="1"/>
  <c r="B12" i="3" s="1"/>
  <c r="C6" i="3"/>
  <c r="G6" i="3" s="1"/>
  <c r="B11" i="3" s="1"/>
  <c r="D6" i="3"/>
  <c r="E6" i="3"/>
  <c r="B6" i="3"/>
  <c r="H10" i="5" l="1"/>
  <c r="G11" i="5"/>
  <c r="F16" i="6"/>
  <c r="E17" i="6"/>
  <c r="E18" i="6" s="1"/>
  <c r="B11" i="4"/>
  <c r="K5" i="4"/>
  <c r="F7" i="4"/>
  <c r="F17" i="6" l="1"/>
  <c r="F18" i="6" s="1"/>
  <c r="G16" i="6"/>
  <c r="G17" i="6" s="1"/>
  <c r="G18" i="6" s="1"/>
  <c r="B12" i="4"/>
  <c r="H18" i="6" l="1"/>
</calcChain>
</file>

<file path=xl/sharedStrings.xml><?xml version="1.0" encoding="utf-8"?>
<sst xmlns="http://schemas.openxmlformats.org/spreadsheetml/2006/main" count="266" uniqueCount="155">
  <si>
    <t>NPV</t>
  </si>
  <si>
    <t>X</t>
  </si>
  <si>
    <t>Y</t>
  </si>
  <si>
    <t>PV X</t>
  </si>
  <si>
    <t>PV Y</t>
  </si>
  <si>
    <t>PV</t>
  </si>
  <si>
    <t>EAC X</t>
  </si>
  <si>
    <t>EAC Y</t>
  </si>
  <si>
    <t>Anuity factor</t>
  </si>
  <si>
    <t>3year</t>
  </si>
  <si>
    <t>4year</t>
  </si>
  <si>
    <t>1/r</t>
  </si>
  <si>
    <t>r(1+r)^t</t>
  </si>
  <si>
    <t>AF</t>
  </si>
  <si>
    <t>Volím projekt Y, protože má nižší ekvivalentní roční náklady.</t>
  </si>
  <si>
    <t>A</t>
  </si>
  <si>
    <t>B</t>
  </si>
  <si>
    <t>PV A</t>
  </si>
  <si>
    <t>PV B</t>
  </si>
  <si>
    <t>EAC A</t>
  </si>
  <si>
    <t>EAC B</t>
  </si>
  <si>
    <t>2year</t>
  </si>
  <si>
    <t>Volíme projekt B, protože má vyšší ekvivalentní roční CF.</t>
  </si>
  <si>
    <t>OCF</t>
  </si>
  <si>
    <t>změna NWC</t>
  </si>
  <si>
    <t>Kapitálový výdaj</t>
  </si>
  <si>
    <t>CF CELKEM</t>
  </si>
  <si>
    <t>DCF</t>
  </si>
  <si>
    <t>IRR</t>
  </si>
  <si>
    <t>5year</t>
  </si>
  <si>
    <t>P</t>
  </si>
  <si>
    <t>FC</t>
  </si>
  <si>
    <t>Cap.inv.</t>
  </si>
  <si>
    <t>t</t>
  </si>
  <si>
    <t>odpis</t>
  </si>
  <si>
    <t>r</t>
  </si>
  <si>
    <t>EBIT</t>
  </si>
  <si>
    <t>CF celkem</t>
  </si>
  <si>
    <t>Sales</t>
  </si>
  <si>
    <t>Total VC</t>
  </si>
  <si>
    <t>Depreciation</t>
  </si>
  <si>
    <t>Planned Q in next 5 years</t>
  </si>
  <si>
    <t>VC per unit</t>
  </si>
  <si>
    <t>Rozhodněte, zda by měla firma projekt realizovat. (Určíme NPV)</t>
  </si>
  <si>
    <t>nebo k určení využijeme anuitní faktor</t>
  </si>
  <si>
    <t>5year AF</t>
  </si>
  <si>
    <t>Projekt je vhodné realizovat.</t>
  </si>
  <si>
    <t>Určete peněžní, účetní a finanční bod zvratu.</t>
  </si>
  <si>
    <t>ks</t>
  </si>
  <si>
    <t>Peněžní bod zvratu (cash break-even)</t>
  </si>
  <si>
    <t>Účetní bod zvratu (accounting break-even)</t>
  </si>
  <si>
    <t>OBECNÉ VYJÁDŘENÍ BODU ZVRATU</t>
  </si>
  <si>
    <t>Q = (FC + OCF)/(P-VC)</t>
  </si>
  <si>
    <t>OCF = odpisy</t>
  </si>
  <si>
    <t>OCF = 0</t>
  </si>
  <si>
    <t xml:space="preserve">Když uvažujeme, že OCF je rovno 0, získáme množství produkce, pod které by se firma neměla dostat, </t>
  </si>
  <si>
    <t xml:space="preserve">protože v tom případě by bylo CF projektu záporné a firma musela zajistit dodatečné CF. </t>
  </si>
  <si>
    <t>Finanční bod zvratu (financial break-even)</t>
  </si>
  <si>
    <t>Vyjadřuje také množství produkce, při kterém firma dosahuje nulového účetního zisku.</t>
  </si>
  <si>
    <t>Představuje takové množství produkce, při kterém je NPV projektu rovna 0.</t>
  </si>
  <si>
    <t>1. Určíme OCF, při kterém NPV=0.</t>
  </si>
  <si>
    <t xml:space="preserve">OCF </t>
  </si>
  <si>
    <t>2. Dopočítáme odpovídající Q.</t>
  </si>
  <si>
    <r>
      <t>Q</t>
    </r>
    <r>
      <rPr>
        <vertAlign val="subscript"/>
        <sz val="11"/>
        <color theme="1"/>
        <rFont val="Calibri"/>
        <family val="2"/>
        <charset val="238"/>
        <scheme val="minor"/>
      </rPr>
      <t>accounting</t>
    </r>
    <r>
      <rPr>
        <sz val="11"/>
        <color theme="1"/>
        <rFont val="Calibri"/>
        <family val="2"/>
        <charset val="238"/>
        <scheme val="minor"/>
      </rPr>
      <t xml:space="preserve"> = (FC+D)/(P-VC)</t>
    </r>
  </si>
  <si>
    <r>
      <t>Q</t>
    </r>
    <r>
      <rPr>
        <vertAlign val="subscript"/>
        <sz val="11"/>
        <color theme="1"/>
        <rFont val="Calibri"/>
        <family val="2"/>
        <charset val="238"/>
        <scheme val="minor"/>
      </rPr>
      <t>cash</t>
    </r>
    <r>
      <rPr>
        <sz val="11"/>
        <color theme="1"/>
        <rFont val="Calibri"/>
        <family val="2"/>
        <charset val="238"/>
        <scheme val="minor"/>
      </rPr>
      <t xml:space="preserve"> = FC/(P-VC)</t>
    </r>
  </si>
  <si>
    <r>
      <t>Q</t>
    </r>
    <r>
      <rPr>
        <vertAlign val="subscript"/>
        <sz val="11"/>
        <color theme="1"/>
        <rFont val="Calibri"/>
        <family val="2"/>
        <charset val="238"/>
        <scheme val="minor"/>
      </rPr>
      <t>financial</t>
    </r>
    <r>
      <rPr>
        <sz val="11"/>
        <color theme="1"/>
        <rFont val="Calibri"/>
        <family val="2"/>
        <charset val="238"/>
        <scheme val="minor"/>
      </rPr>
      <t xml:space="preserve"> = (FC + OCF)/(P-VC)</t>
    </r>
  </si>
  <si>
    <r>
      <t>Q</t>
    </r>
    <r>
      <rPr>
        <vertAlign val="subscript"/>
        <sz val="11"/>
        <color theme="1"/>
        <rFont val="Calibri"/>
        <family val="2"/>
        <charset val="238"/>
        <scheme val="minor"/>
      </rPr>
      <t>fin</t>
    </r>
  </si>
  <si>
    <t>tj. 84 kusů produkce.</t>
  </si>
  <si>
    <t xml:space="preserve">Je plánováno s tím, že v rámci projektu se vyrobí a prodá ročně 85 produktů, avšak pro to, aby společnost dosáhla požadovanéno výnosu, je třeba, aby vyrobila a prodala 84 ks produkce. </t>
  </si>
  <si>
    <t>Také je významný rozdíl mezi účetním a finančním bodem zvratu.</t>
  </si>
  <si>
    <t>Jak věrohodné jsou odhady v rámci projektu?</t>
  </si>
  <si>
    <t>Jak důležitý je projekt pro budoucnost společnosti?</t>
  </si>
  <si>
    <t>Pokud by byly prodeje nižší,  než předpokladané, jaký efekt by to mělo na firmu? Jaké možnosti se firmě v takové situaci nabízí?</t>
  </si>
  <si>
    <r>
      <rPr>
        <b/>
        <sz val="11"/>
        <color theme="1"/>
        <rFont val="Calibri"/>
        <family val="2"/>
        <charset val="238"/>
        <scheme val="minor"/>
      </rPr>
      <t>Závěr:</t>
    </r>
    <r>
      <rPr>
        <sz val="11"/>
        <color theme="1"/>
        <rFont val="Calibri"/>
        <family val="2"/>
        <charset val="238"/>
        <scheme val="minor"/>
      </rPr>
      <t xml:space="preserve"> Je pravděpodobné, že reálné NPV projektu bude záporné. Rozhodnutí je v této situaci pouze na managementu, který by měl zohlednit následující:</t>
    </r>
  </si>
  <si>
    <t>Vycházíme ze zadaní pro př. 4.</t>
  </si>
  <si>
    <t>Degree of operational leverage (DOL) = 1 + FC/OCF</t>
  </si>
  <si>
    <t>NPV = 0 při produkci 84 ks.</t>
  </si>
  <si>
    <t>DOL</t>
  </si>
  <si>
    <t xml:space="preserve">Riziko spojené s odhadem tržeb lze snížit tím, že firma bude hledat varianty, jak snížit FC, které působí jako páka. </t>
  </si>
  <si>
    <t>NPV při využití služeb subdodavatele.</t>
  </si>
  <si>
    <t>Qfin</t>
  </si>
  <si>
    <t>Qaccounting</t>
  </si>
  <si>
    <t xml:space="preserve">Pokud by prodeje byly optimističtější než očekávané, společnost může začít vyrábět produkt sama (může např. uplatit reálnou opci). Snižení provozní páky je obtížnější než její zvýšení. </t>
  </si>
  <si>
    <r>
      <t>Závěr:</t>
    </r>
    <r>
      <rPr>
        <sz val="11"/>
        <color theme="1"/>
        <rFont val="Calibri"/>
        <family val="2"/>
        <charset val="238"/>
        <scheme val="minor"/>
      </rPr>
      <t xml:space="preserve"> Pokud má firma obavy, že její prognózy jsou moc optimistické, je vhodné využít služeb subdodavatele, protože stupeň provozní páky je výrazně nižší. </t>
    </r>
  </si>
  <si>
    <t>Lower Bound</t>
  </si>
  <si>
    <t>Base Case</t>
  </si>
  <si>
    <t>Upper Bound</t>
  </si>
  <si>
    <t>Project costs</t>
  </si>
  <si>
    <t>Unit sales</t>
  </si>
  <si>
    <t>Price per unit</t>
  </si>
  <si>
    <t>tax</t>
  </si>
  <si>
    <t>project life</t>
  </si>
  <si>
    <t>FC per year</t>
  </si>
  <si>
    <t>Worst Case</t>
  </si>
  <si>
    <t>Best Case</t>
  </si>
  <si>
    <t>VC / unit</t>
  </si>
  <si>
    <t>FC / year</t>
  </si>
  <si>
    <t>Taxes</t>
  </si>
  <si>
    <t>Net income</t>
  </si>
  <si>
    <t>Cash Flow</t>
  </si>
  <si>
    <t>1. část: Určete hranice pro jednotlivé proměnné a vypočítejte NPV pro nejhorší, základní a nejlepší scénář</t>
  </si>
  <si>
    <t>2. část: Vypočítejte peněžní, účetní a finanční bod zvratu pro zákládní scénář.</t>
  </si>
  <si>
    <t>Qcash</t>
  </si>
  <si>
    <t>Qfinancial</t>
  </si>
  <si>
    <t>OCF pro NPV=0</t>
  </si>
  <si>
    <t>Panel A Capital Investment</t>
  </si>
  <si>
    <t xml:space="preserve">   Investment in Fixed Assets</t>
  </si>
  <si>
    <t xml:space="preserve">   Sale of Fixed Assets</t>
  </si>
  <si>
    <t xml:space="preserve">      Less Tax on Sale</t>
  </si>
  <si>
    <t>Cash Flow from Capital Investment</t>
  </si>
  <si>
    <t>Panel B Operating Cash Flow</t>
  </si>
  <si>
    <t>Revenues</t>
  </si>
  <si>
    <t>Cost of Goods Sold</t>
  </si>
  <si>
    <t>Pretax Profit</t>
  </si>
  <si>
    <t>Tax</t>
  </si>
  <si>
    <t>Profit after Tax</t>
  </si>
  <si>
    <t>Operating Cash Flow</t>
  </si>
  <si>
    <t>Panel C Investment in Working Capital</t>
  </si>
  <si>
    <t>Working Capital</t>
  </si>
  <si>
    <t>Change in Working Capital</t>
  </si>
  <si>
    <t>Cash flow from investments in working capital</t>
  </si>
  <si>
    <t>Panel D Project Valuation</t>
  </si>
  <si>
    <t>Total Project Cash Flow</t>
  </si>
  <si>
    <t xml:space="preserve">Discount Factor </t>
  </si>
  <si>
    <t>Discounted Cash Flow</t>
  </si>
  <si>
    <t>Část 2: Změna Q</t>
  </si>
  <si>
    <t>Změna P</t>
  </si>
  <si>
    <t>Změna VC</t>
  </si>
  <si>
    <t>Změna FC</t>
  </si>
  <si>
    <t>% změna NPV vůči základnímu scénáři</t>
  </si>
  <si>
    <t xml:space="preserve">NPV projektu je nejvíce citlivé na změny ceny. </t>
  </si>
  <si>
    <t>Stanovení OCF pro období 0, 1-3 a 4</t>
  </si>
  <si>
    <t>Tržby</t>
  </si>
  <si>
    <t>Náklady</t>
  </si>
  <si>
    <t>Odpisy</t>
  </si>
  <si>
    <t>EAT</t>
  </si>
  <si>
    <t>daň</t>
  </si>
  <si>
    <t>1-3</t>
  </si>
  <si>
    <t>4</t>
  </si>
  <si>
    <t>Kapitálová investice</t>
  </si>
  <si>
    <t>Změna pracovního kapitálu</t>
  </si>
  <si>
    <t>Pracovní kapitál</t>
  </si>
  <si>
    <t>Zásoby</t>
  </si>
  <si>
    <t>Změna</t>
  </si>
  <si>
    <t>Změna WC a dopad na CF</t>
  </si>
  <si>
    <t>CF projektu celkem</t>
  </si>
  <si>
    <t>nebo řešení ve vzorové tabulce:</t>
  </si>
  <si>
    <t>Příklad 1</t>
  </si>
  <si>
    <t>Příklad 2</t>
  </si>
  <si>
    <t>Příklad 3</t>
  </si>
  <si>
    <t>Příklad 4</t>
  </si>
  <si>
    <t>To vše ukazuje na velké riziko spojené s prognózou.</t>
  </si>
  <si>
    <t>Příklad 5</t>
  </si>
  <si>
    <t>Příklad 6</t>
  </si>
  <si>
    <t>Příklad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</si>
</sst>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0.000"/>
    <numFmt numFmtId="165" formatCode="_-* #,##0.00\ _K_č_-;\-* #,##0.00\ _K_č_-;_-* &quot;-&quot;??\ _K_č_-;_-@_-"/>
    <numFmt numFmtId="166" formatCode="_-* #,##0\ _K_č_-;\-* #,##0\ _K_č_-;_-* &quot;-&quot;\ _K_č_-;_-@_-"/>
    <numFmt numFmtId="167" formatCode="0.0000"/>
    <numFmt numFmtId="168" formatCode="_-* #,##0.0\ _K_č_-;\-* #,##0.0\ _K_č_-;_-* &quot;-&quot;\ _K_č_-;_-@_-"/>
    <numFmt numFmtId="169" formatCode="_-* #,##0.000\ _K_č_-;\-* #,##0.000\ _K_č_-;_-* &quot;-&quot;\ _K_č_-;_-@_-"/>
    <numFmt numFmtId="170" formatCode="_-* #,##0\ _K_č_-;\-* #,##0\ _K_č_-;_-* &quot;-&quot;????\ _K_č_-;_-@_-"/>
    <numFmt numFmtId="171" formatCode="#,##0.00\ _K_č"/>
    <numFmt numFmtId="172" formatCode="#,##0_ ;\-#,##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  <charset val="238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164" fontId="0" fillId="0" borderId="1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165" fontId="3" fillId="0" borderId="1" xfId="1" applyNumberFormat="1" applyFont="1" applyBorder="1" applyAlignment="1">
      <alignment horizontal="center"/>
    </xf>
    <xf numFmtId="165" fontId="0" fillId="0" borderId="0" xfId="0" applyNumberFormat="1"/>
    <xf numFmtId="10" fontId="4" fillId="0" borderId="0" xfId="2" applyNumberFormat="1" applyFont="1"/>
    <xf numFmtId="164" fontId="0" fillId="0" borderId="0" xfId="0" applyNumberFormat="1" applyAlignment="1">
      <alignment horizontal="center"/>
    </xf>
    <xf numFmtId="165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3" fillId="0" borderId="0" xfId="0" applyFont="1"/>
    <xf numFmtId="166" fontId="0" fillId="0" borderId="0" xfId="1" applyNumberFormat="1" applyFont="1"/>
    <xf numFmtId="166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166" fontId="0" fillId="0" borderId="1" xfId="1" applyNumberFormat="1" applyFont="1" applyBorder="1"/>
    <xf numFmtId="9" fontId="0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167" fontId="0" fillId="0" borderId="0" xfId="0" applyNumberFormat="1"/>
    <xf numFmtId="168" fontId="0" fillId="0" borderId="0" xfId="0" applyNumberFormat="1"/>
    <xf numFmtId="169" fontId="2" fillId="0" borderId="1" xfId="0" applyNumberFormat="1" applyFont="1" applyBorder="1"/>
    <xf numFmtId="9" fontId="0" fillId="0" borderId="1" xfId="0" applyNumberForma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166" fontId="0" fillId="0" borderId="3" xfId="1" applyNumberFormat="1" applyFont="1" applyBorder="1"/>
    <xf numFmtId="0" fontId="2" fillId="0" borderId="0" xfId="0" applyFont="1" applyAlignment="1">
      <alignment horizontal="center"/>
    </xf>
    <xf numFmtId="166" fontId="0" fillId="0" borderId="0" xfId="1" applyNumberFormat="1" applyFont="1" applyBorder="1"/>
    <xf numFmtId="166" fontId="2" fillId="0" borderId="0" xfId="1" applyNumberFormat="1" applyFont="1" applyBorder="1"/>
    <xf numFmtId="170" fontId="3" fillId="0" borderId="0" xfId="0" applyNumberFormat="1" applyFont="1" applyAlignment="1">
      <alignment horizontal="center"/>
    </xf>
    <xf numFmtId="0" fontId="3" fillId="3" borderId="1" xfId="0" applyFont="1" applyFill="1" applyBorder="1"/>
    <xf numFmtId="170" fontId="3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171" fontId="0" fillId="4" borderId="1" xfId="0" applyNumberForma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71" fontId="0" fillId="0" borderId="1" xfId="0" applyNumberFormat="1" applyBorder="1" applyAlignment="1">
      <alignment horizontal="right" vertical="center"/>
    </xf>
    <xf numFmtId="171" fontId="2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 wrapText="1"/>
    </xf>
    <xf numFmtId="171" fontId="2" fillId="4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1" fontId="1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3" fillId="0" borderId="0" xfId="2" applyFont="1" applyBorder="1" applyAlignment="1">
      <alignment horizontal="center" vertical="center" wrapText="1"/>
    </xf>
    <xf numFmtId="9" fontId="3" fillId="0" borderId="0" xfId="2" applyFont="1" applyBorder="1" applyAlignment="1">
      <alignment horizontal="center"/>
    </xf>
    <xf numFmtId="9" fontId="3" fillId="0" borderId="0" xfId="2" applyFont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49" fontId="3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left"/>
    </xf>
    <xf numFmtId="0" fontId="2" fillId="0" borderId="1" xfId="0" applyFont="1" applyFill="1" applyBorder="1"/>
    <xf numFmtId="0" fontId="13" fillId="0" borderId="1" xfId="0" applyFont="1" applyBorder="1"/>
    <xf numFmtId="172" fontId="13" fillId="0" borderId="1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Fill="1" applyBorder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042A-6BFC-4FB2-B995-60167FD1403D}">
  <dimension ref="A1:L14"/>
  <sheetViews>
    <sheetView workbookViewId="0"/>
  </sheetViews>
  <sheetFormatPr defaultRowHeight="14.4" x14ac:dyDescent="0.3"/>
  <cols>
    <col min="2" max="2" width="10.21875" bestFit="1" customWidth="1"/>
    <col min="3" max="4" width="10.33203125" bestFit="1" customWidth="1"/>
    <col min="5" max="5" width="10.21875" customWidth="1"/>
    <col min="6" max="7" width="10.21875" bestFit="1" customWidth="1"/>
    <col min="9" max="9" width="12.6640625" customWidth="1"/>
  </cols>
  <sheetData>
    <row r="1" spans="1:12" ht="18" x14ac:dyDescent="0.35">
      <c r="A1" s="71" t="s">
        <v>147</v>
      </c>
    </row>
    <row r="3" spans="1:12" x14ac:dyDescent="0.3">
      <c r="A3" s="2"/>
      <c r="B3" s="3">
        <v>0</v>
      </c>
      <c r="C3" s="3">
        <v>1</v>
      </c>
      <c r="D3" s="3">
        <v>2</v>
      </c>
      <c r="E3" s="3">
        <v>3</v>
      </c>
      <c r="F3" s="3">
        <v>4</v>
      </c>
      <c r="G3" s="3" t="s">
        <v>5</v>
      </c>
      <c r="I3" t="s">
        <v>8</v>
      </c>
      <c r="J3" t="s">
        <v>11</v>
      </c>
      <c r="K3" t="s">
        <v>12</v>
      </c>
      <c r="L3" t="s">
        <v>13</v>
      </c>
    </row>
    <row r="4" spans="1:12" x14ac:dyDescent="0.3">
      <c r="A4" s="2" t="s">
        <v>1</v>
      </c>
      <c r="B4" s="1">
        <v>40</v>
      </c>
      <c r="C4" s="1">
        <v>10</v>
      </c>
      <c r="D4" s="1">
        <v>10</v>
      </c>
      <c r="E4" s="1">
        <v>10</v>
      </c>
      <c r="F4" s="1"/>
      <c r="G4" s="1"/>
      <c r="I4" t="s">
        <v>9</v>
      </c>
      <c r="J4">
        <f>1/0.06</f>
        <v>16.666666666666668</v>
      </c>
      <c r="K4">
        <f>0.06*(1.06)^3</f>
        <v>7.1460960000000018E-2</v>
      </c>
      <c r="L4">
        <f>J4-1/K4</f>
        <v>2.6730119494616407</v>
      </c>
    </row>
    <row r="5" spans="1:12" x14ac:dyDescent="0.3">
      <c r="A5" s="2" t="s">
        <v>2</v>
      </c>
      <c r="B5" s="1">
        <v>50</v>
      </c>
      <c r="C5" s="1">
        <v>8</v>
      </c>
      <c r="D5" s="1">
        <v>8</v>
      </c>
      <c r="E5" s="1">
        <v>8</v>
      </c>
      <c r="F5" s="1">
        <v>8</v>
      </c>
      <c r="G5" s="1"/>
      <c r="I5" t="s">
        <v>10</v>
      </c>
      <c r="J5">
        <f>1/0.06</f>
        <v>16.666666666666668</v>
      </c>
      <c r="K5">
        <f>0.06*(1.06)^4</f>
        <v>7.5748617600000012E-2</v>
      </c>
      <c r="L5">
        <f>J5-1/K5</f>
        <v>3.4651056126996593</v>
      </c>
    </row>
    <row r="6" spans="1:12" x14ac:dyDescent="0.3">
      <c r="A6" s="2" t="s">
        <v>3</v>
      </c>
      <c r="B6" s="1">
        <f>B4/(1.06)^B3</f>
        <v>40</v>
      </c>
      <c r="C6" s="1">
        <f t="shared" ref="C6:E6" si="0">C4/(1.06)^C3</f>
        <v>9.4339622641509422</v>
      </c>
      <c r="D6" s="1">
        <f t="shared" si="0"/>
        <v>8.8999644001423981</v>
      </c>
      <c r="E6" s="1">
        <f t="shared" si="0"/>
        <v>8.3961928303230167</v>
      </c>
      <c r="F6" s="1"/>
      <c r="G6" s="1">
        <f>SUM(B6:F6)</f>
        <v>66.73011949461636</v>
      </c>
      <c r="I6" t="s">
        <v>29</v>
      </c>
      <c r="J6">
        <f>1/0.12</f>
        <v>8.3333333333333339</v>
      </c>
      <c r="K6">
        <f>0.12*(1.12)^4</f>
        <v>0.18882232320000003</v>
      </c>
      <c r="L6">
        <f>J6-1/K6</f>
        <v>3.0373493466264074</v>
      </c>
    </row>
    <row r="7" spans="1:12" x14ac:dyDescent="0.3">
      <c r="A7" s="2" t="s">
        <v>4</v>
      </c>
      <c r="B7" s="1">
        <f>B5/(1.06)^B3</f>
        <v>50</v>
      </c>
      <c r="C7" s="1">
        <f t="shared" ref="C7:F7" si="1">C5/(1.06)^C3</f>
        <v>7.5471698113207539</v>
      </c>
      <c r="D7" s="1">
        <f t="shared" si="1"/>
        <v>7.1199715201139187</v>
      </c>
      <c r="E7" s="1">
        <f t="shared" si="1"/>
        <v>6.7169542642584128</v>
      </c>
      <c r="F7" s="1">
        <f t="shared" si="1"/>
        <v>6.3367493059041635</v>
      </c>
      <c r="G7" s="1">
        <f>SUM(B7:F7)</f>
        <v>77.72084490159726</v>
      </c>
    </row>
    <row r="8" spans="1:12" x14ac:dyDescent="0.3">
      <c r="D8" s="10"/>
      <c r="E8" s="10"/>
      <c r="F8" s="10"/>
    </row>
    <row r="9" spans="1:12" x14ac:dyDescent="0.3">
      <c r="D9" s="10"/>
      <c r="E9" s="10"/>
      <c r="F9" s="10"/>
    </row>
    <row r="11" spans="1:12" x14ac:dyDescent="0.3">
      <c r="A11" s="2" t="s">
        <v>6</v>
      </c>
      <c r="B11" s="1">
        <f>G6/L4</f>
        <v>24.96439251162202</v>
      </c>
    </row>
    <row r="12" spans="1:12" x14ac:dyDescent="0.3">
      <c r="A12" s="2" t="s">
        <v>7</v>
      </c>
      <c r="B12" s="1">
        <f>G7/L5</f>
        <v>22.429574618663658</v>
      </c>
    </row>
    <row r="14" spans="1:12" ht="15.6" x14ac:dyDescent="0.3">
      <c r="A14" s="15" t="s">
        <v>14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7B2B-6FC1-4DB1-AA2B-D50E1C071CB2}">
  <dimension ref="A1:K15"/>
  <sheetViews>
    <sheetView workbookViewId="0"/>
  </sheetViews>
  <sheetFormatPr defaultRowHeight="14.4" x14ac:dyDescent="0.3"/>
  <cols>
    <col min="8" max="8" width="15" customWidth="1"/>
  </cols>
  <sheetData>
    <row r="1" spans="1:11" ht="18" x14ac:dyDescent="0.35">
      <c r="A1" s="71" t="s">
        <v>148</v>
      </c>
    </row>
    <row r="3" spans="1:11" x14ac:dyDescent="0.3">
      <c r="A3" s="2"/>
      <c r="B3" s="3">
        <v>0</v>
      </c>
      <c r="C3" s="3">
        <v>1</v>
      </c>
      <c r="D3" s="3">
        <v>2</v>
      </c>
      <c r="E3" s="3">
        <v>3</v>
      </c>
      <c r="F3" s="3" t="s">
        <v>5</v>
      </c>
      <c r="H3" t="s">
        <v>8</v>
      </c>
      <c r="I3" t="s">
        <v>11</v>
      </c>
      <c r="J3" t="s">
        <v>12</v>
      </c>
      <c r="K3" t="s">
        <v>13</v>
      </c>
    </row>
    <row r="4" spans="1:11" x14ac:dyDescent="0.3">
      <c r="A4" s="2" t="s">
        <v>15</v>
      </c>
      <c r="B4" s="1">
        <v>-100</v>
      </c>
      <c r="C4" s="1">
        <v>110</v>
      </c>
      <c r="D4" s="1">
        <v>121</v>
      </c>
      <c r="E4" s="1"/>
      <c r="F4" s="1"/>
      <c r="H4" t="s">
        <v>21</v>
      </c>
      <c r="I4">
        <f>1/0.1</f>
        <v>10</v>
      </c>
      <c r="J4">
        <f>0.1*(1.1)^2</f>
        <v>0.12100000000000002</v>
      </c>
      <c r="K4">
        <f>I4-1/J4</f>
        <v>1.7355371900826455</v>
      </c>
    </row>
    <row r="5" spans="1:11" x14ac:dyDescent="0.3">
      <c r="A5" s="2" t="s">
        <v>16</v>
      </c>
      <c r="B5" s="1">
        <v>-120</v>
      </c>
      <c r="C5" s="1">
        <v>110</v>
      </c>
      <c r="D5" s="1">
        <v>121</v>
      </c>
      <c r="E5" s="1">
        <v>133</v>
      </c>
      <c r="F5" s="1"/>
      <c r="H5" t="s">
        <v>9</v>
      </c>
      <c r="I5">
        <f>1/0.1</f>
        <v>10</v>
      </c>
      <c r="J5">
        <f>0.1*(1.1)^3</f>
        <v>0.13310000000000005</v>
      </c>
      <c r="K5">
        <f>I5-1/J5</f>
        <v>2.486851990984225</v>
      </c>
    </row>
    <row r="6" spans="1:11" x14ac:dyDescent="0.3">
      <c r="A6" s="2" t="s">
        <v>17</v>
      </c>
      <c r="B6" s="1">
        <f>B4/(1.1)^B3</f>
        <v>-100</v>
      </c>
      <c r="C6" s="1">
        <f t="shared" ref="C6:D6" si="0">C4/(1.1)^C3</f>
        <v>99.999999999999986</v>
      </c>
      <c r="D6" s="1">
        <f t="shared" si="0"/>
        <v>99.999999999999986</v>
      </c>
      <c r="E6" s="1"/>
      <c r="F6" s="1">
        <f>SUM(B6:E6)</f>
        <v>99.999999999999972</v>
      </c>
    </row>
    <row r="7" spans="1:11" x14ac:dyDescent="0.3">
      <c r="A7" s="2" t="s">
        <v>18</v>
      </c>
      <c r="B7" s="1">
        <f>B5/(1.1)^B3</f>
        <v>-120</v>
      </c>
      <c r="C7" s="1">
        <f t="shared" ref="C7:E7" si="1">C5/(1.1)^C3</f>
        <v>99.999999999999986</v>
      </c>
      <c r="D7" s="1">
        <f t="shared" si="1"/>
        <v>99.999999999999986</v>
      </c>
      <c r="E7" s="1">
        <f t="shared" si="1"/>
        <v>99.924868519909808</v>
      </c>
      <c r="F7" s="1">
        <f>SUM(B7:E7)</f>
        <v>179.92486851990978</v>
      </c>
    </row>
    <row r="11" spans="1:11" x14ac:dyDescent="0.3">
      <c r="A11" s="2" t="s">
        <v>19</v>
      </c>
      <c r="B11" s="1">
        <f>F6/K4</f>
        <v>57.619047619047571</v>
      </c>
    </row>
    <row r="12" spans="1:11" x14ac:dyDescent="0.3">
      <c r="A12" s="2" t="s">
        <v>20</v>
      </c>
      <c r="B12" s="1">
        <f>F7/K5</f>
        <v>72.350453172205334</v>
      </c>
    </row>
    <row r="15" spans="1:11" ht="15.6" x14ac:dyDescent="0.3">
      <c r="A15" s="15" t="s">
        <v>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6D398-FFE7-4E4B-A54F-1C34DD2ADD2B}">
  <dimension ref="A1:H11"/>
  <sheetViews>
    <sheetView workbookViewId="0"/>
  </sheetViews>
  <sheetFormatPr defaultRowHeight="14.4" x14ac:dyDescent="0.3"/>
  <cols>
    <col min="1" max="1" width="16.6640625" customWidth="1"/>
    <col min="2" max="2" width="16.44140625" customWidth="1"/>
    <col min="3" max="3" width="14.6640625" customWidth="1"/>
    <col min="4" max="4" width="14.44140625" customWidth="1"/>
    <col min="5" max="6" width="13.77734375" customWidth="1"/>
    <col min="7" max="7" width="13.33203125" customWidth="1"/>
    <col min="8" max="8" width="13.109375" customWidth="1"/>
  </cols>
  <sheetData>
    <row r="1" spans="1:8" ht="18" x14ac:dyDescent="0.35">
      <c r="A1" s="71" t="s">
        <v>149</v>
      </c>
    </row>
    <row r="3" spans="1:8" x14ac:dyDescent="0.3">
      <c r="A3" t="s">
        <v>23</v>
      </c>
      <c r="B3">
        <f>60000*(1-0.39)+50000*0.39</f>
        <v>56100</v>
      </c>
    </row>
    <row r="6" spans="1:8" ht="15.6" x14ac:dyDescent="0.3">
      <c r="A6" s="2"/>
      <c r="B6" s="12">
        <v>0</v>
      </c>
      <c r="C6" s="12">
        <v>1</v>
      </c>
      <c r="D6" s="12">
        <v>2</v>
      </c>
      <c r="E6" s="12">
        <v>3</v>
      </c>
      <c r="F6" s="12">
        <v>4</v>
      </c>
      <c r="G6" s="13" t="s">
        <v>0</v>
      </c>
      <c r="H6" s="13" t="s">
        <v>28</v>
      </c>
    </row>
    <row r="7" spans="1:8" ht="15.6" x14ac:dyDescent="0.3">
      <c r="A7" s="5" t="s">
        <v>25</v>
      </c>
      <c r="B7" s="4">
        <v>-200000</v>
      </c>
      <c r="C7" s="4"/>
      <c r="D7" s="4"/>
      <c r="E7" s="4"/>
      <c r="F7" s="4"/>
    </row>
    <row r="8" spans="1:8" ht="15.6" x14ac:dyDescent="0.3">
      <c r="A8" s="5" t="s">
        <v>23</v>
      </c>
      <c r="B8" s="4"/>
      <c r="C8" s="4">
        <v>56100</v>
      </c>
      <c r="D8" s="4">
        <v>56100</v>
      </c>
      <c r="E8" s="4">
        <v>56100</v>
      </c>
      <c r="F8" s="4">
        <v>56100</v>
      </c>
    </row>
    <row r="9" spans="1:8" ht="15.6" x14ac:dyDescent="0.3">
      <c r="A9" s="5" t="s">
        <v>24</v>
      </c>
      <c r="B9" s="4">
        <v>45000</v>
      </c>
      <c r="C9" s="4"/>
      <c r="D9" s="4"/>
      <c r="E9" s="4"/>
      <c r="F9" s="4">
        <v>-45000</v>
      </c>
    </row>
    <row r="10" spans="1:8" s="6" customFormat="1" ht="15.6" x14ac:dyDescent="0.3">
      <c r="A10" s="5" t="s">
        <v>26</v>
      </c>
      <c r="B10" s="7">
        <f>SUM(B7:B9)</f>
        <v>-155000</v>
      </c>
      <c r="C10" s="7">
        <f>SUM(C7:C9)</f>
        <v>56100</v>
      </c>
      <c r="D10" s="7">
        <f t="shared" ref="D10:E10" si="0">SUM(D7:D9)</f>
        <v>56100</v>
      </c>
      <c r="E10" s="7">
        <f t="shared" si="0"/>
        <v>56100</v>
      </c>
      <c r="F10" s="7">
        <f>SUM(F7:F9)</f>
        <v>11100</v>
      </c>
      <c r="G10" s="8"/>
      <c r="H10" s="9">
        <f>IRR(B10:F10)</f>
        <v>7.2311285745408904E-2</v>
      </c>
    </row>
    <row r="11" spans="1:8" ht="15.6" x14ac:dyDescent="0.3">
      <c r="A11" s="14" t="s">
        <v>27</v>
      </c>
      <c r="B11" s="11">
        <f>B10/(1.16)^B6</f>
        <v>-155000</v>
      </c>
      <c r="C11" s="11">
        <f>C10/(1.16)^C6</f>
        <v>48362.068965517246</v>
      </c>
      <c r="D11" s="11">
        <f t="shared" ref="D11:E11" si="1">D10/(1.16)^D6</f>
        <v>41691.438763376937</v>
      </c>
      <c r="E11" s="11">
        <f t="shared" si="1"/>
        <v>35940.895485669775</v>
      </c>
      <c r="F11" s="11">
        <f>F10/(1.16)^F6</f>
        <v>6130.4311864732699</v>
      </c>
      <c r="G11" s="8">
        <f>SUM(B11:F11)</f>
        <v>-22875.165598962772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B7A6-5127-44F4-98E6-F1081FEB036D}">
  <sheetPr>
    <pageSetUpPr fitToPage="1"/>
  </sheetPr>
  <dimension ref="A1:H52"/>
  <sheetViews>
    <sheetView workbookViewId="0">
      <selection activeCell="D47" sqref="D47"/>
    </sheetView>
  </sheetViews>
  <sheetFormatPr defaultRowHeight="14.4" x14ac:dyDescent="0.3"/>
  <cols>
    <col min="1" max="1" width="22.33203125" customWidth="1"/>
    <col min="2" max="2" width="15.109375" bestFit="1" customWidth="1"/>
    <col min="3" max="7" width="12.5546875" bestFit="1" customWidth="1"/>
    <col min="8" max="8" width="10.109375" bestFit="1" customWidth="1"/>
  </cols>
  <sheetData>
    <row r="1" spans="1:8" ht="18" x14ac:dyDescent="0.35">
      <c r="A1" s="71" t="s">
        <v>150</v>
      </c>
    </row>
    <row r="3" spans="1:8" x14ac:dyDescent="0.3">
      <c r="A3" s="2" t="s">
        <v>30</v>
      </c>
      <c r="B3" s="23">
        <v>40000</v>
      </c>
      <c r="D3" s="2" t="s">
        <v>38</v>
      </c>
      <c r="E3" s="22">
        <f>B10/B7*B3</f>
        <v>3400000</v>
      </c>
    </row>
    <row r="4" spans="1:8" x14ac:dyDescent="0.3">
      <c r="A4" s="2" t="s">
        <v>42</v>
      </c>
      <c r="B4" s="23">
        <v>20000</v>
      </c>
      <c r="D4" s="2" t="s">
        <v>39</v>
      </c>
      <c r="E4" s="23">
        <f>B4*B10/5</f>
        <v>1700000</v>
      </c>
    </row>
    <row r="5" spans="1:8" x14ac:dyDescent="0.3">
      <c r="A5" s="2" t="s">
        <v>31</v>
      </c>
      <c r="B5" s="23">
        <v>500000</v>
      </c>
      <c r="D5" s="2" t="s">
        <v>31</v>
      </c>
      <c r="E5" s="23">
        <f>B5</f>
        <v>500000</v>
      </c>
    </row>
    <row r="6" spans="1:8" x14ac:dyDescent="0.3">
      <c r="A6" s="2" t="s">
        <v>32</v>
      </c>
      <c r="B6" s="23">
        <v>3500000</v>
      </c>
      <c r="D6" s="2" t="s">
        <v>40</v>
      </c>
      <c r="E6" s="23">
        <f>B8</f>
        <v>700000</v>
      </c>
    </row>
    <row r="7" spans="1:8" x14ac:dyDescent="0.3">
      <c r="A7" s="2" t="s">
        <v>33</v>
      </c>
      <c r="B7" s="23">
        <v>5</v>
      </c>
      <c r="D7" s="2" t="s">
        <v>36</v>
      </c>
      <c r="E7" s="23">
        <f>E3-E4-E5-E6</f>
        <v>500000</v>
      </c>
    </row>
    <row r="8" spans="1:8" x14ac:dyDescent="0.3">
      <c r="A8" s="2" t="s">
        <v>34</v>
      </c>
      <c r="B8" s="23">
        <f>B6/B7</f>
        <v>700000</v>
      </c>
      <c r="D8" s="2"/>
      <c r="E8" s="23"/>
    </row>
    <row r="9" spans="1:8" x14ac:dyDescent="0.3">
      <c r="A9" s="2" t="s">
        <v>35</v>
      </c>
      <c r="B9" s="24">
        <v>0.2</v>
      </c>
      <c r="D9" s="2" t="s">
        <v>23</v>
      </c>
      <c r="E9" s="23">
        <f>E7+B8</f>
        <v>1200000</v>
      </c>
    </row>
    <row r="10" spans="1:8" x14ac:dyDescent="0.3">
      <c r="A10" s="2" t="s">
        <v>41</v>
      </c>
      <c r="B10" s="23">
        <v>425</v>
      </c>
    </row>
    <row r="11" spans="1:8" x14ac:dyDescent="0.3">
      <c r="B11" s="16"/>
    </row>
    <row r="12" spans="1:8" ht="15.6" x14ac:dyDescent="0.3">
      <c r="A12" s="63" t="s">
        <v>43</v>
      </c>
      <c r="B12" s="63"/>
      <c r="C12" s="63"/>
      <c r="D12" s="63"/>
      <c r="E12" s="63"/>
    </row>
    <row r="13" spans="1:8" x14ac:dyDescent="0.3">
      <c r="B13" s="16"/>
    </row>
    <row r="14" spans="1:8" x14ac:dyDescent="0.3">
      <c r="A14" s="19"/>
      <c r="B14" s="19">
        <v>0</v>
      </c>
      <c r="C14" s="19">
        <v>1</v>
      </c>
      <c r="D14" s="19">
        <v>2</v>
      </c>
      <c r="E14" s="19">
        <v>3</v>
      </c>
      <c r="F14" s="19">
        <v>4</v>
      </c>
      <c r="G14" s="19">
        <v>5</v>
      </c>
      <c r="H14" s="19" t="s">
        <v>0</v>
      </c>
    </row>
    <row r="15" spans="1:8" x14ac:dyDescent="0.3">
      <c r="A15" s="25" t="s">
        <v>32</v>
      </c>
      <c r="B15" s="20">
        <v>-3500000</v>
      </c>
      <c r="C15" s="19"/>
      <c r="D15" s="19"/>
      <c r="E15" s="19"/>
      <c r="F15" s="19"/>
      <c r="G15" s="19"/>
      <c r="H15" s="19"/>
    </row>
    <row r="16" spans="1:8" x14ac:dyDescent="0.3">
      <c r="A16" s="25" t="s">
        <v>23</v>
      </c>
      <c r="B16" s="19"/>
      <c r="C16" s="20">
        <f>E9</f>
        <v>1200000</v>
      </c>
      <c r="D16" s="20">
        <f>C16</f>
        <v>1200000</v>
      </c>
      <c r="E16" s="20">
        <f t="shared" ref="E16:G16" si="0">D16</f>
        <v>1200000</v>
      </c>
      <c r="F16" s="20">
        <f t="shared" si="0"/>
        <v>1200000</v>
      </c>
      <c r="G16" s="20">
        <f t="shared" si="0"/>
        <v>1200000</v>
      </c>
      <c r="H16" s="19"/>
    </row>
    <row r="17" spans="1:8" x14ac:dyDescent="0.3">
      <c r="A17" s="25" t="s">
        <v>37</v>
      </c>
      <c r="B17" s="20">
        <f>SUM(B15:B16)</f>
        <v>-3500000</v>
      </c>
      <c r="C17" s="20">
        <f t="shared" ref="C17:G17" si="1">SUM(C15:C16)</f>
        <v>1200000</v>
      </c>
      <c r="D17" s="20">
        <f t="shared" si="1"/>
        <v>1200000</v>
      </c>
      <c r="E17" s="20">
        <f t="shared" si="1"/>
        <v>1200000</v>
      </c>
      <c r="F17" s="20">
        <f t="shared" si="1"/>
        <v>1200000</v>
      </c>
      <c r="G17" s="20">
        <f t="shared" si="1"/>
        <v>1200000</v>
      </c>
      <c r="H17" s="19"/>
    </row>
    <row r="18" spans="1:8" x14ac:dyDescent="0.3">
      <c r="A18" s="25" t="s">
        <v>27</v>
      </c>
      <c r="B18" s="20">
        <f>B17/(1+$B$9)^B14</f>
        <v>-3500000</v>
      </c>
      <c r="C18" s="20">
        <f t="shared" ref="C18:G18" si="2">C17/(1+$B$9)^C14</f>
        <v>1000000</v>
      </c>
      <c r="D18" s="20">
        <f t="shared" si="2"/>
        <v>833333.33333333337</v>
      </c>
      <c r="E18" s="20">
        <f t="shared" si="2"/>
        <v>694444.4444444445</v>
      </c>
      <c r="F18" s="20">
        <f t="shared" si="2"/>
        <v>578703.70370370371</v>
      </c>
      <c r="G18" s="20">
        <f t="shared" si="2"/>
        <v>482253.08641975309</v>
      </c>
      <c r="H18" s="20">
        <f>SUM(B18:G18)</f>
        <v>88734.567901234783</v>
      </c>
    </row>
    <row r="20" spans="1:8" x14ac:dyDescent="0.3">
      <c r="A20" s="64" t="s">
        <v>44</v>
      </c>
      <c r="B20" s="64"/>
      <c r="C20" s="64"/>
      <c r="D20" s="64"/>
      <c r="E20" s="64"/>
    </row>
    <row r="22" spans="1:8" x14ac:dyDescent="0.3">
      <c r="A22" s="2" t="s">
        <v>45</v>
      </c>
      <c r="B22" s="21">
        <f>1/B9-1/(B9*(1+B9)^5)</f>
        <v>2.9906121399176953</v>
      </c>
    </row>
    <row r="23" spans="1:8" x14ac:dyDescent="0.3">
      <c r="A23" s="2" t="s">
        <v>0</v>
      </c>
      <c r="B23" s="22">
        <f>-3500000+B22*E9</f>
        <v>88734.567901234142</v>
      </c>
    </row>
    <row r="25" spans="1:8" x14ac:dyDescent="0.3">
      <c r="A25" s="18" t="s">
        <v>46</v>
      </c>
    </row>
    <row r="27" spans="1:8" ht="15.6" x14ac:dyDescent="0.3">
      <c r="A27" s="63" t="s">
        <v>47</v>
      </c>
      <c r="B27" s="63"/>
      <c r="C27" s="63"/>
      <c r="D27" s="63"/>
      <c r="E27" s="63"/>
    </row>
    <row r="29" spans="1:8" x14ac:dyDescent="0.3">
      <c r="A29" s="18" t="s">
        <v>51</v>
      </c>
      <c r="C29" t="s">
        <v>52</v>
      </c>
    </row>
    <row r="31" spans="1:8" x14ac:dyDescent="0.3">
      <c r="A31" s="18" t="s">
        <v>50</v>
      </c>
      <c r="C31" s="26" t="s">
        <v>53</v>
      </c>
      <c r="D31" t="s">
        <v>58</v>
      </c>
    </row>
    <row r="32" spans="1:8" ht="15.6" x14ac:dyDescent="0.35">
      <c r="A32" t="s">
        <v>63</v>
      </c>
      <c r="B32">
        <f>(B5+B8)/(B3-B4)</f>
        <v>60</v>
      </c>
      <c r="C32" t="s">
        <v>48</v>
      </c>
    </row>
    <row r="34" spans="1:4" x14ac:dyDescent="0.3">
      <c r="A34" s="18" t="s">
        <v>49</v>
      </c>
      <c r="C34" s="26" t="s">
        <v>54</v>
      </c>
      <c r="D34" t="s">
        <v>55</v>
      </c>
    </row>
    <row r="35" spans="1:4" ht="15.6" x14ac:dyDescent="0.35">
      <c r="A35" t="s">
        <v>64</v>
      </c>
      <c r="B35">
        <f>B5/(B3-B4)</f>
        <v>25</v>
      </c>
      <c r="C35" t="s">
        <v>48</v>
      </c>
      <c r="D35" t="s">
        <v>56</v>
      </c>
    </row>
    <row r="37" spans="1:4" x14ac:dyDescent="0.3">
      <c r="A37" s="18" t="s">
        <v>57</v>
      </c>
      <c r="D37" t="s">
        <v>59</v>
      </c>
    </row>
    <row r="38" spans="1:4" ht="15.6" x14ac:dyDescent="0.35">
      <c r="A38" t="s">
        <v>65</v>
      </c>
    </row>
    <row r="39" spans="1:4" x14ac:dyDescent="0.3">
      <c r="B39" s="26" t="s">
        <v>60</v>
      </c>
    </row>
    <row r="40" spans="1:4" x14ac:dyDescent="0.3">
      <c r="B40" t="s">
        <v>61</v>
      </c>
      <c r="C40" s="17">
        <f>B6/B22</f>
        <v>1170328.9615136532</v>
      </c>
    </row>
    <row r="42" spans="1:4" x14ac:dyDescent="0.3">
      <c r="B42" s="26" t="s">
        <v>62</v>
      </c>
    </row>
    <row r="43" spans="1:4" ht="15.6" x14ac:dyDescent="0.35">
      <c r="B43" t="s">
        <v>66</v>
      </c>
      <c r="C43" s="28">
        <f>(B5+C40)/(B3-B4)</f>
        <v>83.516448075682661</v>
      </c>
      <c r="D43" t="s">
        <v>67</v>
      </c>
    </row>
    <row r="45" spans="1:4" x14ac:dyDescent="0.3">
      <c r="A45" t="s">
        <v>68</v>
      </c>
    </row>
    <row r="46" spans="1:4" x14ac:dyDescent="0.3">
      <c r="A46" t="s">
        <v>69</v>
      </c>
    </row>
    <row r="47" spans="1:4" x14ac:dyDescent="0.3">
      <c r="A47" t="s">
        <v>151</v>
      </c>
    </row>
    <row r="49" spans="1:1" x14ac:dyDescent="0.3">
      <c r="A49" t="s">
        <v>73</v>
      </c>
    </row>
    <row r="50" spans="1:1" x14ac:dyDescent="0.3">
      <c r="A50" t="s">
        <v>70</v>
      </c>
    </row>
    <row r="51" spans="1:1" x14ac:dyDescent="0.3">
      <c r="A51" t="s">
        <v>71</v>
      </c>
    </row>
    <row r="52" spans="1:1" x14ac:dyDescent="0.3">
      <c r="A52" t="s">
        <v>72</v>
      </c>
    </row>
  </sheetData>
  <mergeCells count="3">
    <mergeCell ref="A12:E12"/>
    <mergeCell ref="A20:E20"/>
    <mergeCell ref="A27:E27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359DD-D8AC-4C32-8DE3-68E88623F3CD}">
  <sheetPr>
    <pageSetUpPr fitToPage="1"/>
  </sheetPr>
  <dimension ref="A1:B22"/>
  <sheetViews>
    <sheetView workbookViewId="0"/>
  </sheetViews>
  <sheetFormatPr defaultRowHeight="14.4" x14ac:dyDescent="0.3"/>
  <cols>
    <col min="1" max="1" width="12.109375" customWidth="1"/>
    <col min="2" max="2" width="17.88671875" customWidth="1"/>
  </cols>
  <sheetData>
    <row r="1" spans="1:2" ht="18" x14ac:dyDescent="0.35">
      <c r="A1" s="71" t="s">
        <v>152</v>
      </c>
    </row>
    <row r="3" spans="1:2" x14ac:dyDescent="0.3">
      <c r="A3" t="s">
        <v>74</v>
      </c>
    </row>
    <row r="5" spans="1:2" x14ac:dyDescent="0.3">
      <c r="A5" t="s">
        <v>75</v>
      </c>
    </row>
    <row r="7" spans="1:2" x14ac:dyDescent="0.3">
      <c r="A7" t="s">
        <v>76</v>
      </c>
    </row>
    <row r="9" spans="1:2" x14ac:dyDescent="0.3">
      <c r="A9" s="2" t="s">
        <v>77</v>
      </c>
      <c r="B9" s="29">
        <f>1+'Př. 4'!B5/'Př. 4'!C40</f>
        <v>1.427230305702528</v>
      </c>
    </row>
    <row r="11" spans="1:2" x14ac:dyDescent="0.3">
      <c r="A11" t="s">
        <v>78</v>
      </c>
    </row>
    <row r="13" spans="1:2" x14ac:dyDescent="0.3">
      <c r="A13" s="18" t="s">
        <v>79</v>
      </c>
    </row>
    <row r="14" spans="1:2" x14ac:dyDescent="0.3">
      <c r="A14" s="2" t="s">
        <v>23</v>
      </c>
      <c r="B14" s="23">
        <f>85*40000-85*25000-180000</f>
        <v>1095000</v>
      </c>
    </row>
    <row r="15" spans="1:2" x14ac:dyDescent="0.3">
      <c r="A15" s="2" t="s">
        <v>0</v>
      </c>
      <c r="B15" s="23">
        <f>-3200000+B14*'Př. 4'!B22</f>
        <v>74720.293209876399</v>
      </c>
    </row>
    <row r="16" spans="1:2" x14ac:dyDescent="0.3">
      <c r="A16" s="2" t="s">
        <v>77</v>
      </c>
      <c r="B16" s="29">
        <f>1+180000/B14</f>
        <v>1.1643835616438356</v>
      </c>
    </row>
    <row r="18" spans="1:2" x14ac:dyDescent="0.3">
      <c r="A18" s="2" t="s">
        <v>80</v>
      </c>
      <c r="B18" s="17">
        <f>(180000+B14)/15000</f>
        <v>85</v>
      </c>
    </row>
    <row r="19" spans="1:2" x14ac:dyDescent="0.3">
      <c r="A19" s="18" t="s">
        <v>81</v>
      </c>
      <c r="B19" s="17">
        <f>(180000+3200000/5)/15000</f>
        <v>54.666666666666664</v>
      </c>
    </row>
    <row r="21" spans="1:2" x14ac:dyDescent="0.3">
      <c r="A21" s="18" t="s">
        <v>83</v>
      </c>
    </row>
    <row r="22" spans="1:2" x14ac:dyDescent="0.3">
      <c r="A22" t="s">
        <v>82</v>
      </c>
    </row>
  </sheetData>
  <pageMargins left="0.7" right="0.7" top="0.78740157499999996" bottom="0.78740157499999996" header="0.3" footer="0.3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0AEFE-8185-4546-9F35-6E51E0C65EE8}">
  <dimension ref="A1:K47"/>
  <sheetViews>
    <sheetView zoomScaleNormal="100" workbookViewId="0">
      <selection activeCell="C6" sqref="C6"/>
    </sheetView>
  </sheetViews>
  <sheetFormatPr defaultRowHeight="14.4" x14ac:dyDescent="0.3"/>
  <cols>
    <col min="1" max="1" width="39.21875" customWidth="1"/>
    <col min="2" max="2" width="18.21875" customWidth="1"/>
    <col min="3" max="3" width="19.6640625" customWidth="1"/>
    <col min="4" max="4" width="19" customWidth="1"/>
    <col min="5" max="5" width="20.21875" customWidth="1"/>
    <col min="6" max="6" width="17.88671875" customWidth="1"/>
    <col min="7" max="7" width="24.44140625" customWidth="1"/>
    <col min="8" max="9" width="10.109375" bestFit="1" customWidth="1"/>
  </cols>
  <sheetData>
    <row r="1" spans="1:11" ht="18" x14ac:dyDescent="0.35">
      <c r="A1" s="71" t="s">
        <v>153</v>
      </c>
    </row>
    <row r="3" spans="1:11" ht="15.6" x14ac:dyDescent="0.3">
      <c r="A3" s="18" t="s">
        <v>131</v>
      </c>
      <c r="B3" s="19"/>
      <c r="C3" s="12">
        <v>0</v>
      </c>
      <c r="D3" s="66" t="s">
        <v>137</v>
      </c>
      <c r="E3" s="66" t="s">
        <v>138</v>
      </c>
      <c r="G3" s="18" t="s">
        <v>141</v>
      </c>
    </row>
    <row r="4" spans="1:11" x14ac:dyDescent="0.3">
      <c r="B4" s="25" t="s">
        <v>132</v>
      </c>
      <c r="C4" s="20"/>
      <c r="D4" s="20">
        <v>20000</v>
      </c>
      <c r="E4" s="20">
        <v>20000</v>
      </c>
      <c r="H4" s="37">
        <v>1</v>
      </c>
      <c r="I4" s="37">
        <v>2</v>
      </c>
      <c r="J4" s="37">
        <v>3</v>
      </c>
      <c r="K4" s="37">
        <v>4</v>
      </c>
    </row>
    <row r="5" spans="1:11" x14ac:dyDescent="0.3">
      <c r="B5" s="25" t="s">
        <v>133</v>
      </c>
      <c r="C5" s="20"/>
      <c r="D5" s="20">
        <v>7000</v>
      </c>
      <c r="E5" s="20">
        <v>7000</v>
      </c>
      <c r="G5" s="67" t="s">
        <v>142</v>
      </c>
      <c r="H5" s="20">
        <v>10000</v>
      </c>
      <c r="I5" s="20">
        <v>10500</v>
      </c>
      <c r="J5" s="20">
        <v>5000</v>
      </c>
      <c r="K5" s="20"/>
    </row>
    <row r="6" spans="1:11" x14ac:dyDescent="0.3">
      <c r="B6" s="25" t="s">
        <v>134</v>
      </c>
      <c r="C6" s="20">
        <v>10000</v>
      </c>
      <c r="D6" s="20">
        <v>10000</v>
      </c>
      <c r="E6" s="20"/>
      <c r="G6" s="67" t="s">
        <v>143</v>
      </c>
      <c r="H6" s="20">
        <v>10000</v>
      </c>
      <c r="I6" s="20">
        <f>I5-H5</f>
        <v>500</v>
      </c>
      <c r="J6" s="20">
        <f t="shared" ref="J6:K6" si="0">J5-I5</f>
        <v>-5500</v>
      </c>
      <c r="K6" s="20">
        <f t="shared" si="0"/>
        <v>-5000</v>
      </c>
    </row>
    <row r="7" spans="1:11" x14ac:dyDescent="0.3">
      <c r="B7" s="25" t="s">
        <v>36</v>
      </c>
      <c r="C7" s="20">
        <f>C4-C5-C6</f>
        <v>-10000</v>
      </c>
      <c r="D7" s="20">
        <f>D4-D5-D6</f>
        <v>3000</v>
      </c>
      <c r="E7" s="20">
        <f>E4-E5-E6</f>
        <v>13000</v>
      </c>
      <c r="G7" s="67" t="s">
        <v>144</v>
      </c>
      <c r="H7" s="20">
        <f>-H6</f>
        <v>-10000</v>
      </c>
      <c r="I7" s="20">
        <f t="shared" ref="I7" si="1">-I6</f>
        <v>-500</v>
      </c>
      <c r="J7" s="20">
        <f t="shared" ref="J7" si="2">-J6</f>
        <v>5500</v>
      </c>
      <c r="K7" s="20">
        <f t="shared" ref="K7" si="3">-K6</f>
        <v>5000</v>
      </c>
    </row>
    <row r="8" spans="1:11" x14ac:dyDescent="0.3">
      <c r="B8" s="25" t="s">
        <v>136</v>
      </c>
      <c r="C8" s="20">
        <f>C7*0.21</f>
        <v>-2100</v>
      </c>
      <c r="D8" s="20">
        <f>D7*0.21</f>
        <v>630</v>
      </c>
      <c r="E8" s="20">
        <f>E7*0.21</f>
        <v>2730</v>
      </c>
    </row>
    <row r="9" spans="1:11" x14ac:dyDescent="0.3">
      <c r="B9" s="25" t="s">
        <v>135</v>
      </c>
      <c r="C9" s="20">
        <f>C7-C8</f>
        <v>-7900</v>
      </c>
      <c r="D9" s="20">
        <f>D7-D8</f>
        <v>2370</v>
      </c>
      <c r="E9" s="20">
        <f>E7-E8</f>
        <v>10270</v>
      </c>
    </row>
    <row r="10" spans="1:11" x14ac:dyDescent="0.3">
      <c r="B10" s="25"/>
      <c r="C10" s="20"/>
      <c r="D10" s="20"/>
      <c r="E10" s="20"/>
    </row>
    <row r="11" spans="1:11" x14ac:dyDescent="0.3">
      <c r="B11" s="25" t="s">
        <v>23</v>
      </c>
      <c r="C11" s="20">
        <f>C9+C6</f>
        <v>2100</v>
      </c>
      <c r="D11" s="20">
        <f>D9+D6</f>
        <v>12370</v>
      </c>
      <c r="E11" s="20">
        <f>E9+E6</f>
        <v>10270</v>
      </c>
    </row>
    <row r="12" spans="1:11" x14ac:dyDescent="0.3">
      <c r="C12" s="17"/>
      <c r="D12" s="17"/>
      <c r="E12" s="17"/>
    </row>
    <row r="13" spans="1:11" x14ac:dyDescent="0.3">
      <c r="A13" s="2"/>
      <c r="B13" s="3">
        <v>0</v>
      </c>
      <c r="C13" s="3">
        <v>1</v>
      </c>
      <c r="D13" s="3">
        <v>2</v>
      </c>
      <c r="E13" s="3">
        <v>3</v>
      </c>
      <c r="F13" s="3">
        <v>4</v>
      </c>
    </row>
    <row r="14" spans="1:11" x14ac:dyDescent="0.3">
      <c r="A14" s="2" t="s">
        <v>139</v>
      </c>
      <c r="B14" s="20">
        <v>-40000</v>
      </c>
      <c r="C14" s="20"/>
      <c r="D14" s="20"/>
      <c r="E14" s="20"/>
      <c r="F14" s="20">
        <f>12000*0.79</f>
        <v>9480</v>
      </c>
    </row>
    <row r="15" spans="1:11" x14ac:dyDescent="0.3">
      <c r="A15" s="2" t="s">
        <v>23</v>
      </c>
      <c r="B15" s="20">
        <v>2100</v>
      </c>
      <c r="C15" s="20">
        <v>12370</v>
      </c>
      <c r="D15" s="20">
        <v>12370</v>
      </c>
      <c r="E15" s="20">
        <v>12370</v>
      </c>
      <c r="F15" s="20">
        <v>10270</v>
      </c>
    </row>
    <row r="16" spans="1:11" x14ac:dyDescent="0.3">
      <c r="A16" s="2" t="s">
        <v>140</v>
      </c>
      <c r="B16" s="20"/>
      <c r="C16" s="20">
        <v>-10000</v>
      </c>
      <c r="D16" s="20">
        <v>-500</v>
      </c>
      <c r="E16" s="20">
        <v>5500</v>
      </c>
      <c r="F16" s="20">
        <v>5000</v>
      </c>
    </row>
    <row r="17" spans="1:6" x14ac:dyDescent="0.3">
      <c r="A17" s="68" t="s">
        <v>145</v>
      </c>
      <c r="B17" s="22">
        <f>B16+B15+B14</f>
        <v>-37900</v>
      </c>
      <c r="C17" s="22">
        <f t="shared" ref="C17:F17" si="4">C16+C15+C14</f>
        <v>2370</v>
      </c>
      <c r="D17" s="22">
        <f t="shared" si="4"/>
        <v>11870</v>
      </c>
      <c r="E17" s="22">
        <f t="shared" si="4"/>
        <v>17870</v>
      </c>
      <c r="F17" s="22">
        <f t="shared" si="4"/>
        <v>24750</v>
      </c>
    </row>
    <row r="18" spans="1:6" x14ac:dyDescent="0.3">
      <c r="A18" s="68" t="s">
        <v>27</v>
      </c>
      <c r="B18" s="22">
        <f>B17/(1+0.08)^B13</f>
        <v>-37900</v>
      </c>
      <c r="C18" s="22">
        <f t="shared" ref="C18:F18" si="5">C17/(1+0.08)^C13</f>
        <v>2194.4444444444443</v>
      </c>
      <c r="D18" s="22">
        <f t="shared" si="5"/>
        <v>10176.611796982166</v>
      </c>
      <c r="E18" s="22">
        <f t="shared" si="5"/>
        <v>14185.78214703043</v>
      </c>
      <c r="F18" s="22">
        <f t="shared" si="5"/>
        <v>18191.988856712218</v>
      </c>
    </row>
    <row r="19" spans="1:6" ht="18" x14ac:dyDescent="0.35">
      <c r="A19" s="69" t="s">
        <v>0</v>
      </c>
      <c r="B19" s="70">
        <f>SUM(B18:F18)</f>
        <v>6848.8272451692574</v>
      </c>
      <c r="C19" s="70"/>
      <c r="D19" s="70"/>
      <c r="E19" s="70"/>
      <c r="F19" s="70"/>
    </row>
    <row r="21" spans="1:6" ht="21" x14ac:dyDescent="0.4">
      <c r="A21" s="72" t="s">
        <v>146</v>
      </c>
    </row>
    <row r="23" spans="1:6" x14ac:dyDescent="0.3">
      <c r="A23" s="43" t="s">
        <v>105</v>
      </c>
      <c r="B23" s="19">
        <v>0</v>
      </c>
      <c r="C23" s="19">
        <v>1</v>
      </c>
      <c r="D23" s="19">
        <v>2</v>
      </c>
      <c r="E23" s="19">
        <v>3</v>
      </c>
      <c r="F23" s="19">
        <v>4</v>
      </c>
    </row>
    <row r="24" spans="1:6" x14ac:dyDescent="0.3">
      <c r="A24" s="44" t="s">
        <v>106</v>
      </c>
      <c r="B24" s="45">
        <v>-40000</v>
      </c>
      <c r="C24" s="45"/>
      <c r="D24" s="45"/>
      <c r="E24" s="45"/>
      <c r="F24" s="45"/>
    </row>
    <row r="25" spans="1:6" x14ac:dyDescent="0.3">
      <c r="A25" s="46" t="s">
        <v>107</v>
      </c>
      <c r="B25" s="47"/>
      <c r="C25" s="47"/>
      <c r="D25" s="47"/>
      <c r="E25" s="47"/>
      <c r="F25" s="47">
        <v>12000</v>
      </c>
    </row>
    <row r="26" spans="1:6" x14ac:dyDescent="0.3">
      <c r="A26" s="44" t="s">
        <v>108</v>
      </c>
      <c r="B26" s="45"/>
      <c r="C26" s="45"/>
      <c r="D26" s="45"/>
      <c r="E26" s="45"/>
      <c r="F26" s="45">
        <f>F25*0.21</f>
        <v>2520</v>
      </c>
    </row>
    <row r="27" spans="1:6" x14ac:dyDescent="0.3">
      <c r="A27" s="43" t="s">
        <v>109</v>
      </c>
      <c r="B27" s="48">
        <f>B25-B26+B24</f>
        <v>-40000</v>
      </c>
      <c r="C27" s="48">
        <f t="shared" ref="C27:E27" si="6">C25-C26+C24</f>
        <v>0</v>
      </c>
      <c r="D27" s="48">
        <f t="shared" si="6"/>
        <v>0</v>
      </c>
      <c r="E27" s="48">
        <f t="shared" si="6"/>
        <v>0</v>
      </c>
      <c r="F27" s="48">
        <f>F25-F26+F24</f>
        <v>9480</v>
      </c>
    </row>
    <row r="28" spans="1:6" x14ac:dyDescent="0.3">
      <c r="A28" s="44"/>
      <c r="B28" s="45"/>
      <c r="C28" s="45"/>
      <c r="D28" s="45"/>
      <c r="E28" s="45"/>
      <c r="F28" s="45"/>
    </row>
    <row r="29" spans="1:6" x14ac:dyDescent="0.3">
      <c r="A29" s="43" t="s">
        <v>110</v>
      </c>
      <c r="B29" s="47">
        <v>0</v>
      </c>
      <c r="C29" s="47">
        <v>1</v>
      </c>
      <c r="D29" s="47">
        <v>2</v>
      </c>
      <c r="E29" s="47">
        <v>3</v>
      </c>
      <c r="F29" s="47">
        <v>4</v>
      </c>
    </row>
    <row r="30" spans="1:6" x14ac:dyDescent="0.3">
      <c r="A30" s="44" t="s">
        <v>111</v>
      </c>
      <c r="B30" s="45"/>
      <c r="C30" s="45">
        <v>20000</v>
      </c>
      <c r="D30" s="45">
        <v>20000</v>
      </c>
      <c r="E30" s="45">
        <v>20000</v>
      </c>
      <c r="F30" s="45">
        <v>20000</v>
      </c>
    </row>
    <row r="31" spans="1:6" x14ac:dyDescent="0.3">
      <c r="A31" s="46" t="s">
        <v>112</v>
      </c>
      <c r="B31" s="47"/>
      <c r="C31" s="47">
        <v>7000</v>
      </c>
      <c r="D31" s="47">
        <v>7000</v>
      </c>
      <c r="E31" s="47">
        <v>7000</v>
      </c>
      <c r="F31" s="47">
        <v>7000</v>
      </c>
    </row>
    <row r="32" spans="1:6" x14ac:dyDescent="0.3">
      <c r="A32" s="44" t="s">
        <v>40</v>
      </c>
      <c r="B32" s="45">
        <v>10000</v>
      </c>
      <c r="C32" s="45">
        <v>10000</v>
      </c>
      <c r="D32" s="45">
        <v>10000</v>
      </c>
      <c r="E32" s="45">
        <v>10000</v>
      </c>
      <c r="F32" s="45"/>
    </row>
    <row r="33" spans="1:6" x14ac:dyDescent="0.3">
      <c r="A33" s="46" t="s">
        <v>113</v>
      </c>
      <c r="B33" s="47">
        <f>B30-B31-B32</f>
        <v>-10000</v>
      </c>
      <c r="C33" s="47">
        <f>C30-C31-C32</f>
        <v>3000</v>
      </c>
      <c r="D33" s="47">
        <f t="shared" ref="D33:F33" si="7">D30-D31-D32</f>
        <v>3000</v>
      </c>
      <c r="E33" s="47">
        <f t="shared" si="7"/>
        <v>3000</v>
      </c>
      <c r="F33" s="47">
        <f t="shared" si="7"/>
        <v>13000</v>
      </c>
    </row>
    <row r="34" spans="1:6" x14ac:dyDescent="0.3">
      <c r="A34" s="44" t="s">
        <v>114</v>
      </c>
      <c r="B34" s="45">
        <f>B33*0.21</f>
        <v>-2100</v>
      </c>
      <c r="C34" s="45">
        <f t="shared" ref="C34:F34" si="8">C33*0.21</f>
        <v>630</v>
      </c>
      <c r="D34" s="45">
        <f t="shared" si="8"/>
        <v>630</v>
      </c>
      <c r="E34" s="45">
        <f t="shared" si="8"/>
        <v>630</v>
      </c>
      <c r="F34" s="45">
        <f t="shared" si="8"/>
        <v>2730</v>
      </c>
    </row>
    <row r="35" spans="1:6" x14ac:dyDescent="0.3">
      <c r="A35" s="46" t="s">
        <v>115</v>
      </c>
      <c r="B35" s="47">
        <f>B33-B34</f>
        <v>-7900</v>
      </c>
      <c r="C35" s="47">
        <f t="shared" ref="C35:F35" si="9">C33-C34</f>
        <v>2370</v>
      </c>
      <c r="D35" s="47">
        <f t="shared" si="9"/>
        <v>2370</v>
      </c>
      <c r="E35" s="47">
        <f t="shared" si="9"/>
        <v>2370</v>
      </c>
      <c r="F35" s="47">
        <f t="shared" si="9"/>
        <v>10270</v>
      </c>
    </row>
    <row r="36" spans="1:6" x14ac:dyDescent="0.3">
      <c r="A36" s="49" t="s">
        <v>116</v>
      </c>
      <c r="B36" s="50">
        <f>B35+B32</f>
        <v>2100</v>
      </c>
      <c r="C36" s="50">
        <f t="shared" ref="C36:F36" si="10">C35+C32</f>
        <v>12370</v>
      </c>
      <c r="D36" s="50">
        <f t="shared" si="10"/>
        <v>12370</v>
      </c>
      <c r="E36" s="50">
        <f t="shared" si="10"/>
        <v>12370</v>
      </c>
      <c r="F36" s="50">
        <f t="shared" si="10"/>
        <v>10270</v>
      </c>
    </row>
    <row r="37" spans="1:6" x14ac:dyDescent="0.3">
      <c r="A37" s="46"/>
      <c r="B37" s="47"/>
      <c r="C37" s="47"/>
      <c r="D37" s="47"/>
      <c r="E37" s="47"/>
      <c r="F37" s="47"/>
    </row>
    <row r="38" spans="1:6" x14ac:dyDescent="0.3">
      <c r="A38" s="49" t="s">
        <v>117</v>
      </c>
      <c r="B38" s="45">
        <v>0</v>
      </c>
      <c r="C38" s="45">
        <v>1</v>
      </c>
      <c r="D38" s="45">
        <v>2</v>
      </c>
      <c r="E38" s="45">
        <v>3</v>
      </c>
      <c r="F38" s="45">
        <v>4</v>
      </c>
    </row>
    <row r="39" spans="1:6" x14ac:dyDescent="0.3">
      <c r="A39" s="46" t="s">
        <v>118</v>
      </c>
      <c r="B39" s="47">
        <v>0</v>
      </c>
      <c r="C39" s="47">
        <v>10000</v>
      </c>
      <c r="D39" s="47">
        <v>10500</v>
      </c>
      <c r="E39" s="47">
        <v>5000</v>
      </c>
      <c r="F39" s="47">
        <v>0</v>
      </c>
    </row>
    <row r="40" spans="1:6" x14ac:dyDescent="0.3">
      <c r="A40" s="44" t="s">
        <v>119</v>
      </c>
      <c r="B40" s="45"/>
      <c r="C40" s="45">
        <f>C39-B39</f>
        <v>10000</v>
      </c>
      <c r="D40" s="45">
        <f t="shared" ref="D40" si="11">D39-C39</f>
        <v>500</v>
      </c>
      <c r="E40" s="45">
        <f t="shared" ref="E40" si="12">E39-D39</f>
        <v>-5500</v>
      </c>
      <c r="F40" s="45">
        <f>F39-E39</f>
        <v>-5000</v>
      </c>
    </row>
    <row r="41" spans="1:6" ht="27.6" x14ac:dyDescent="0.3">
      <c r="A41" s="43" t="s">
        <v>120</v>
      </c>
      <c r="B41" s="48">
        <f>-B40</f>
        <v>0</v>
      </c>
      <c r="C41" s="48">
        <f t="shared" ref="C41:E41" si="13">-C40</f>
        <v>-10000</v>
      </c>
      <c r="D41" s="48">
        <f t="shared" si="13"/>
        <v>-500</v>
      </c>
      <c r="E41" s="48">
        <f t="shared" si="13"/>
        <v>5500</v>
      </c>
      <c r="F41" s="48">
        <f>-F40</f>
        <v>5000</v>
      </c>
    </row>
    <row r="42" spans="1:6" x14ac:dyDescent="0.3">
      <c r="A42" s="44"/>
      <c r="B42" s="45"/>
      <c r="C42" s="45"/>
      <c r="D42" s="45"/>
      <c r="E42" s="45"/>
      <c r="F42" s="45"/>
    </row>
    <row r="43" spans="1:6" x14ac:dyDescent="0.3">
      <c r="A43" s="43" t="s">
        <v>121</v>
      </c>
      <c r="B43" s="47">
        <v>0</v>
      </c>
      <c r="C43" s="47">
        <v>1</v>
      </c>
      <c r="D43" s="47">
        <v>2</v>
      </c>
      <c r="E43" s="47">
        <v>3</v>
      </c>
      <c r="F43" s="47">
        <v>4</v>
      </c>
    </row>
    <row r="44" spans="1:6" x14ac:dyDescent="0.3">
      <c r="A44" s="44" t="s">
        <v>122</v>
      </c>
      <c r="B44" s="45">
        <f>B27+B36+B41</f>
        <v>-37900</v>
      </c>
      <c r="C44" s="45">
        <f t="shared" ref="C44:F44" si="14">C27+C36+C41</f>
        <v>2370</v>
      </c>
      <c r="D44" s="45">
        <f t="shared" si="14"/>
        <v>11870</v>
      </c>
      <c r="E44" s="45">
        <f t="shared" si="14"/>
        <v>17870</v>
      </c>
      <c r="F44" s="45">
        <f t="shared" si="14"/>
        <v>24750</v>
      </c>
    </row>
    <row r="45" spans="1:6" ht="15" x14ac:dyDescent="0.3">
      <c r="A45" s="51" t="s">
        <v>123</v>
      </c>
      <c r="B45" s="47">
        <v>1</v>
      </c>
      <c r="C45" s="47">
        <f>1/(1.08)^C38</f>
        <v>0.92592592592592582</v>
      </c>
      <c r="D45" s="47">
        <f t="shared" ref="D45:F45" si="15">1/(1.08)^D38</f>
        <v>0.85733882030178321</v>
      </c>
      <c r="E45" s="47">
        <f t="shared" si="15"/>
        <v>0.79383224102016958</v>
      </c>
      <c r="F45" s="47">
        <f t="shared" si="15"/>
        <v>0.73502985279645328</v>
      </c>
    </row>
    <row r="46" spans="1:6" ht="15.6" x14ac:dyDescent="0.3">
      <c r="A46" s="52" t="s">
        <v>124</v>
      </c>
      <c r="B46" s="50">
        <f>B44*B45</f>
        <v>-37900</v>
      </c>
      <c r="C46" s="50">
        <f>C44*C45</f>
        <v>2194.4444444444443</v>
      </c>
      <c r="D46" s="50">
        <f>D44*D45</f>
        <v>10176.611796982166</v>
      </c>
      <c r="E46" s="50">
        <f>E44*E45</f>
        <v>14185.78214703043</v>
      </c>
      <c r="F46" s="50">
        <f>F44*F45</f>
        <v>18191.988856712218</v>
      </c>
    </row>
    <row r="47" spans="1:6" ht="15.6" x14ac:dyDescent="0.3">
      <c r="A47" s="53" t="s">
        <v>0</v>
      </c>
      <c r="B47" s="54">
        <f>SUM(B46:F46)</f>
        <v>6848.8272451692574</v>
      </c>
      <c r="C47" s="47"/>
      <c r="D47" s="47"/>
      <c r="E47" s="47"/>
      <c r="F47" s="47"/>
    </row>
  </sheetData>
  <mergeCells count="1">
    <mergeCell ref="B19:F1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89189-BD5D-4DE1-94D1-54892EA6A11E}">
  <dimension ref="A1:S64"/>
  <sheetViews>
    <sheetView tabSelected="1" workbookViewId="0">
      <selection activeCell="F14" sqref="F14"/>
    </sheetView>
  </sheetViews>
  <sheetFormatPr defaultRowHeight="14.4" x14ac:dyDescent="0.3"/>
  <cols>
    <col min="1" max="1" width="16.44140625" customWidth="1"/>
    <col min="2" max="2" width="15.33203125" customWidth="1"/>
    <col min="3" max="3" width="15.6640625" customWidth="1"/>
    <col min="4" max="4" width="16.77734375" customWidth="1"/>
    <col min="5" max="5" width="14" customWidth="1"/>
    <col min="6" max="6" width="12.5546875" customWidth="1"/>
    <col min="7" max="7" width="14.109375" customWidth="1"/>
    <col min="8" max="8" width="17.44140625" customWidth="1"/>
    <col min="9" max="9" width="16.33203125" customWidth="1"/>
    <col min="10" max="10" width="13.109375" customWidth="1"/>
    <col min="11" max="11" width="14.21875" customWidth="1"/>
    <col min="12" max="14" width="17.21875" customWidth="1"/>
    <col min="16" max="16" width="15" customWidth="1"/>
    <col min="17" max="17" width="15.33203125" customWidth="1"/>
    <col min="18" max="18" width="16.21875" customWidth="1"/>
    <col min="19" max="19" width="17.21875" customWidth="1"/>
  </cols>
  <sheetData>
    <row r="1" spans="1:7" ht="18" x14ac:dyDescent="0.35">
      <c r="A1" s="71" t="s">
        <v>154</v>
      </c>
    </row>
    <row r="3" spans="1:7" ht="15.6" x14ac:dyDescent="0.3">
      <c r="A3" s="63" t="s">
        <v>100</v>
      </c>
      <c r="B3" s="63"/>
      <c r="C3" s="63"/>
      <c r="D3" s="63"/>
      <c r="E3" s="63"/>
      <c r="F3" s="63"/>
      <c r="G3" s="63"/>
    </row>
    <row r="5" spans="1:7" x14ac:dyDescent="0.3">
      <c r="A5" s="2"/>
      <c r="B5" s="3" t="s">
        <v>84</v>
      </c>
      <c r="C5" s="3" t="s">
        <v>85</v>
      </c>
      <c r="D5" s="3" t="s">
        <v>86</v>
      </c>
      <c r="F5" s="2" t="s">
        <v>87</v>
      </c>
      <c r="G5" s="23">
        <v>750000</v>
      </c>
    </row>
    <row r="6" spans="1:7" x14ac:dyDescent="0.3">
      <c r="A6" s="2" t="s">
        <v>88</v>
      </c>
      <c r="B6" s="23">
        <f>C6*0.95</f>
        <v>475</v>
      </c>
      <c r="C6" s="23">
        <v>500</v>
      </c>
      <c r="D6" s="23">
        <f>C6*1.05</f>
        <v>525</v>
      </c>
      <c r="F6" s="2" t="s">
        <v>35</v>
      </c>
      <c r="G6" s="30">
        <v>0.17</v>
      </c>
    </row>
    <row r="7" spans="1:7" x14ac:dyDescent="0.3">
      <c r="A7" s="2" t="s">
        <v>89</v>
      </c>
      <c r="B7" s="23">
        <f t="shared" ref="B7:B9" si="0">C7*0.95</f>
        <v>2375</v>
      </c>
      <c r="C7" s="23">
        <v>2500</v>
      </c>
      <c r="D7" s="23">
        <f t="shared" ref="D7:D9" si="1">C7*1.05</f>
        <v>2625</v>
      </c>
      <c r="F7" s="2" t="s">
        <v>90</v>
      </c>
      <c r="G7" s="30">
        <v>0.34</v>
      </c>
    </row>
    <row r="8" spans="1:7" x14ac:dyDescent="0.3">
      <c r="A8" s="2" t="s">
        <v>42</v>
      </c>
      <c r="B8" s="23">
        <f t="shared" si="0"/>
        <v>1425</v>
      </c>
      <c r="C8" s="23">
        <v>1500</v>
      </c>
      <c r="D8" s="23">
        <f t="shared" si="1"/>
        <v>1575</v>
      </c>
      <c r="F8" s="2" t="s">
        <v>91</v>
      </c>
      <c r="G8" s="19">
        <v>5</v>
      </c>
    </row>
    <row r="9" spans="1:7" x14ac:dyDescent="0.3">
      <c r="A9" s="2" t="s">
        <v>92</v>
      </c>
      <c r="B9" s="23">
        <f t="shared" si="0"/>
        <v>190000</v>
      </c>
      <c r="C9" s="23">
        <v>200000</v>
      </c>
      <c r="D9" s="23">
        <f t="shared" si="1"/>
        <v>210000</v>
      </c>
    </row>
    <row r="10" spans="1:7" x14ac:dyDescent="0.3">
      <c r="A10" s="18"/>
      <c r="B10" s="16"/>
      <c r="C10" s="16"/>
      <c r="D10" s="16"/>
    </row>
    <row r="11" spans="1:7" x14ac:dyDescent="0.3">
      <c r="A11" s="2"/>
      <c r="B11" s="3" t="s">
        <v>93</v>
      </c>
      <c r="C11" s="3" t="s">
        <v>85</v>
      </c>
      <c r="D11" s="3" t="s">
        <v>94</v>
      </c>
    </row>
    <row r="12" spans="1:7" x14ac:dyDescent="0.3">
      <c r="A12" s="2" t="s">
        <v>88</v>
      </c>
      <c r="B12" s="31">
        <f t="shared" ref="B12:D13" si="2">B6</f>
        <v>475</v>
      </c>
      <c r="C12" s="32">
        <f t="shared" si="2"/>
        <v>500</v>
      </c>
      <c r="D12" s="31">
        <f t="shared" si="2"/>
        <v>525</v>
      </c>
    </row>
    <row r="13" spans="1:7" x14ac:dyDescent="0.3">
      <c r="A13" s="2" t="s">
        <v>89</v>
      </c>
      <c r="B13" s="31">
        <f t="shared" si="2"/>
        <v>2375</v>
      </c>
      <c r="C13" s="32">
        <f t="shared" si="2"/>
        <v>2500</v>
      </c>
      <c r="D13" s="31">
        <f t="shared" si="2"/>
        <v>2625</v>
      </c>
    </row>
    <row r="14" spans="1:7" x14ac:dyDescent="0.3">
      <c r="A14" s="2" t="s">
        <v>95</v>
      </c>
      <c r="B14" s="31">
        <f>D8</f>
        <v>1575</v>
      </c>
      <c r="C14" s="32">
        <f>C8</f>
        <v>1500</v>
      </c>
      <c r="D14" s="31">
        <f>B8</f>
        <v>1425</v>
      </c>
    </row>
    <row r="15" spans="1:7" ht="15" thickBot="1" x14ac:dyDescent="0.35">
      <c r="A15" s="33" t="s">
        <v>96</v>
      </c>
      <c r="B15" s="34">
        <f>D9</f>
        <v>210000</v>
      </c>
      <c r="C15" s="34">
        <f>C9</f>
        <v>200000</v>
      </c>
      <c r="D15" s="34">
        <f>B9</f>
        <v>190000</v>
      </c>
    </row>
    <row r="16" spans="1:7" x14ac:dyDescent="0.3">
      <c r="A16" s="35" t="s">
        <v>38</v>
      </c>
      <c r="B16" s="36">
        <f>B12*B13</f>
        <v>1128125</v>
      </c>
      <c r="C16" s="36">
        <f>C6*C7</f>
        <v>1250000</v>
      </c>
      <c r="D16" s="36">
        <f>D6*D7</f>
        <v>1378125</v>
      </c>
    </row>
    <row r="17" spans="1:19" x14ac:dyDescent="0.3">
      <c r="A17" s="2" t="s">
        <v>39</v>
      </c>
      <c r="B17" s="23">
        <f>B12*B14</f>
        <v>748125</v>
      </c>
      <c r="C17" s="23">
        <f t="shared" ref="C17:D17" si="3">C12*C14</f>
        <v>750000</v>
      </c>
      <c r="D17" s="23">
        <f t="shared" si="3"/>
        <v>748125</v>
      </c>
    </row>
    <row r="18" spans="1:19" x14ac:dyDescent="0.3">
      <c r="A18" s="2" t="s">
        <v>31</v>
      </c>
      <c r="B18" s="23">
        <f>B15</f>
        <v>210000</v>
      </c>
      <c r="C18" s="23">
        <f t="shared" ref="C18:D18" si="4">C15</f>
        <v>200000</v>
      </c>
      <c r="D18" s="23">
        <f t="shared" si="4"/>
        <v>190000</v>
      </c>
    </row>
    <row r="19" spans="1:19" x14ac:dyDescent="0.3">
      <c r="A19" s="2" t="s">
        <v>40</v>
      </c>
      <c r="B19" s="23">
        <f>$G$5/$G$8</f>
        <v>150000</v>
      </c>
      <c r="C19" s="23">
        <f t="shared" ref="C19:D19" si="5">$G$5/$G$8</f>
        <v>150000</v>
      </c>
      <c r="D19" s="23">
        <f t="shared" si="5"/>
        <v>150000</v>
      </c>
    </row>
    <row r="20" spans="1:19" x14ac:dyDescent="0.3">
      <c r="A20" s="2" t="s">
        <v>36</v>
      </c>
      <c r="B20" s="32">
        <f>B16-B17-B18-B19</f>
        <v>20000</v>
      </c>
      <c r="C20" s="32">
        <f t="shared" ref="C20:D20" si="6">C16-C17-C18-C19</f>
        <v>150000</v>
      </c>
      <c r="D20" s="32">
        <f t="shared" si="6"/>
        <v>290000</v>
      </c>
    </row>
    <row r="21" spans="1:19" x14ac:dyDescent="0.3">
      <c r="A21" s="2" t="s">
        <v>97</v>
      </c>
      <c r="B21" s="23">
        <f>B20*$G$7</f>
        <v>6800.0000000000009</v>
      </c>
      <c r="C21" s="23">
        <f t="shared" ref="C21:D21" si="7">C20*$G$7</f>
        <v>51000.000000000007</v>
      </c>
      <c r="D21" s="23">
        <f t="shared" si="7"/>
        <v>98600</v>
      </c>
      <c r="F21" s="17"/>
    </row>
    <row r="22" spans="1:19" x14ac:dyDescent="0.3">
      <c r="A22" s="2" t="s">
        <v>98</v>
      </c>
      <c r="B22" s="32">
        <f>B20-B21</f>
        <v>13200</v>
      </c>
      <c r="C22" s="32">
        <f>C20-C21</f>
        <v>99000</v>
      </c>
      <c r="D22" s="32">
        <f>D20-D21</f>
        <v>191400</v>
      </c>
    </row>
    <row r="23" spans="1:19" x14ac:dyDescent="0.3">
      <c r="A23" s="18"/>
    </row>
    <row r="24" spans="1:19" x14ac:dyDescent="0.3">
      <c r="A24" s="18"/>
      <c r="B24" s="17"/>
    </row>
    <row r="25" spans="1:19" x14ac:dyDescent="0.3">
      <c r="A25" s="2" t="s">
        <v>98</v>
      </c>
      <c r="B25" s="20">
        <f>B22</f>
        <v>13200</v>
      </c>
      <c r="C25" s="20">
        <f t="shared" ref="C25:D25" si="8">C22</f>
        <v>99000</v>
      </c>
      <c r="D25" s="20">
        <f t="shared" si="8"/>
        <v>191400</v>
      </c>
      <c r="F25" s="18" t="s">
        <v>45</v>
      </c>
      <c r="G25" s="27">
        <f>1/G6-1/(G6*(1+G6)^G8)</f>
        <v>3.1993461627292135</v>
      </c>
    </row>
    <row r="26" spans="1:19" x14ac:dyDescent="0.3">
      <c r="A26" s="2" t="s">
        <v>99</v>
      </c>
      <c r="B26" s="20">
        <f>B22+B19</f>
        <v>163200</v>
      </c>
      <c r="C26" s="20">
        <f t="shared" ref="C26:D26" si="9">C22+C19</f>
        <v>249000</v>
      </c>
      <c r="D26" s="20">
        <f t="shared" si="9"/>
        <v>341400</v>
      </c>
      <c r="F26" s="18"/>
      <c r="G26" s="37"/>
      <c r="H26" s="37"/>
      <c r="I26" s="37"/>
      <c r="J26" s="37"/>
      <c r="K26" s="37"/>
      <c r="L26" s="37"/>
      <c r="M26" s="37"/>
    </row>
    <row r="27" spans="1:19" ht="15.6" x14ac:dyDescent="0.3">
      <c r="A27" s="41" t="s">
        <v>0</v>
      </c>
      <c r="B27" s="42">
        <f>-$G$5+B26*$G$25</f>
        <v>-227866.70624259237</v>
      </c>
      <c r="C27" s="42">
        <f t="shared" ref="C27:D27" si="10">-$G$5+C26*$G$25</f>
        <v>46637.194519574172</v>
      </c>
      <c r="D27" s="42">
        <f t="shared" si="10"/>
        <v>342256.77995575359</v>
      </c>
      <c r="F27" s="18"/>
      <c r="G27" s="17"/>
      <c r="H27" s="17"/>
      <c r="I27" s="17"/>
      <c r="J27" s="17"/>
      <c r="K27" s="17"/>
      <c r="L27" s="17"/>
      <c r="M27" s="17"/>
    </row>
    <row r="28" spans="1:19" ht="15.6" x14ac:dyDescent="0.3">
      <c r="A28" s="15"/>
      <c r="B28" s="40"/>
      <c r="C28" s="40"/>
      <c r="D28" s="40"/>
      <c r="F28" s="18"/>
      <c r="G28" s="17"/>
      <c r="H28" s="17"/>
      <c r="I28" s="17"/>
      <c r="J28" s="17"/>
      <c r="K28" s="17"/>
      <c r="L28" s="17"/>
      <c r="M28" s="17"/>
    </row>
    <row r="29" spans="1:19" ht="15.6" x14ac:dyDescent="0.3">
      <c r="A29" s="15"/>
      <c r="B29" s="40"/>
      <c r="C29" s="40"/>
      <c r="D29" s="40"/>
      <c r="E29" s="55"/>
      <c r="F29" s="18"/>
      <c r="G29" s="17"/>
      <c r="H29" s="17"/>
      <c r="I29" s="17"/>
      <c r="J29" s="17"/>
      <c r="K29" s="17"/>
      <c r="L29" s="17"/>
      <c r="M29" s="17"/>
    </row>
    <row r="30" spans="1:19" ht="15.6" x14ac:dyDescent="0.3">
      <c r="A30" s="56" t="s">
        <v>125</v>
      </c>
      <c r="B30" s="56"/>
      <c r="C30" s="56"/>
      <c r="D30" s="56"/>
      <c r="E30" s="56"/>
      <c r="F30" s="56" t="s">
        <v>126</v>
      </c>
      <c r="G30" s="56"/>
      <c r="H30" s="56"/>
      <c r="I30" s="56"/>
      <c r="J30" s="56"/>
      <c r="K30" s="56" t="s">
        <v>127</v>
      </c>
      <c r="L30" s="56"/>
      <c r="M30" s="56"/>
      <c r="N30" s="56"/>
      <c r="O30" s="56"/>
      <c r="P30" s="56" t="s">
        <v>128</v>
      </c>
      <c r="Q30" s="56"/>
      <c r="R30" s="56"/>
      <c r="S30" s="56"/>
    </row>
    <row r="31" spans="1:19" x14ac:dyDescent="0.3">
      <c r="A31" s="18"/>
    </row>
    <row r="32" spans="1:19" x14ac:dyDescent="0.3">
      <c r="A32" s="2"/>
      <c r="B32" s="3" t="s">
        <v>93</v>
      </c>
      <c r="C32" s="3" t="s">
        <v>85</v>
      </c>
      <c r="D32" s="3" t="s">
        <v>94</v>
      </c>
      <c r="F32" s="2"/>
      <c r="G32" s="3" t="s">
        <v>93</v>
      </c>
      <c r="H32" s="3" t="s">
        <v>85</v>
      </c>
      <c r="I32" s="3" t="s">
        <v>94</v>
      </c>
      <c r="K32" s="2"/>
      <c r="L32" s="3" t="s">
        <v>93</v>
      </c>
      <c r="M32" s="3" t="s">
        <v>85</v>
      </c>
      <c r="N32" s="3" t="s">
        <v>94</v>
      </c>
      <c r="P32" s="2"/>
      <c r="Q32" s="3" t="s">
        <v>93</v>
      </c>
      <c r="R32" s="3" t="s">
        <v>85</v>
      </c>
      <c r="S32" s="3" t="s">
        <v>94</v>
      </c>
    </row>
    <row r="33" spans="1:19" x14ac:dyDescent="0.3">
      <c r="A33" s="2" t="s">
        <v>88</v>
      </c>
      <c r="B33" s="23">
        <v>475</v>
      </c>
      <c r="C33" s="23">
        <v>500</v>
      </c>
      <c r="D33" s="23">
        <v>525</v>
      </c>
      <c r="F33" s="2" t="s">
        <v>88</v>
      </c>
      <c r="G33" s="23">
        <v>500</v>
      </c>
      <c r="H33" s="23">
        <v>500</v>
      </c>
      <c r="I33" s="23">
        <v>500</v>
      </c>
      <c r="K33" s="2" t="s">
        <v>88</v>
      </c>
      <c r="L33" s="23">
        <v>500</v>
      </c>
      <c r="M33" s="23">
        <v>500</v>
      </c>
      <c r="N33" s="23">
        <v>500</v>
      </c>
      <c r="P33" s="2" t="s">
        <v>88</v>
      </c>
      <c r="Q33" s="23">
        <v>500</v>
      </c>
      <c r="R33" s="23">
        <v>500</v>
      </c>
      <c r="S33" s="23">
        <v>500</v>
      </c>
    </row>
    <row r="34" spans="1:19" x14ac:dyDescent="0.3">
      <c r="A34" s="2" t="s">
        <v>89</v>
      </c>
      <c r="B34" s="23">
        <v>2500</v>
      </c>
      <c r="C34" s="23">
        <f t="shared" ref="C34:C36" si="11">C7</f>
        <v>2500</v>
      </c>
      <c r="D34" s="23">
        <v>2500</v>
      </c>
      <c r="F34" s="2" t="s">
        <v>89</v>
      </c>
      <c r="G34" s="23">
        <v>2375</v>
      </c>
      <c r="H34" s="23">
        <v>2500</v>
      </c>
      <c r="I34" s="23">
        <v>2625</v>
      </c>
      <c r="K34" s="2" t="s">
        <v>89</v>
      </c>
      <c r="L34" s="23">
        <v>2500</v>
      </c>
      <c r="M34" s="23">
        <v>2500</v>
      </c>
      <c r="N34" s="23">
        <v>2500</v>
      </c>
      <c r="P34" s="2" t="s">
        <v>89</v>
      </c>
      <c r="Q34" s="23">
        <v>2500</v>
      </c>
      <c r="R34" s="23">
        <v>2500</v>
      </c>
      <c r="S34" s="23">
        <v>2500</v>
      </c>
    </row>
    <row r="35" spans="1:19" x14ac:dyDescent="0.3">
      <c r="A35" s="2" t="s">
        <v>42</v>
      </c>
      <c r="B35" s="23">
        <v>1500</v>
      </c>
      <c r="C35" s="23">
        <f t="shared" si="11"/>
        <v>1500</v>
      </c>
      <c r="D35" s="23">
        <v>1500</v>
      </c>
      <c r="F35" s="2" t="s">
        <v>42</v>
      </c>
      <c r="G35" s="23">
        <v>1500</v>
      </c>
      <c r="H35" s="23">
        <v>1500</v>
      </c>
      <c r="I35" s="23">
        <v>1500</v>
      </c>
      <c r="K35" s="2" t="s">
        <v>42</v>
      </c>
      <c r="L35" s="23">
        <v>1575</v>
      </c>
      <c r="M35" s="23">
        <v>1500</v>
      </c>
      <c r="N35" s="23">
        <v>1425</v>
      </c>
      <c r="P35" s="2" t="s">
        <v>42</v>
      </c>
      <c r="Q35" s="23">
        <v>1500</v>
      </c>
      <c r="R35" s="23">
        <v>1500</v>
      </c>
      <c r="S35" s="23">
        <v>1500</v>
      </c>
    </row>
    <row r="36" spans="1:19" x14ac:dyDescent="0.3">
      <c r="A36" s="2" t="s">
        <v>92</v>
      </c>
      <c r="B36" s="23">
        <v>200000</v>
      </c>
      <c r="C36" s="23">
        <f t="shared" si="11"/>
        <v>200000</v>
      </c>
      <c r="D36" s="23">
        <v>200000</v>
      </c>
      <c r="F36" s="2" t="s">
        <v>92</v>
      </c>
      <c r="G36" s="23">
        <v>200000</v>
      </c>
      <c r="H36" s="23">
        <v>200000</v>
      </c>
      <c r="I36" s="23">
        <v>200000</v>
      </c>
      <c r="K36" s="2" t="s">
        <v>92</v>
      </c>
      <c r="L36" s="23">
        <v>200000</v>
      </c>
      <c r="M36" s="23">
        <v>200000</v>
      </c>
      <c r="N36" s="23">
        <v>200000</v>
      </c>
      <c r="P36" s="2" t="s">
        <v>92</v>
      </c>
      <c r="Q36" s="23">
        <v>210000</v>
      </c>
      <c r="R36" s="23">
        <v>200000</v>
      </c>
      <c r="S36" s="23">
        <v>190000</v>
      </c>
    </row>
    <row r="37" spans="1:19" x14ac:dyDescent="0.3">
      <c r="A37" s="18"/>
      <c r="B37" s="16"/>
      <c r="C37" s="16"/>
      <c r="D37" s="16"/>
      <c r="F37" s="18"/>
      <c r="G37" s="16"/>
      <c r="H37" s="16"/>
      <c r="I37" s="16"/>
      <c r="K37" s="18"/>
      <c r="L37" s="16"/>
      <c r="M37" s="16"/>
      <c r="N37" s="16"/>
      <c r="P37" s="18"/>
      <c r="Q37" s="16"/>
      <c r="R37" s="16"/>
      <c r="S37" s="16"/>
    </row>
    <row r="38" spans="1:19" x14ac:dyDescent="0.3">
      <c r="A38" s="2" t="s">
        <v>38</v>
      </c>
      <c r="B38" s="23">
        <f>B33*B34</f>
        <v>1187500</v>
      </c>
      <c r="C38" s="23">
        <f t="shared" ref="C38:D38" si="12">C33*C34</f>
        <v>1250000</v>
      </c>
      <c r="D38" s="23">
        <f t="shared" si="12"/>
        <v>1312500</v>
      </c>
      <c r="F38" s="2" t="s">
        <v>38</v>
      </c>
      <c r="G38" s="23">
        <f>G33*G34</f>
        <v>1187500</v>
      </c>
      <c r="H38" s="23">
        <f t="shared" ref="H38:I38" si="13">H33*H34</f>
        <v>1250000</v>
      </c>
      <c r="I38" s="23">
        <f t="shared" si="13"/>
        <v>1312500</v>
      </c>
      <c r="J38" s="37"/>
      <c r="K38" s="2" t="s">
        <v>38</v>
      </c>
      <c r="L38" s="23">
        <f>L33*L34</f>
        <v>1250000</v>
      </c>
      <c r="M38" s="23">
        <f t="shared" ref="M38:N38" si="14">M33*M34</f>
        <v>1250000</v>
      </c>
      <c r="N38" s="23">
        <f t="shared" si="14"/>
        <v>1250000</v>
      </c>
      <c r="P38" s="2" t="s">
        <v>38</v>
      </c>
      <c r="Q38" s="23">
        <f>Q33*Q34</f>
        <v>1250000</v>
      </c>
      <c r="R38" s="23">
        <f t="shared" ref="R38:S38" si="15">R33*R34</f>
        <v>1250000</v>
      </c>
      <c r="S38" s="23">
        <f t="shared" si="15"/>
        <v>1250000</v>
      </c>
    </row>
    <row r="39" spans="1:19" x14ac:dyDescent="0.3">
      <c r="A39" s="2" t="s">
        <v>39</v>
      </c>
      <c r="B39" s="23">
        <f>B33*B35</f>
        <v>712500</v>
      </c>
      <c r="C39" s="23">
        <f t="shared" ref="C39:D39" si="16">C33*C35</f>
        <v>750000</v>
      </c>
      <c r="D39" s="23">
        <f t="shared" si="16"/>
        <v>787500</v>
      </c>
      <c r="F39" s="2" t="s">
        <v>39</v>
      </c>
      <c r="G39" s="23">
        <f>G33*G35</f>
        <v>750000</v>
      </c>
      <c r="H39" s="23">
        <f t="shared" ref="H39:I39" si="17">H33*H35</f>
        <v>750000</v>
      </c>
      <c r="I39" s="23">
        <f t="shared" si="17"/>
        <v>750000</v>
      </c>
      <c r="J39" s="17"/>
      <c r="K39" s="2" t="s">
        <v>39</v>
      </c>
      <c r="L39" s="23">
        <f>L33*L35</f>
        <v>787500</v>
      </c>
      <c r="M39" s="23">
        <f t="shared" ref="M39:N39" si="18">M33*M35</f>
        <v>750000</v>
      </c>
      <c r="N39" s="23">
        <f t="shared" si="18"/>
        <v>712500</v>
      </c>
      <c r="P39" s="2" t="s">
        <v>39</v>
      </c>
      <c r="Q39" s="23">
        <f>Q33*Q35</f>
        <v>750000</v>
      </c>
      <c r="R39" s="23">
        <f t="shared" ref="R39:S39" si="19">R33*R35</f>
        <v>750000</v>
      </c>
      <c r="S39" s="23">
        <f t="shared" si="19"/>
        <v>750000</v>
      </c>
    </row>
    <row r="40" spans="1:19" x14ac:dyDescent="0.3">
      <c r="A40" s="2" t="s">
        <v>31</v>
      </c>
      <c r="B40" s="23">
        <f>B36</f>
        <v>200000</v>
      </c>
      <c r="C40" s="23">
        <f t="shared" ref="C40:D40" si="20">C36</f>
        <v>200000</v>
      </c>
      <c r="D40" s="23">
        <f t="shared" si="20"/>
        <v>200000</v>
      </c>
      <c r="F40" s="2" t="s">
        <v>31</v>
      </c>
      <c r="G40" s="23">
        <f>G36</f>
        <v>200000</v>
      </c>
      <c r="H40" s="23">
        <f t="shared" ref="H40:I40" si="21">H36</f>
        <v>200000</v>
      </c>
      <c r="I40" s="23">
        <f t="shared" si="21"/>
        <v>200000</v>
      </c>
      <c r="J40" s="17"/>
      <c r="K40" s="2" t="s">
        <v>31</v>
      </c>
      <c r="L40" s="23">
        <f>L36</f>
        <v>200000</v>
      </c>
      <c r="M40" s="23">
        <f t="shared" ref="M40:N40" si="22">M36</f>
        <v>200000</v>
      </c>
      <c r="N40" s="23">
        <f t="shared" si="22"/>
        <v>200000</v>
      </c>
      <c r="P40" s="2" t="s">
        <v>31</v>
      </c>
      <c r="Q40" s="23">
        <f>Q36</f>
        <v>210000</v>
      </c>
      <c r="R40" s="23">
        <f t="shared" ref="R40:S40" si="23">R36</f>
        <v>200000</v>
      </c>
      <c r="S40" s="23">
        <f t="shared" si="23"/>
        <v>190000</v>
      </c>
    </row>
    <row r="41" spans="1:19" x14ac:dyDescent="0.3">
      <c r="A41" s="2" t="s">
        <v>40</v>
      </c>
      <c r="B41" s="23">
        <f>$G$5/$G$8</f>
        <v>150000</v>
      </c>
      <c r="C41" s="23">
        <f>$G$5/$G$8</f>
        <v>150000</v>
      </c>
      <c r="D41" s="23">
        <f>$G$5/$G$8</f>
        <v>150000</v>
      </c>
      <c r="F41" s="2" t="s">
        <v>40</v>
      </c>
      <c r="G41" s="23">
        <f>$G$5/$G$8</f>
        <v>150000</v>
      </c>
      <c r="H41" s="23">
        <f>$G$5/$G$8</f>
        <v>150000</v>
      </c>
      <c r="I41" s="23">
        <f>$G$5/$G$8</f>
        <v>150000</v>
      </c>
      <c r="K41" s="2" t="s">
        <v>40</v>
      </c>
      <c r="L41" s="23">
        <f>$G$5/$G$8</f>
        <v>150000</v>
      </c>
      <c r="M41" s="23">
        <f>$G$5/$G$8</f>
        <v>150000</v>
      </c>
      <c r="N41" s="23">
        <f>$G$5/$G$8</f>
        <v>150000</v>
      </c>
      <c r="P41" s="2" t="s">
        <v>40</v>
      </c>
      <c r="Q41" s="23">
        <f>$G$5/$G$8</f>
        <v>150000</v>
      </c>
      <c r="R41" s="23">
        <f>$G$5/$G$8</f>
        <v>150000</v>
      </c>
      <c r="S41" s="23">
        <f>$G$5/$G$8</f>
        <v>150000</v>
      </c>
    </row>
    <row r="42" spans="1:19" x14ac:dyDescent="0.3">
      <c r="A42" s="2" t="s">
        <v>36</v>
      </c>
      <c r="B42" s="32">
        <f>B38-B39-B40-B41</f>
        <v>125000</v>
      </c>
      <c r="C42" s="32">
        <f t="shared" ref="C42:D42" si="24">C38-C39-C40-C41</f>
        <v>150000</v>
      </c>
      <c r="D42" s="32">
        <f t="shared" si="24"/>
        <v>175000</v>
      </c>
      <c r="F42" s="2" t="s">
        <v>36</v>
      </c>
      <c r="G42" s="32">
        <f>G38-G39-G40-G41</f>
        <v>87500</v>
      </c>
      <c r="H42" s="32">
        <f t="shared" ref="H42:I42" si="25">H38-H39-H40-H41</f>
        <v>150000</v>
      </c>
      <c r="I42" s="32">
        <f t="shared" si="25"/>
        <v>212500</v>
      </c>
      <c r="J42" s="37"/>
      <c r="K42" s="2" t="s">
        <v>36</v>
      </c>
      <c r="L42" s="32">
        <f>L38-L39-L40-L41</f>
        <v>112500</v>
      </c>
      <c r="M42" s="32">
        <f t="shared" ref="M42:N42" si="26">M38-M39-M40-M41</f>
        <v>150000</v>
      </c>
      <c r="N42" s="32">
        <f t="shared" si="26"/>
        <v>187500</v>
      </c>
      <c r="P42" s="2" t="s">
        <v>36</v>
      </c>
      <c r="Q42" s="32">
        <f>Q38-Q39-Q40-Q41</f>
        <v>140000</v>
      </c>
      <c r="R42" s="32">
        <f t="shared" ref="R42:S42" si="27">R38-R39-R40-R41</f>
        <v>150000</v>
      </c>
      <c r="S42" s="32">
        <f t="shared" si="27"/>
        <v>160000</v>
      </c>
    </row>
    <row r="43" spans="1:19" x14ac:dyDescent="0.3">
      <c r="A43" s="2" t="s">
        <v>97</v>
      </c>
      <c r="B43" s="23">
        <f>B42*$G$7</f>
        <v>42500</v>
      </c>
      <c r="C43" s="23">
        <f>C42*$G$7</f>
        <v>51000.000000000007</v>
      </c>
      <c r="D43" s="23">
        <f>D42*$G$7</f>
        <v>59500.000000000007</v>
      </c>
      <c r="F43" s="2" t="s">
        <v>97</v>
      </c>
      <c r="G43" s="23">
        <f>G42*$G$7</f>
        <v>29750.000000000004</v>
      </c>
      <c r="H43" s="23">
        <f>H42*$G$7</f>
        <v>51000.000000000007</v>
      </c>
      <c r="I43" s="23">
        <f>I42*$G$7</f>
        <v>72250</v>
      </c>
      <c r="J43" s="17"/>
      <c r="K43" s="2" t="s">
        <v>97</v>
      </c>
      <c r="L43" s="23">
        <f>L42*$G$7</f>
        <v>38250</v>
      </c>
      <c r="M43" s="23">
        <f>M42*$G$7</f>
        <v>51000.000000000007</v>
      </c>
      <c r="N43" s="23">
        <f>N42*$G$7</f>
        <v>63750.000000000007</v>
      </c>
      <c r="P43" s="2" t="s">
        <v>97</v>
      </c>
      <c r="Q43" s="23">
        <f>Q42*$G$7</f>
        <v>47600</v>
      </c>
      <c r="R43" s="23">
        <f>R42*$G$7</f>
        <v>51000.000000000007</v>
      </c>
      <c r="S43" s="23">
        <f>S42*$G$7</f>
        <v>54400.000000000007</v>
      </c>
    </row>
    <row r="44" spans="1:19" x14ac:dyDescent="0.3">
      <c r="A44" s="2" t="s">
        <v>98</v>
      </c>
      <c r="B44" s="32">
        <f>B42-B43</f>
        <v>82500</v>
      </c>
      <c r="C44" s="32">
        <f>C42-C43</f>
        <v>99000</v>
      </c>
      <c r="D44" s="32">
        <f>D42-D43</f>
        <v>115500</v>
      </c>
      <c r="F44" s="2" t="s">
        <v>98</v>
      </c>
      <c r="G44" s="32">
        <f>G42-G43</f>
        <v>57750</v>
      </c>
      <c r="H44" s="32">
        <f>H42-H43</f>
        <v>99000</v>
      </c>
      <c r="I44" s="32">
        <f>I42-I43</f>
        <v>140250</v>
      </c>
      <c r="J44" s="17"/>
      <c r="K44" s="2" t="s">
        <v>98</v>
      </c>
      <c r="L44" s="32">
        <f>L42-L43</f>
        <v>74250</v>
      </c>
      <c r="M44" s="32">
        <f>M42-M43</f>
        <v>99000</v>
      </c>
      <c r="N44" s="32">
        <f>N42-N43</f>
        <v>123750</v>
      </c>
      <c r="P44" s="2" t="s">
        <v>98</v>
      </c>
      <c r="Q44" s="32">
        <f>Q42-Q43</f>
        <v>92400</v>
      </c>
      <c r="R44" s="32">
        <f>R42-R43</f>
        <v>99000</v>
      </c>
      <c r="S44" s="32">
        <f>S42-S43</f>
        <v>105600</v>
      </c>
    </row>
    <row r="45" spans="1:19" x14ac:dyDescent="0.3">
      <c r="A45" s="18"/>
      <c r="F45" s="18"/>
      <c r="K45" s="18"/>
      <c r="P45" s="18"/>
    </row>
    <row r="46" spans="1:19" x14ac:dyDescent="0.3">
      <c r="A46" s="18"/>
      <c r="F46" s="18"/>
      <c r="J46" s="37"/>
      <c r="K46" s="18"/>
      <c r="P46" s="18"/>
    </row>
    <row r="47" spans="1:19" x14ac:dyDescent="0.3">
      <c r="A47" s="2" t="s">
        <v>98</v>
      </c>
      <c r="B47" s="20">
        <f>B44</f>
        <v>82500</v>
      </c>
      <c r="C47" s="20">
        <f t="shared" ref="C47:D47" si="28">C44</f>
        <v>99000</v>
      </c>
      <c r="D47" s="20">
        <f t="shared" si="28"/>
        <v>115500</v>
      </c>
      <c r="F47" s="2" t="s">
        <v>98</v>
      </c>
      <c r="G47" s="20">
        <f>G44</f>
        <v>57750</v>
      </c>
      <c r="H47" s="20">
        <f t="shared" ref="H47:I47" si="29">H44</f>
        <v>99000</v>
      </c>
      <c r="I47" s="20">
        <f t="shared" si="29"/>
        <v>140250</v>
      </c>
      <c r="J47" s="17"/>
      <c r="K47" s="2" t="s">
        <v>98</v>
      </c>
      <c r="L47" s="20">
        <f>L44</f>
        <v>74250</v>
      </c>
      <c r="M47" s="20">
        <f t="shared" ref="M47:N47" si="30">M44</f>
        <v>99000</v>
      </c>
      <c r="N47" s="20">
        <f t="shared" si="30"/>
        <v>123750</v>
      </c>
      <c r="P47" s="2" t="s">
        <v>98</v>
      </c>
      <c r="Q47" s="20">
        <f>Q44</f>
        <v>92400</v>
      </c>
      <c r="R47" s="20">
        <f t="shared" ref="R47:S47" si="31">R44</f>
        <v>99000</v>
      </c>
      <c r="S47" s="20">
        <f t="shared" si="31"/>
        <v>105600</v>
      </c>
    </row>
    <row r="48" spans="1:19" x14ac:dyDescent="0.3">
      <c r="A48" s="2" t="s">
        <v>99</v>
      </c>
      <c r="B48" s="20">
        <f>B42+B41-B43</f>
        <v>232500</v>
      </c>
      <c r="C48" s="20">
        <f t="shared" ref="C48:D48" si="32">C42+C41-C43</f>
        <v>249000</v>
      </c>
      <c r="D48" s="20">
        <f t="shared" si="32"/>
        <v>265500</v>
      </c>
      <c r="F48" s="2" t="s">
        <v>99</v>
      </c>
      <c r="G48" s="20">
        <f>G42+G41-G43</f>
        <v>207750</v>
      </c>
      <c r="H48" s="20">
        <f t="shared" ref="H48:I48" si="33">H42+H41-H43</f>
        <v>249000</v>
      </c>
      <c r="I48" s="20">
        <f t="shared" si="33"/>
        <v>290250</v>
      </c>
      <c r="J48" s="17"/>
      <c r="K48" s="2" t="s">
        <v>99</v>
      </c>
      <c r="L48" s="20">
        <f>L42+L41-L43</f>
        <v>224250</v>
      </c>
      <c r="M48" s="20">
        <f t="shared" ref="M48:N48" si="34">M42+M41-M43</f>
        <v>249000</v>
      </c>
      <c r="N48" s="20">
        <f t="shared" si="34"/>
        <v>273750</v>
      </c>
      <c r="P48" s="2" t="s">
        <v>99</v>
      </c>
      <c r="Q48" s="20">
        <f>Q42+Q41-Q43</f>
        <v>242400</v>
      </c>
      <c r="R48" s="20">
        <f t="shared" ref="R48:S48" si="35">R42+R41-R43</f>
        <v>249000</v>
      </c>
      <c r="S48" s="20">
        <f t="shared" si="35"/>
        <v>255600</v>
      </c>
    </row>
    <row r="49" spans="1:19" ht="15.6" x14ac:dyDescent="0.3">
      <c r="A49" s="41" t="s">
        <v>0</v>
      </c>
      <c r="B49" s="42">
        <f>-$G$5+B48*$G$25</f>
        <v>-6152.0171654578298</v>
      </c>
      <c r="C49" s="42">
        <f t="shared" ref="C49:D49" si="36">-$G$5+C48*$G$25</f>
        <v>46637.194519574172</v>
      </c>
      <c r="D49" s="42">
        <f t="shared" si="36"/>
        <v>99426.406204606174</v>
      </c>
      <c r="F49" s="41" t="s">
        <v>0</v>
      </c>
      <c r="G49" s="42">
        <f>-$G$5+G48*$G$25</f>
        <v>-85335.834693005891</v>
      </c>
      <c r="H49" s="42">
        <f t="shared" ref="H49:I49" si="37">-$G$5+H48*$G$25</f>
        <v>46637.194519574172</v>
      </c>
      <c r="I49" s="42">
        <f t="shared" si="37"/>
        <v>178610.22373215423</v>
      </c>
      <c r="K49" s="41" t="s">
        <v>0</v>
      </c>
      <c r="L49" s="42">
        <f>-$G$5+L48*$G$25</f>
        <v>-32546.623007973889</v>
      </c>
      <c r="M49" s="42">
        <f t="shared" ref="M49:N49" si="38">-$G$5+M48*$G$25</f>
        <v>46637.194519574172</v>
      </c>
      <c r="N49" s="42">
        <f t="shared" si="38"/>
        <v>125821.01204712223</v>
      </c>
      <c r="P49" s="41" t="s">
        <v>0</v>
      </c>
      <c r="Q49" s="42">
        <f>-$G$5+Q48*$G$25</f>
        <v>25521.509845561348</v>
      </c>
      <c r="R49" s="42">
        <f t="shared" ref="R49:S49" si="39">-$G$5+R48*$G$25</f>
        <v>46637.194519574172</v>
      </c>
      <c r="S49" s="42">
        <f t="shared" si="39"/>
        <v>67752.879193586996</v>
      </c>
    </row>
    <row r="50" spans="1:19" s="58" customFormat="1" ht="46.8" x14ac:dyDescent="0.3">
      <c r="A50" s="57" t="s">
        <v>129</v>
      </c>
      <c r="B50" s="60">
        <f>(B49-C49)/C49</f>
        <v>-1.1319122479135351</v>
      </c>
      <c r="C50" s="60"/>
      <c r="D50" s="60">
        <f>(D49-C49)/C49</f>
        <v>1.1319122479135351</v>
      </c>
      <c r="F50" s="59"/>
      <c r="G50" s="60">
        <f>G49/H49-1</f>
        <v>-2.8297806197838389</v>
      </c>
      <c r="H50" s="60"/>
      <c r="I50" s="60">
        <f>I49/H49-1</f>
        <v>2.8297806197838389</v>
      </c>
      <c r="J50" s="60"/>
      <c r="K50" s="62"/>
      <c r="L50" s="62">
        <f>L49/M49-1</f>
        <v>-1.697868371870304</v>
      </c>
      <c r="M50" s="62"/>
      <c r="N50" s="62">
        <f>N49/M49-1</f>
        <v>1.697868371870304</v>
      </c>
      <c r="O50" s="62"/>
      <c r="P50" s="62"/>
      <c r="Q50" s="62">
        <f>Q49/R49-1</f>
        <v>-0.45276489916541451</v>
      </c>
      <c r="R50" s="62"/>
      <c r="S50" s="62">
        <f>S49/R49-1</f>
        <v>0.45276489916541451</v>
      </c>
    </row>
    <row r="51" spans="1:19" s="58" customFormat="1" ht="15.6" x14ac:dyDescent="0.3">
      <c r="A51" s="57"/>
      <c r="B51" s="60"/>
      <c r="C51" s="60"/>
      <c r="D51" s="60"/>
      <c r="F51" s="59"/>
      <c r="G51" s="60"/>
      <c r="H51" s="60"/>
      <c r="I51" s="60"/>
      <c r="J51" s="60"/>
      <c r="K51" s="62"/>
      <c r="L51" s="62"/>
      <c r="M51" s="62"/>
      <c r="N51" s="62"/>
      <c r="O51" s="62"/>
      <c r="P51" s="62"/>
      <c r="Q51" s="62"/>
      <c r="R51" s="62"/>
      <c r="S51" s="62"/>
    </row>
    <row r="52" spans="1:19" ht="15.6" x14ac:dyDescent="0.3">
      <c r="A52" s="65" t="s">
        <v>130</v>
      </c>
      <c r="B52" s="65"/>
      <c r="C52" s="65"/>
      <c r="D52" s="61"/>
      <c r="F52" s="18"/>
      <c r="G52" s="17"/>
      <c r="H52" s="17"/>
      <c r="I52" s="17"/>
      <c r="J52" s="17"/>
      <c r="K52" s="17"/>
      <c r="L52" s="17"/>
      <c r="M52" s="17"/>
    </row>
    <row r="53" spans="1:19" x14ac:dyDescent="0.3">
      <c r="A53" s="18"/>
      <c r="G53" s="17"/>
    </row>
    <row r="54" spans="1:19" ht="15.6" x14ac:dyDescent="0.3">
      <c r="A54" s="63" t="s">
        <v>101</v>
      </c>
      <c r="B54" s="63"/>
      <c r="C54" s="63"/>
      <c r="D54" s="63"/>
      <c r="E54" s="63"/>
      <c r="F54" s="63"/>
      <c r="G54" s="63"/>
      <c r="H54" s="37"/>
      <c r="I54" s="37"/>
      <c r="J54" s="37"/>
      <c r="K54" s="37"/>
      <c r="L54" s="37"/>
      <c r="M54" s="18"/>
    </row>
    <row r="55" spans="1:19" x14ac:dyDescent="0.3">
      <c r="F55" s="18"/>
      <c r="G55" s="17"/>
      <c r="H55" s="17"/>
      <c r="I55" s="17"/>
      <c r="J55" s="17"/>
      <c r="K55" s="17"/>
      <c r="L55" s="17"/>
    </row>
    <row r="56" spans="1:19" x14ac:dyDescent="0.3">
      <c r="A56" s="18" t="s">
        <v>102</v>
      </c>
      <c r="B56" s="18">
        <f>C9/(C7-C8)</f>
        <v>200</v>
      </c>
      <c r="C56" s="18" t="s">
        <v>48</v>
      </c>
      <c r="F56" s="18"/>
      <c r="G56" s="17"/>
      <c r="H56" s="17"/>
      <c r="I56" s="17"/>
      <c r="J56" s="17"/>
      <c r="K56" s="17"/>
      <c r="L56" s="17"/>
      <c r="M56" s="17"/>
    </row>
    <row r="57" spans="1:19" x14ac:dyDescent="0.3">
      <c r="A57" s="18"/>
      <c r="B57" s="18"/>
      <c r="C57" s="18"/>
      <c r="G57" s="17"/>
    </row>
    <row r="58" spans="1:19" x14ac:dyDescent="0.3">
      <c r="A58" s="18" t="s">
        <v>81</v>
      </c>
      <c r="B58" s="18">
        <f>(C9+C19)/(C7-C8)</f>
        <v>350</v>
      </c>
      <c r="C58" s="18" t="s">
        <v>48</v>
      </c>
      <c r="F58" s="18"/>
      <c r="G58" s="37"/>
      <c r="H58" s="37"/>
      <c r="I58" s="37"/>
      <c r="J58" s="37"/>
      <c r="K58" s="37"/>
      <c r="L58" s="37"/>
      <c r="M58" s="18"/>
    </row>
    <row r="59" spans="1:19" x14ac:dyDescent="0.3">
      <c r="A59" s="18"/>
      <c r="B59" s="18"/>
      <c r="C59" s="18"/>
      <c r="F59" s="18"/>
      <c r="G59" s="17"/>
      <c r="H59" s="17"/>
      <c r="I59" s="17"/>
      <c r="J59" s="17"/>
      <c r="K59" s="17"/>
      <c r="L59" s="17"/>
    </row>
    <row r="60" spans="1:19" x14ac:dyDescent="0.3">
      <c r="A60" s="18" t="s">
        <v>103</v>
      </c>
      <c r="B60" s="18" t="s">
        <v>104</v>
      </c>
      <c r="C60" s="38">
        <f>G5/G25</f>
        <v>234422.89825875231</v>
      </c>
      <c r="F60" s="18"/>
      <c r="G60" s="17"/>
      <c r="H60" s="17"/>
      <c r="I60" s="17"/>
      <c r="J60" s="17"/>
      <c r="K60" s="17"/>
      <c r="L60" s="17"/>
      <c r="M60" s="17"/>
    </row>
    <row r="61" spans="1:19" x14ac:dyDescent="0.3">
      <c r="A61" s="18"/>
      <c r="B61" t="s">
        <v>80</v>
      </c>
      <c r="C61" s="39">
        <f>(C9+C60)/(C7-C8)</f>
        <v>434.4228982587523</v>
      </c>
      <c r="D61" s="18" t="s">
        <v>48</v>
      </c>
    </row>
    <row r="62" spans="1:19" x14ac:dyDescent="0.3">
      <c r="A62" s="18"/>
    </row>
    <row r="63" spans="1:19" x14ac:dyDescent="0.3">
      <c r="A63" s="18"/>
      <c r="B63" s="18"/>
      <c r="C63" s="18"/>
      <c r="D63" s="18"/>
      <c r="E63" s="18"/>
      <c r="F63" s="18"/>
      <c r="G63" s="18"/>
    </row>
    <row r="64" spans="1:19" x14ac:dyDescent="0.3">
      <c r="A64" s="18"/>
    </row>
  </sheetData>
  <mergeCells count="3">
    <mergeCell ref="A3:G3"/>
    <mergeCell ref="A54:G54"/>
    <mergeCell ref="A52:C5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Př.1</vt:lpstr>
      <vt:lpstr>Př.2</vt:lpstr>
      <vt:lpstr>Př.3</vt:lpstr>
      <vt:lpstr>Př. 4</vt:lpstr>
      <vt:lpstr>Př.5</vt:lpstr>
      <vt:lpstr>Př.6</vt:lpstr>
      <vt:lpstr>Př.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Kajurová Veronika</dc:creator>
  <cp:lastModifiedBy>Veronika Kajurová</cp:lastModifiedBy>
  <cp:lastPrinted>2023-11-19T15:25:05Z</cp:lastPrinted>
  <dcterms:created xsi:type="dcterms:W3CDTF">2023-11-11T09:39:56Z</dcterms:created>
  <dcterms:modified xsi:type="dcterms:W3CDTF">2023-12-05T08:16:54Z</dcterms:modified>
</cp:coreProperties>
</file>