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390048_muni_cz/Documents/FIFI/FIFI_kombi/K procvičení/Řešení/"/>
    </mc:Choice>
  </mc:AlternateContent>
  <xr:revisionPtr revIDLastSave="0" documentId="8_{BF5C1337-F3DD-477B-B849-52C724498BB5}" xr6:coauthVersionLast="47" xr6:coauthVersionMax="47" xr10:uidLastSave="{00000000-0000-0000-0000-000000000000}"/>
  <bookViews>
    <workbookView xWindow="-108" yWindow="-108" windowWidth="23256" windowHeight="12456" xr2:uid="{8A35AF9D-D3C2-427C-A633-268E23742B29}"/>
  </bookViews>
  <sheets>
    <sheet name="Př. 1" sheetId="1" r:id="rId1"/>
    <sheet name="Př. 2" sheetId="2" r:id="rId2"/>
    <sheet name="Dodate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2" l="1"/>
  <c r="B12" i="1"/>
  <c r="H7" i="3" l="1"/>
  <c r="I8" i="3"/>
  <c r="I7" i="3" s="1"/>
  <c r="I11" i="3" s="1"/>
  <c r="H11" i="3"/>
  <c r="I16" i="3"/>
  <c r="J16" i="3"/>
  <c r="K16" i="3"/>
  <c r="H18" i="3"/>
  <c r="I18" i="3"/>
  <c r="J18" i="3"/>
  <c r="K18" i="3"/>
  <c r="C8" i="3"/>
  <c r="B7" i="3"/>
  <c r="B9" i="3" s="1"/>
  <c r="C6" i="3"/>
  <c r="C5" i="3"/>
  <c r="D5" i="3" s="1"/>
  <c r="H18" i="2"/>
  <c r="D34" i="2"/>
  <c r="B27" i="2"/>
  <c r="D26" i="2"/>
  <c r="C26" i="2"/>
  <c r="B26" i="2"/>
  <c r="E25" i="2"/>
  <c r="C37" i="2"/>
  <c r="D37" i="2"/>
  <c r="B37" i="2"/>
  <c r="C23" i="2"/>
  <c r="D23" i="2"/>
  <c r="B23" i="2"/>
  <c r="B22" i="2"/>
  <c r="I24" i="2"/>
  <c r="J24" i="2"/>
  <c r="K24" i="2"/>
  <c r="H24" i="2"/>
  <c r="I16" i="2"/>
  <c r="J16" i="2" s="1"/>
  <c r="H7" i="2"/>
  <c r="H11" i="2" s="1"/>
  <c r="I8" i="2"/>
  <c r="I7" i="2" s="1"/>
  <c r="I11" i="2" s="1"/>
  <c r="C8" i="2"/>
  <c r="D8" i="2" s="1"/>
  <c r="D22" i="2" s="1"/>
  <c r="C6" i="2"/>
  <c r="D6" i="2" s="1"/>
  <c r="C5" i="2"/>
  <c r="D5" i="2" s="1"/>
  <c r="B7" i="2"/>
  <c r="B9" i="2" s="1"/>
  <c r="B15" i="1"/>
  <c r="B18" i="1" s="1"/>
  <c r="J8" i="3" l="1"/>
  <c r="B17" i="3"/>
  <c r="B18" i="3" s="1"/>
  <c r="C7" i="3"/>
  <c r="B10" i="3"/>
  <c r="B11" i="3" s="1"/>
  <c r="D6" i="3"/>
  <c r="D7" i="3" s="1"/>
  <c r="D17" i="3" s="1"/>
  <c r="D18" i="3" s="1"/>
  <c r="D8" i="3"/>
  <c r="B25" i="2"/>
  <c r="C22" i="2"/>
  <c r="D25" i="2"/>
  <c r="J25" i="2"/>
  <c r="I18" i="2"/>
  <c r="B34" i="2"/>
  <c r="B36" i="2" s="1"/>
  <c r="C34" i="2"/>
  <c r="C36" i="2" s="1"/>
  <c r="K25" i="2"/>
  <c r="C25" i="2"/>
  <c r="J8" i="2"/>
  <c r="J7" i="2" s="1"/>
  <c r="J11" i="2" s="1"/>
  <c r="C32" i="2"/>
  <c r="I25" i="2"/>
  <c r="B32" i="2"/>
  <c r="K16" i="2"/>
  <c r="D32" i="2" s="1"/>
  <c r="J18" i="2"/>
  <c r="B10" i="2"/>
  <c r="B11" i="2" s="1"/>
  <c r="D7" i="2"/>
  <c r="D9" i="2" s="1"/>
  <c r="C7" i="2"/>
  <c r="C9" i="2" s="1"/>
  <c r="C10" i="2" s="1"/>
  <c r="C11" i="2" s="1"/>
  <c r="J7" i="3" l="1"/>
  <c r="J11" i="3" s="1"/>
  <c r="K8" i="3"/>
  <c r="K7" i="3" s="1"/>
  <c r="K11" i="3" s="1"/>
  <c r="C9" i="3"/>
  <c r="C10" i="3" s="1"/>
  <c r="C11" i="3" s="1"/>
  <c r="C17" i="3"/>
  <c r="C18" i="3" s="1"/>
  <c r="D9" i="3"/>
  <c r="D10" i="3"/>
  <c r="D11" i="3" s="1"/>
  <c r="B35" i="2"/>
  <c r="K8" i="2"/>
  <c r="K7" i="2" s="1"/>
  <c r="K11" i="2" s="1"/>
  <c r="K18" i="2"/>
  <c r="D36" i="2"/>
  <c r="C35" i="2"/>
  <c r="D10" i="2"/>
  <c r="D11" i="2" s="1"/>
  <c r="D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tc={42195197-E2C0-4237-8C89-EC11C1779E59}</author>
    <author>tc={9DC0C384-68AF-4444-9475-17743DA40B64}</author>
    <author>tc={9DDB68B5-89B4-4D26-B08B-E93E72D884E2}</author>
    <author>tc={AD58A11B-863C-4517-9880-F87F83CA0331}</author>
  </authors>
  <commentList>
    <comment ref="E19" authorId="0" shapeId="0" xr:uid="{42195197-E2C0-4237-8C89-EC11C1779E5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Terminální hodnota</t>
      </text>
    </comment>
    <comment ref="A24" authorId="1" shapeId="0" xr:uid="{9DC0C384-68AF-4444-9475-17743DA40B6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 tomto případě je vázáno více prac.kap., proto od cash flow odečítáme. V tabulce vedle je konkrétní výpočet změny WC.</t>
      </text>
    </comment>
    <comment ref="E26" authorId="2" shapeId="0" xr:uid="{9DDB68B5-89B4-4D26-B08B-E93E72D884E2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TH diskontujeme pomocí Gordonova vzorce (uvažujeme neomezenou existenci firmy). </t>
      </text>
    </comment>
    <comment ref="A27" authorId="3" shapeId="0" xr:uid="{AD58A11B-863C-4517-9880-F87F83CA033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Enterprise Value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tc={6F6CF499-4BDA-4ED4-94BE-82F18FDC66A1}</author>
  </authors>
  <commentList>
    <comment ref="A17" authorId="0" shapeId="0" xr:uid="{6F6CF499-4BDA-4ED4-94BE-82F18FDC66A1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EBIT * (1-t)
nebo
EAT + úroky po zdanění 
</t>
      </text>
    </comment>
  </commentList>
</comments>
</file>

<file path=xl/sharedStrings.xml><?xml version="1.0" encoding="utf-8"?>
<sst xmlns="http://schemas.openxmlformats.org/spreadsheetml/2006/main" count="93" uniqueCount="62">
  <si>
    <t>Příklad 1</t>
  </si>
  <si>
    <r>
      <t>FCFF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</si>
  <si>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t>mil. EUR</t>
  </si>
  <si>
    <t>Tržní hodnota dluhu</t>
  </si>
  <si>
    <t>Náklady dluhu před zdaněním</t>
  </si>
  <si>
    <t>Náklad vlastního kapitálu</t>
  </si>
  <si>
    <t>Kapitálová struktura</t>
  </si>
  <si>
    <t>D/E = 0,25</t>
  </si>
  <si>
    <t xml:space="preserve">Sazba korporátní daně </t>
  </si>
  <si>
    <t>Míra růstu g</t>
  </si>
  <si>
    <t>D/E = 0,25, tj. 1/4, tj. 20 % debt, 80 % equity</t>
  </si>
  <si>
    <t>WACC</t>
  </si>
  <si>
    <t>FCFF</t>
  </si>
  <si>
    <t>Firm value = FCFF_1 / (WACC-g) = (FCFF_0 * (1+g)) / (WACC - g)</t>
  </si>
  <si>
    <t xml:space="preserve">Equity value </t>
  </si>
  <si>
    <t>Příklad 2</t>
  </si>
  <si>
    <t>VZZ</t>
  </si>
  <si>
    <t>Rozvaha</t>
  </si>
  <si>
    <t>A</t>
  </si>
  <si>
    <t>EBITDA</t>
  </si>
  <si>
    <t>Fixní aktiva (brutto)</t>
  </si>
  <si>
    <t>Odpisy</t>
  </si>
  <si>
    <t>EBIT</t>
  </si>
  <si>
    <t>Oběžná aktiva</t>
  </si>
  <si>
    <t>Úrokové náklady</t>
  </si>
  <si>
    <t>Zásoby</t>
  </si>
  <si>
    <t>EBT</t>
  </si>
  <si>
    <t>Pohledávky</t>
  </si>
  <si>
    <t>Daň (30 %)</t>
  </si>
  <si>
    <t>Peněžní prostředky</t>
  </si>
  <si>
    <t>EAT</t>
  </si>
  <si>
    <t>Aktiva celkem</t>
  </si>
  <si>
    <t>P</t>
  </si>
  <si>
    <t>Základní kapitál</t>
  </si>
  <si>
    <t>VH min. období</t>
  </si>
  <si>
    <t>Dlouhodobý dluh</t>
  </si>
  <si>
    <t>Závazky z obch. vz</t>
  </si>
  <si>
    <t>Určím FCFF:</t>
  </si>
  <si>
    <t>Pasiva celkem</t>
  </si>
  <si>
    <t>TH</t>
  </si>
  <si>
    <t>Working capital</t>
  </si>
  <si>
    <t>+ Odpisy (nepeněžní výdaje)</t>
  </si>
  <si>
    <t>+ Úrokové náklady * (1-t)</t>
  </si>
  <si>
    <t>- Investice do fix.kap.</t>
  </si>
  <si>
    <t>změna prac.kap.</t>
  </si>
  <si>
    <t>Pracovní kapitál</t>
  </si>
  <si>
    <t>Změna prac.kapitálu</t>
  </si>
  <si>
    <t>Diskontované FCFF</t>
  </si>
  <si>
    <t xml:space="preserve">Hodnota společnosti (EV) </t>
  </si>
  <si>
    <t>Výpočet WACC</t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</si>
  <si>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vk</t>
    </r>
    <r>
      <rPr>
        <sz val="11"/>
        <color theme="1"/>
        <rFont val="Calibri"/>
        <family val="2"/>
        <charset val="238"/>
        <scheme val="minor"/>
      </rPr>
      <t xml:space="preserve"> známe</t>
    </r>
  </si>
  <si>
    <r>
      <t>1. n</t>
    </r>
    <r>
      <rPr>
        <vertAlign val="subscript"/>
        <sz val="11"/>
        <color theme="1"/>
        <rFont val="Calibri"/>
        <family val="2"/>
        <charset val="238"/>
        <scheme val="minor"/>
      </rPr>
      <t>d</t>
    </r>
  </si>
  <si>
    <t>2. určím váhy</t>
  </si>
  <si>
    <t>Dlouhodobé financování celkem</t>
  </si>
  <si>
    <t>a) váha dluhu</t>
  </si>
  <si>
    <t>b) váha VK</t>
  </si>
  <si>
    <t>Dopočítám WACC</t>
  </si>
  <si>
    <t>Dodatek</t>
  </si>
  <si>
    <t>EVA = NOPAT - WACC * C</t>
  </si>
  <si>
    <t>NOPAT</t>
  </si>
  <si>
    <t>EVA</t>
  </si>
  <si>
    <t>Firm value (EV_Enterprise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</si>
</sst>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10" fontId="2" fillId="0" borderId="0" xfId="2" applyNumberFormat="1" applyFont="1"/>
    <xf numFmtId="4" fontId="2" fillId="0" borderId="0" xfId="0" applyNumberFormat="1" applyFont="1"/>
    <xf numFmtId="4" fontId="0" fillId="0" borderId="1" xfId="0" applyNumberFormat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0" fontId="2" fillId="0" borderId="1" xfId="0" applyFont="1" applyBorder="1"/>
    <xf numFmtId="0" fontId="6" fillId="0" borderId="1" xfId="0" applyFont="1" applyBorder="1"/>
    <xf numFmtId="2" fontId="6" fillId="0" borderId="1" xfId="0" applyNumberFormat="1" applyFont="1" applyBorder="1"/>
    <xf numFmtId="2" fontId="2" fillId="0" borderId="1" xfId="0" applyNumberFormat="1" applyFont="1" applyBorder="1"/>
    <xf numFmtId="0" fontId="7" fillId="0" borderId="0" xfId="0" applyFont="1"/>
    <xf numFmtId="49" fontId="0" fillId="0" borderId="1" xfId="0" applyNumberFormat="1" applyBorder="1"/>
    <xf numFmtId="49" fontId="2" fillId="0" borderId="1" xfId="0" applyNumberFormat="1" applyFont="1" applyBorder="1"/>
    <xf numFmtId="10" fontId="0" fillId="0" borderId="0" xfId="2" applyNumberFormat="1" applyFont="1"/>
    <xf numFmtId="0" fontId="2" fillId="0" borderId="0" xfId="0" applyFont="1" applyAlignment="1">
      <alignment horizontal="right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10" fontId="0" fillId="0" borderId="1" xfId="2" applyNumberFormat="1" applyFont="1" applyBorder="1"/>
    <xf numFmtId="10" fontId="2" fillId="0" borderId="1" xfId="2" applyNumberFormat="1" applyFont="1" applyBorder="1"/>
    <xf numFmtId="10" fontId="6" fillId="0" borderId="1" xfId="0" applyNumberFormat="1" applyFont="1" applyBorder="1"/>
    <xf numFmtId="10" fontId="6" fillId="0" borderId="1" xfId="2" applyNumberFormat="1" applyFont="1" applyBorder="1"/>
    <xf numFmtId="49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2" fontId="7" fillId="0" borderId="1" xfId="0" applyNumberFormat="1" applyFont="1" applyBorder="1"/>
    <xf numFmtId="0" fontId="5" fillId="0" borderId="2" xfId="0" applyFont="1" applyBorder="1" applyAlignment="1">
      <alignment horizontal="center"/>
    </xf>
    <xf numFmtId="44" fontId="2" fillId="0" borderId="0" xfId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" fontId="3" fillId="0" borderId="0" xfId="0" applyNumberFormat="1" applyFont="1"/>
    <xf numFmtId="0" fontId="0" fillId="0" borderId="0" xfId="0" applyFont="1"/>
    <xf numFmtId="0" fontId="8" fillId="0" borderId="0" xfId="0" applyFont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ronika Kajurová" id="{5BBB12AA-C362-4B76-A5F5-C06A5F37FAAC}" userId="S::390048@muni.cz::842ffdc9-db1e-49d1-a466-56081a45b697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9" dT="2023-12-09T13:18:15.60" personId="{5BBB12AA-C362-4B76-A5F5-C06A5F37FAAC}" id="{42195197-E2C0-4237-8C89-EC11C1779E59}">
    <text>Terminální hodnota</text>
  </threadedComment>
  <threadedComment ref="A24" dT="2023-12-08T13:06:34.16" personId="{5BBB12AA-C362-4B76-A5F5-C06A5F37FAAC}" id="{9DC0C384-68AF-4444-9475-17743DA40B64}">
    <text>V tomto případě je vázáno více prac.kap., proto od cash flow odečítáme. V tabulce vedle je konkrétní výpočet změny WC.</text>
  </threadedComment>
  <threadedComment ref="E26" dT="2023-12-09T13:30:07.51" personId="{5BBB12AA-C362-4B76-A5F5-C06A5F37FAAC}" id="{9DDB68B5-89B4-4D26-B08B-E93E72D884E2}">
    <text xml:space="preserve">TH diskontujeme pomocí Gordonova vzorce (uvažujeme neomezenou existenci firmy). </text>
  </threadedComment>
  <threadedComment ref="A27" dT="2023-12-09T13:30:18.24" personId="{5BBB12AA-C362-4B76-A5F5-C06A5F37FAAC}" id="{AD58A11B-863C-4517-9880-F87F83CA0331}">
    <text>Enterprise Value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7" dT="2023-12-09T14:19:24.10" personId="{5BBB12AA-C362-4B76-A5F5-C06A5F37FAAC}" id="{6F6CF499-4BDA-4ED4-94BE-82F18FDC66A1}">
    <text xml:space="preserve">EBIT * (1-t)
nebo
EAT + úroky po zdanění 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BE29-C612-47D1-B54D-CAFBB146AC94}">
  <dimension ref="A1:C19"/>
  <sheetViews>
    <sheetView tabSelected="1" workbookViewId="0">
      <selection activeCell="A17" sqref="A17"/>
    </sheetView>
  </sheetViews>
  <sheetFormatPr defaultRowHeight="14.4" x14ac:dyDescent="0.3"/>
  <cols>
    <col min="1" max="1" width="36.88671875" customWidth="1"/>
    <col min="2" max="2" width="13.77734375" customWidth="1"/>
  </cols>
  <sheetData>
    <row r="1" spans="1:3" ht="18" x14ac:dyDescent="0.35">
      <c r="A1" s="5" t="s">
        <v>0</v>
      </c>
    </row>
    <row r="3" spans="1:3" ht="15.6" x14ac:dyDescent="0.35">
      <c r="A3" s="1" t="s">
        <v>1</v>
      </c>
      <c r="B3" s="2">
        <v>700</v>
      </c>
      <c r="C3" t="s">
        <v>2</v>
      </c>
    </row>
    <row r="4" spans="1:3" x14ac:dyDescent="0.3">
      <c r="A4" s="1" t="s">
        <v>3</v>
      </c>
      <c r="B4" s="9">
        <v>2.2000000000000002</v>
      </c>
      <c r="C4" t="s">
        <v>2</v>
      </c>
    </row>
    <row r="5" spans="1:3" x14ac:dyDescent="0.3">
      <c r="A5" s="1" t="s">
        <v>4</v>
      </c>
      <c r="B5" s="3">
        <v>5.7000000000000002E-2</v>
      </c>
    </row>
    <row r="6" spans="1:3" x14ac:dyDescent="0.3">
      <c r="A6" s="1" t="s">
        <v>5</v>
      </c>
      <c r="B6" s="3">
        <v>0.128</v>
      </c>
    </row>
    <row r="7" spans="1:3" x14ac:dyDescent="0.3">
      <c r="A7" s="1" t="s">
        <v>6</v>
      </c>
      <c r="B7" s="2" t="s">
        <v>7</v>
      </c>
    </row>
    <row r="8" spans="1:3" x14ac:dyDescent="0.3">
      <c r="A8" s="1" t="s">
        <v>8</v>
      </c>
      <c r="B8" s="4">
        <v>0.3</v>
      </c>
    </row>
    <row r="9" spans="1:3" x14ac:dyDescent="0.3">
      <c r="A9" s="1" t="s">
        <v>9</v>
      </c>
      <c r="B9" s="4">
        <v>0.02</v>
      </c>
    </row>
    <row r="11" spans="1:3" x14ac:dyDescent="0.3">
      <c r="A11" t="s">
        <v>10</v>
      </c>
    </row>
    <row r="12" spans="1:3" x14ac:dyDescent="0.3">
      <c r="A12" s="6" t="s">
        <v>11</v>
      </c>
      <c r="B12" s="7">
        <f>0.2*B5*(1-B8)+0.8*B6</f>
        <v>0.11038000000000001</v>
      </c>
    </row>
    <row r="13" spans="1:3" x14ac:dyDescent="0.3">
      <c r="A13" s="6"/>
      <c r="B13" s="7"/>
    </row>
    <row r="14" spans="1:3" x14ac:dyDescent="0.3">
      <c r="A14" t="s">
        <v>13</v>
      </c>
    </row>
    <row r="15" spans="1:3" s="42" customFormat="1" ht="18" x14ac:dyDescent="0.35">
      <c r="A15" s="5" t="s">
        <v>61</v>
      </c>
      <c r="B15" s="40">
        <f>(B3*(1+B9))/(B12-B9)</f>
        <v>7899.9778712104444</v>
      </c>
      <c r="C15" s="5" t="s">
        <v>2</v>
      </c>
    </row>
    <row r="18" spans="1:2" s="41" customFormat="1" x14ac:dyDescent="0.3">
      <c r="A18" s="6" t="s">
        <v>14</v>
      </c>
      <c r="B18" s="8">
        <f>B15-B4*1000</f>
        <v>5699.9778712104444</v>
      </c>
    </row>
    <row r="19" spans="1:2" x14ac:dyDescent="0.3">
      <c r="B19" s="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8A3D-D0BC-4C35-8911-97B367C86990}">
  <dimension ref="A1:L37"/>
  <sheetViews>
    <sheetView topLeftCell="A12" zoomScale="130" zoomScaleNormal="130" workbookViewId="0">
      <selection activeCell="G30" sqref="G30:H33"/>
    </sheetView>
  </sheetViews>
  <sheetFormatPr defaultRowHeight="14.4" x14ac:dyDescent="0.3"/>
  <cols>
    <col min="1" max="1" width="28.21875" customWidth="1"/>
    <col min="2" max="4" width="9.5546875" bestFit="1" customWidth="1"/>
    <col min="7" max="7" width="18.77734375" customWidth="1"/>
  </cols>
  <sheetData>
    <row r="1" spans="1:12" ht="18" x14ac:dyDescent="0.35">
      <c r="A1" s="5" t="s">
        <v>15</v>
      </c>
    </row>
    <row r="2" spans="1:12" ht="14.55" customHeight="1" x14ac:dyDescent="0.35">
      <c r="A2" s="5"/>
    </row>
    <row r="3" spans="1:12" x14ac:dyDescent="0.3">
      <c r="A3" s="31" t="s">
        <v>16</v>
      </c>
      <c r="B3" s="31"/>
      <c r="C3" s="31"/>
      <c r="D3" s="31"/>
      <c r="G3" s="32" t="s">
        <v>17</v>
      </c>
      <c r="H3" s="32"/>
      <c r="I3" s="32"/>
      <c r="J3" s="32"/>
      <c r="K3" s="32"/>
    </row>
    <row r="4" spans="1:12" x14ac:dyDescent="0.3">
      <c r="A4" s="13"/>
      <c r="B4" s="13">
        <v>2020</v>
      </c>
      <c r="C4" s="13">
        <v>2021</v>
      </c>
      <c r="D4" s="13">
        <v>2022</v>
      </c>
      <c r="G4" s="13" t="s">
        <v>18</v>
      </c>
      <c r="H4" s="13">
        <v>2019</v>
      </c>
      <c r="I4" s="13">
        <v>2020</v>
      </c>
      <c r="J4" s="13">
        <v>2021</v>
      </c>
      <c r="K4" s="13">
        <v>2022</v>
      </c>
    </row>
    <row r="5" spans="1:12" x14ac:dyDescent="0.3">
      <c r="A5" s="13" t="s">
        <v>19</v>
      </c>
      <c r="B5" s="12">
        <v>200</v>
      </c>
      <c r="C5" s="12">
        <f>B5*1.1</f>
        <v>220.00000000000003</v>
      </c>
      <c r="D5" s="12">
        <f>C5*1.1</f>
        <v>242.00000000000006</v>
      </c>
      <c r="G5" s="14" t="s">
        <v>20</v>
      </c>
      <c r="H5" s="15">
        <v>500</v>
      </c>
      <c r="I5" s="15">
        <v>500</v>
      </c>
      <c r="J5" s="15">
        <v>550</v>
      </c>
      <c r="K5" s="15">
        <v>605</v>
      </c>
    </row>
    <row r="6" spans="1:12" x14ac:dyDescent="0.3">
      <c r="A6" s="13" t="s">
        <v>21</v>
      </c>
      <c r="B6" s="12">
        <v>45</v>
      </c>
      <c r="C6" s="12">
        <f>B6*1.1</f>
        <v>49.500000000000007</v>
      </c>
      <c r="D6" s="12">
        <f>C6*1.1</f>
        <v>54.45000000000001</v>
      </c>
      <c r="G6" s="1" t="s">
        <v>21</v>
      </c>
      <c r="H6" s="12">
        <v>0</v>
      </c>
      <c r="I6" s="12">
        <v>45</v>
      </c>
      <c r="J6" s="12">
        <v>94.5</v>
      </c>
      <c r="K6" s="12">
        <v>148.94999999999999</v>
      </c>
    </row>
    <row r="7" spans="1:12" x14ac:dyDescent="0.3">
      <c r="A7" s="13" t="s">
        <v>22</v>
      </c>
      <c r="B7" s="12">
        <f>B5-B6</f>
        <v>155</v>
      </c>
      <c r="C7" s="12">
        <f t="shared" ref="C7:D7" si="0">C5-C6</f>
        <v>170.50000000000003</v>
      </c>
      <c r="D7" s="12">
        <f t="shared" si="0"/>
        <v>187.55000000000004</v>
      </c>
      <c r="G7" s="14" t="s">
        <v>23</v>
      </c>
      <c r="H7" s="15">
        <f>H8+H9+H10</f>
        <v>60</v>
      </c>
      <c r="I7" s="15">
        <f t="shared" ref="I7:K7" si="1">I8+I9+I10</f>
        <v>274.92</v>
      </c>
      <c r="J7" s="15">
        <f t="shared" si="1"/>
        <v>411.34000000000003</v>
      </c>
      <c r="K7" s="15">
        <f t="shared" si="1"/>
        <v>561.40000000000009</v>
      </c>
    </row>
    <row r="8" spans="1:12" x14ac:dyDescent="0.3">
      <c r="A8" s="13" t="s">
        <v>24</v>
      </c>
      <c r="B8" s="12">
        <v>15.68</v>
      </c>
      <c r="C8" s="12">
        <f>B8*1.1</f>
        <v>17.248000000000001</v>
      </c>
      <c r="D8" s="12">
        <f>C8*1.1</f>
        <v>18.972800000000003</v>
      </c>
      <c r="G8" s="1" t="s">
        <v>25</v>
      </c>
      <c r="H8" s="12">
        <v>60</v>
      </c>
      <c r="I8" s="12">
        <f>H8*1.1</f>
        <v>66</v>
      </c>
      <c r="J8" s="12">
        <f t="shared" ref="J8:K8" si="2">I8*1.1</f>
        <v>72.600000000000009</v>
      </c>
      <c r="K8" s="12">
        <f t="shared" si="2"/>
        <v>79.860000000000014</v>
      </c>
    </row>
    <row r="9" spans="1:12" x14ac:dyDescent="0.3">
      <c r="A9" s="13" t="s">
        <v>26</v>
      </c>
      <c r="B9" s="12">
        <f>B7-B8</f>
        <v>139.32</v>
      </c>
      <c r="C9" s="12">
        <f t="shared" ref="C9:D9" si="3">C7-C8</f>
        <v>153.25200000000004</v>
      </c>
      <c r="D9" s="12">
        <f t="shared" si="3"/>
        <v>168.57720000000003</v>
      </c>
      <c r="G9" s="1" t="s">
        <v>27</v>
      </c>
      <c r="H9" s="12">
        <v>0</v>
      </c>
      <c r="I9" s="12">
        <v>100</v>
      </c>
      <c r="J9" s="12">
        <v>110</v>
      </c>
      <c r="K9" s="12">
        <v>121</v>
      </c>
    </row>
    <row r="10" spans="1:12" x14ac:dyDescent="0.3">
      <c r="A10" s="13" t="s">
        <v>28</v>
      </c>
      <c r="B10" s="12">
        <f>B9*0.3</f>
        <v>41.795999999999999</v>
      </c>
      <c r="C10" s="12">
        <f t="shared" ref="C10:D10" si="4">C9*0.3</f>
        <v>45.975600000000007</v>
      </c>
      <c r="D10" s="12">
        <f t="shared" si="4"/>
        <v>50.573160000000009</v>
      </c>
      <c r="G10" s="1" t="s">
        <v>29</v>
      </c>
      <c r="H10" s="12">
        <v>0</v>
      </c>
      <c r="I10" s="12">
        <v>108.92</v>
      </c>
      <c r="J10" s="12">
        <v>228.74</v>
      </c>
      <c r="K10" s="12">
        <v>360.54</v>
      </c>
    </row>
    <row r="11" spans="1:12" x14ac:dyDescent="0.3">
      <c r="A11" s="13" t="s">
        <v>30</v>
      </c>
      <c r="B11" s="12">
        <f>B9-B10</f>
        <v>97.524000000000001</v>
      </c>
      <c r="C11" s="12">
        <f t="shared" ref="C11:D11" si="5">C9-C10</f>
        <v>107.27640000000002</v>
      </c>
      <c r="D11" s="12">
        <f t="shared" si="5"/>
        <v>118.00404000000003</v>
      </c>
      <c r="G11" s="13" t="s">
        <v>31</v>
      </c>
      <c r="H11" s="16">
        <f>H5-H6+H7</f>
        <v>560</v>
      </c>
      <c r="I11" s="16">
        <f t="shared" ref="I11:K11" si="6">I5-I6+I7</f>
        <v>729.92000000000007</v>
      </c>
      <c r="J11" s="16">
        <f t="shared" si="6"/>
        <v>866.84</v>
      </c>
      <c r="K11" s="16">
        <f t="shared" si="6"/>
        <v>1017.45</v>
      </c>
    </row>
    <row r="12" spans="1:12" x14ac:dyDescent="0.3">
      <c r="G12" s="33"/>
      <c r="H12" s="34"/>
      <c r="I12" s="34"/>
      <c r="J12" s="34"/>
      <c r="K12" s="35"/>
    </row>
    <row r="13" spans="1:12" x14ac:dyDescent="0.3">
      <c r="G13" s="13" t="s">
        <v>32</v>
      </c>
      <c r="H13" s="28">
        <v>2019</v>
      </c>
      <c r="I13" s="28">
        <v>2020</v>
      </c>
      <c r="J13" s="28">
        <v>2021</v>
      </c>
      <c r="K13" s="28">
        <v>2022</v>
      </c>
    </row>
    <row r="14" spans="1:12" x14ac:dyDescent="0.3">
      <c r="C14" s="11"/>
      <c r="D14" s="11"/>
      <c r="E14" s="11"/>
      <c r="G14" s="1" t="s">
        <v>33</v>
      </c>
      <c r="H14" s="12">
        <v>336</v>
      </c>
      <c r="I14" s="12">
        <v>336</v>
      </c>
      <c r="J14" s="12">
        <v>336</v>
      </c>
      <c r="K14" s="12">
        <v>336</v>
      </c>
    </row>
    <row r="15" spans="1:12" x14ac:dyDescent="0.3">
      <c r="G15" s="1" t="s">
        <v>34</v>
      </c>
      <c r="H15" s="11">
        <v>0</v>
      </c>
      <c r="I15" s="12">
        <v>97.52</v>
      </c>
      <c r="J15" s="12">
        <v>204.8</v>
      </c>
      <c r="K15" s="12">
        <v>322.8</v>
      </c>
      <c r="L15" s="11"/>
    </row>
    <row r="16" spans="1:12" x14ac:dyDescent="0.3">
      <c r="G16" s="1" t="s">
        <v>35</v>
      </c>
      <c r="H16" s="12">
        <v>224</v>
      </c>
      <c r="I16" s="12">
        <f>H16*1.1</f>
        <v>246.40000000000003</v>
      </c>
      <c r="J16" s="12">
        <f t="shared" ref="J16:K16" si="7">I16*1.1</f>
        <v>271.04000000000008</v>
      </c>
      <c r="K16" s="12">
        <f t="shared" si="7"/>
        <v>298.14400000000012</v>
      </c>
    </row>
    <row r="17" spans="1:11" x14ac:dyDescent="0.3">
      <c r="G17" s="1" t="s">
        <v>36</v>
      </c>
      <c r="H17" s="12">
        <v>0</v>
      </c>
      <c r="I17" s="12">
        <v>50</v>
      </c>
      <c r="J17" s="12">
        <v>55</v>
      </c>
      <c r="K17" s="12">
        <v>60.5</v>
      </c>
    </row>
    <row r="18" spans="1:11" ht="15.6" x14ac:dyDescent="0.3">
      <c r="A18" s="17" t="s">
        <v>37</v>
      </c>
      <c r="B18" s="29">
        <v>1</v>
      </c>
      <c r="C18" s="29">
        <v>2</v>
      </c>
      <c r="D18" s="29">
        <v>3</v>
      </c>
      <c r="G18" s="13" t="s">
        <v>38</v>
      </c>
      <c r="H18" s="16">
        <f>SUM(H14:H17)</f>
        <v>560</v>
      </c>
      <c r="I18" s="16">
        <f t="shared" ref="I18:K18" si="8">SUM(I14:I17)</f>
        <v>729.92000000000007</v>
      </c>
      <c r="J18" s="16">
        <f t="shared" si="8"/>
        <v>866.84</v>
      </c>
      <c r="K18" s="16">
        <f t="shared" si="8"/>
        <v>1017.4440000000001</v>
      </c>
    </row>
    <row r="19" spans="1:11" x14ac:dyDescent="0.3">
      <c r="A19" s="1"/>
      <c r="B19" s="13">
        <v>2020</v>
      </c>
      <c r="C19" s="13">
        <v>2021</v>
      </c>
      <c r="D19" s="13">
        <v>2022</v>
      </c>
      <c r="E19" s="23" t="s">
        <v>39</v>
      </c>
    </row>
    <row r="20" spans="1:11" x14ac:dyDescent="0.3">
      <c r="A20" s="13" t="s">
        <v>30</v>
      </c>
      <c r="B20" s="1">
        <v>97.524000000000001</v>
      </c>
      <c r="C20" s="1">
        <v>107.27640000000002</v>
      </c>
      <c r="D20" s="1">
        <v>118.00404000000003</v>
      </c>
      <c r="E20" s="1"/>
      <c r="G20" s="13" t="s">
        <v>40</v>
      </c>
      <c r="H20" s="13">
        <v>2019</v>
      </c>
      <c r="I20" s="13">
        <v>2020</v>
      </c>
      <c r="J20" s="13">
        <v>2021</v>
      </c>
      <c r="K20" s="13">
        <v>2022</v>
      </c>
    </row>
    <row r="21" spans="1:11" x14ac:dyDescent="0.3">
      <c r="A21" s="18" t="s">
        <v>41</v>
      </c>
      <c r="B21" s="1">
        <v>45</v>
      </c>
      <c r="C21" s="1">
        <v>49.500000000000007</v>
      </c>
      <c r="D21" s="1">
        <v>54.45000000000001</v>
      </c>
      <c r="E21" s="1"/>
      <c r="F21" s="11"/>
      <c r="G21" s="1" t="s">
        <v>25</v>
      </c>
      <c r="H21" s="12">
        <v>60</v>
      </c>
      <c r="I21" s="12">
        <v>66</v>
      </c>
      <c r="J21" s="12">
        <v>72.600000000000009</v>
      </c>
      <c r="K21" s="12">
        <v>79.860000000000014</v>
      </c>
    </row>
    <row r="22" spans="1:11" x14ac:dyDescent="0.3">
      <c r="A22" s="18" t="s">
        <v>42</v>
      </c>
      <c r="B22" s="1">
        <f>B8*(1-0.3)</f>
        <v>10.975999999999999</v>
      </c>
      <c r="C22" s="1">
        <f t="shared" ref="C22:D22" si="9">C8*(1-0.3)</f>
        <v>12.073600000000001</v>
      </c>
      <c r="D22" s="1">
        <f t="shared" si="9"/>
        <v>13.280960000000002</v>
      </c>
      <c r="E22" s="1"/>
      <c r="F22" s="11"/>
      <c r="G22" s="1" t="s">
        <v>27</v>
      </c>
      <c r="H22" s="12">
        <v>0</v>
      </c>
      <c r="I22" s="12">
        <v>100</v>
      </c>
      <c r="J22" s="12">
        <v>110</v>
      </c>
      <c r="K22" s="12">
        <v>121</v>
      </c>
    </row>
    <row r="23" spans="1:11" x14ac:dyDescent="0.3">
      <c r="A23" s="18" t="s">
        <v>43</v>
      </c>
      <c r="B23" s="12">
        <f>I5-H5</f>
        <v>0</v>
      </c>
      <c r="C23" s="12">
        <f t="shared" ref="C23:D23" si="10">J5-I5</f>
        <v>50</v>
      </c>
      <c r="D23" s="12">
        <f t="shared" si="10"/>
        <v>55</v>
      </c>
      <c r="E23" s="1"/>
      <c r="F23" s="11"/>
      <c r="G23" s="1" t="s">
        <v>36</v>
      </c>
      <c r="H23" s="12">
        <v>0</v>
      </c>
      <c r="I23" s="12">
        <v>50</v>
      </c>
      <c r="J23" s="12">
        <v>55</v>
      </c>
      <c r="K23" s="12">
        <v>60.5</v>
      </c>
    </row>
    <row r="24" spans="1:11" x14ac:dyDescent="0.3">
      <c r="A24" s="18" t="s">
        <v>44</v>
      </c>
      <c r="B24" s="1">
        <v>56</v>
      </c>
      <c r="C24" s="1">
        <v>11.600000000000023</v>
      </c>
      <c r="D24" s="1">
        <v>12.759999999999991</v>
      </c>
      <c r="E24" s="1"/>
      <c r="F24" s="11"/>
      <c r="G24" s="13" t="s">
        <v>45</v>
      </c>
      <c r="H24" s="16">
        <f>H21+H22-H23</f>
        <v>60</v>
      </c>
      <c r="I24" s="16">
        <f t="shared" ref="I24:K24" si="11">I21+I22-I23</f>
        <v>116</v>
      </c>
      <c r="J24" s="16">
        <f t="shared" si="11"/>
        <v>127.60000000000002</v>
      </c>
      <c r="K24" s="16">
        <f t="shared" si="11"/>
        <v>140.36000000000001</v>
      </c>
    </row>
    <row r="25" spans="1:11" x14ac:dyDescent="0.3">
      <c r="A25" s="19" t="s">
        <v>12</v>
      </c>
      <c r="B25" s="16">
        <f>B20+B21+B22-B23-B24</f>
        <v>97.5</v>
      </c>
      <c r="C25" s="16">
        <f t="shared" ref="C25:D25" si="12">C20+C21+C22-C23-C24</f>
        <v>107.25</v>
      </c>
      <c r="D25" s="16">
        <f t="shared" si="12"/>
        <v>117.97500000000005</v>
      </c>
      <c r="E25" s="16">
        <f>D25</f>
        <v>117.97500000000005</v>
      </c>
      <c r="F25" s="11"/>
      <c r="G25" s="14" t="s">
        <v>46</v>
      </c>
      <c r="H25" s="14"/>
      <c r="I25" s="15">
        <f>I24-H24</f>
        <v>56</v>
      </c>
      <c r="J25" s="15">
        <f t="shared" ref="J25:K25" si="13">J24-I24</f>
        <v>11.600000000000023</v>
      </c>
      <c r="K25" s="15">
        <f t="shared" si="13"/>
        <v>12.759999999999991</v>
      </c>
    </row>
    <row r="26" spans="1:11" x14ac:dyDescent="0.3">
      <c r="A26" s="19" t="s">
        <v>47</v>
      </c>
      <c r="B26" s="16">
        <f>B25/(1+B37)^B18</f>
        <v>86.948937261911581</v>
      </c>
      <c r="C26" s="16">
        <f>C25/(1+C37)^C18</f>
        <v>84.773112788466094</v>
      </c>
      <c r="D26" s="16">
        <f>D25/(1+D37)^D18</f>
        <v>82.313945976996109</v>
      </c>
      <c r="E26" s="16">
        <f>(E25*(1+0.025))/(D37-0.025)</f>
        <v>1180.0796487964028</v>
      </c>
    </row>
    <row r="27" spans="1:11" ht="15.6" x14ac:dyDescent="0.3">
      <c r="A27" s="22" t="s">
        <v>48</v>
      </c>
      <c r="B27" s="36">
        <f>SUM(B26:E26)</f>
        <v>1434.1156448237766</v>
      </c>
      <c r="C27" s="37"/>
      <c r="D27" s="37"/>
      <c r="E27" s="38"/>
    </row>
    <row r="29" spans="1:11" ht="15.6" x14ac:dyDescent="0.3">
      <c r="A29" s="17" t="s">
        <v>49</v>
      </c>
    </row>
    <row r="30" spans="1:11" ht="15.6" x14ac:dyDescent="0.3">
      <c r="A30" s="17"/>
      <c r="B30" s="21">
        <v>2020</v>
      </c>
      <c r="C30" s="21">
        <v>2021</v>
      </c>
      <c r="D30" s="21">
        <v>2022</v>
      </c>
    </row>
    <row r="31" spans="1:11" ht="15.6" x14ac:dyDescent="0.35">
      <c r="A31" s="1" t="s">
        <v>50</v>
      </c>
      <c r="B31" s="26">
        <v>0.16500000000000001</v>
      </c>
      <c r="C31" s="26">
        <v>0.16500000000000001</v>
      </c>
      <c r="D31" s="26">
        <v>0.16500000000000001</v>
      </c>
    </row>
    <row r="32" spans="1:11" ht="15.6" x14ac:dyDescent="0.35">
      <c r="A32" s="1" t="s">
        <v>51</v>
      </c>
      <c r="B32" s="27">
        <f>B8/I16</f>
        <v>6.363636363636363E-2</v>
      </c>
      <c r="C32" s="27">
        <f>C8/J16</f>
        <v>6.3636363636363616E-2</v>
      </c>
      <c r="D32" s="27">
        <f>D8/K16</f>
        <v>6.3636363636363616E-2</v>
      </c>
    </row>
    <row r="33" spans="1:4" x14ac:dyDescent="0.3">
      <c r="A33" s="1" t="s">
        <v>52</v>
      </c>
      <c r="B33" s="1"/>
      <c r="C33" s="1"/>
      <c r="D33" s="1"/>
    </row>
    <row r="34" spans="1:4" x14ac:dyDescent="0.3">
      <c r="A34" s="1" t="s">
        <v>53</v>
      </c>
      <c r="B34" s="12">
        <f>I14+I15+I16</f>
        <v>679.92000000000007</v>
      </c>
      <c r="C34" s="12">
        <f>J14+J15+J16</f>
        <v>811.84</v>
      </c>
      <c r="D34" s="12">
        <f>K14+K15+K16</f>
        <v>956.94400000000007</v>
      </c>
    </row>
    <row r="35" spans="1:4" x14ac:dyDescent="0.3">
      <c r="A35" s="1" t="s">
        <v>54</v>
      </c>
      <c r="B35" s="12">
        <f>I16/B34</f>
        <v>0.36239557595011179</v>
      </c>
      <c r="C35" s="12">
        <f>J16/C34</f>
        <v>0.33385888845092637</v>
      </c>
      <c r="D35" s="12">
        <f>K16/D34</f>
        <v>0.31155846110117219</v>
      </c>
    </row>
    <row r="36" spans="1:4" x14ac:dyDescent="0.3">
      <c r="A36" s="1" t="s">
        <v>55</v>
      </c>
      <c r="B36" s="12">
        <f>(I14+I15)/B34</f>
        <v>0.63760442404988815</v>
      </c>
      <c r="C36" s="12">
        <f>(J14+J15)/C34</f>
        <v>0.66614111154907363</v>
      </c>
      <c r="D36" s="12">
        <f>(K14+K15)/D34</f>
        <v>0.68844153889882787</v>
      </c>
    </row>
    <row r="37" spans="1:4" x14ac:dyDescent="0.3">
      <c r="A37" s="1" t="s">
        <v>56</v>
      </c>
      <c r="B37" s="25">
        <f>B35*B32*(1-0.3)+B36*B31</f>
        <v>0.12134780562419106</v>
      </c>
      <c r="C37" s="25">
        <f t="shared" ref="C37:D37" si="14">C35*C32*(1-0.3)+C36*C31</f>
        <v>0.12478517934568387</v>
      </c>
      <c r="D37" s="25">
        <f t="shared" si="14"/>
        <v>0.12747136718554064</v>
      </c>
    </row>
  </sheetData>
  <mergeCells count="4">
    <mergeCell ref="A3:D3"/>
    <mergeCell ref="G3:K3"/>
    <mergeCell ref="G12:K12"/>
    <mergeCell ref="B27:E27"/>
  </mergeCells>
  <pageMargins left="0.7" right="0.7" top="0.78740157499999996" bottom="0.78740157499999996" header="0.3" footer="0.3"/>
  <pageSetup paperSize="9" orientation="portrait" r:id="rId1"/>
  <ignoredErrors>
    <ignoredError sqref="B10" formula="1"/>
    <ignoredError sqref="H18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A7C9-8A33-4EF1-862A-4B77EF3DB276}">
  <dimension ref="A1:K22"/>
  <sheetViews>
    <sheetView workbookViewId="0">
      <selection activeCell="B15" sqref="B15"/>
    </sheetView>
  </sheetViews>
  <sheetFormatPr defaultRowHeight="14.4" x14ac:dyDescent="0.3"/>
  <cols>
    <col min="1" max="1" width="23.77734375" bestFit="1" customWidth="1"/>
    <col min="2" max="3" width="12.77734375" bestFit="1" customWidth="1"/>
    <col min="4" max="4" width="11.5546875" bestFit="1" customWidth="1"/>
    <col min="7" max="7" width="19.21875" bestFit="1" customWidth="1"/>
  </cols>
  <sheetData>
    <row r="1" spans="1:11" ht="18" x14ac:dyDescent="0.35">
      <c r="A1" s="5" t="s">
        <v>57</v>
      </c>
    </row>
    <row r="3" spans="1:11" x14ac:dyDescent="0.3">
      <c r="A3" s="31" t="s">
        <v>16</v>
      </c>
      <c r="B3" s="31"/>
      <c r="C3" s="31"/>
      <c r="D3" s="31"/>
      <c r="G3" s="39" t="s">
        <v>17</v>
      </c>
      <c r="H3" s="39"/>
      <c r="I3" s="39"/>
      <c r="J3" s="39"/>
      <c r="K3" s="39"/>
    </row>
    <row r="4" spans="1:11" x14ac:dyDescent="0.3">
      <c r="A4" s="13"/>
      <c r="B4" s="13">
        <v>2020</v>
      </c>
      <c r="C4" s="13">
        <v>2021</v>
      </c>
      <c r="D4" s="13">
        <v>2022</v>
      </c>
      <c r="G4" s="13" t="s">
        <v>18</v>
      </c>
      <c r="H4" s="13">
        <v>2019</v>
      </c>
      <c r="I4" s="13">
        <v>2020</v>
      </c>
      <c r="J4" s="13">
        <v>2021</v>
      </c>
      <c r="K4" s="13">
        <v>2022</v>
      </c>
    </row>
    <row r="5" spans="1:11" x14ac:dyDescent="0.3">
      <c r="A5" s="13" t="s">
        <v>19</v>
      </c>
      <c r="B5" s="12">
        <v>200</v>
      </c>
      <c r="C5" s="12">
        <f>B5*1.1</f>
        <v>220.00000000000003</v>
      </c>
      <c r="D5" s="12">
        <f>C5*1.1</f>
        <v>242.00000000000006</v>
      </c>
      <c r="G5" s="14" t="s">
        <v>20</v>
      </c>
      <c r="H5" s="15">
        <v>500</v>
      </c>
      <c r="I5" s="15">
        <v>500</v>
      </c>
      <c r="J5" s="15">
        <v>550</v>
      </c>
      <c r="K5" s="15">
        <v>605</v>
      </c>
    </row>
    <row r="6" spans="1:11" x14ac:dyDescent="0.3">
      <c r="A6" s="13" t="s">
        <v>21</v>
      </c>
      <c r="B6" s="12">
        <v>45</v>
      </c>
      <c r="C6" s="12">
        <f>B6*1.1</f>
        <v>49.500000000000007</v>
      </c>
      <c r="D6" s="12">
        <f>C6*1.1</f>
        <v>54.45000000000001</v>
      </c>
      <c r="G6" s="1" t="s">
        <v>21</v>
      </c>
      <c r="H6" s="12">
        <v>0</v>
      </c>
      <c r="I6" s="12">
        <v>45</v>
      </c>
      <c r="J6" s="12">
        <v>94.5</v>
      </c>
      <c r="K6" s="12">
        <v>148.94999999999999</v>
      </c>
    </row>
    <row r="7" spans="1:11" x14ac:dyDescent="0.3">
      <c r="A7" s="13" t="s">
        <v>22</v>
      </c>
      <c r="B7" s="12">
        <f>B5-B6</f>
        <v>155</v>
      </c>
      <c r="C7" s="12">
        <f t="shared" ref="C7:D7" si="0">C5-C6</f>
        <v>170.50000000000003</v>
      </c>
      <c r="D7" s="12">
        <f t="shared" si="0"/>
        <v>187.55000000000004</v>
      </c>
      <c r="G7" s="14" t="s">
        <v>23</v>
      </c>
      <c r="H7" s="15">
        <f>H8+H9+H10</f>
        <v>60</v>
      </c>
      <c r="I7" s="15">
        <f t="shared" ref="I7:K7" si="1">I8+I9+I10</f>
        <v>274.92</v>
      </c>
      <c r="J7" s="15">
        <f t="shared" si="1"/>
        <v>411.34000000000003</v>
      </c>
      <c r="K7" s="15">
        <f t="shared" si="1"/>
        <v>561.40000000000009</v>
      </c>
    </row>
    <row r="8" spans="1:11" x14ac:dyDescent="0.3">
      <c r="A8" s="13" t="s">
        <v>24</v>
      </c>
      <c r="B8" s="12">
        <v>15.68</v>
      </c>
      <c r="C8" s="12">
        <f>B8*1.1</f>
        <v>17.248000000000001</v>
      </c>
      <c r="D8" s="12">
        <f>C8*1.1</f>
        <v>18.972800000000003</v>
      </c>
      <c r="G8" s="1" t="s">
        <v>25</v>
      </c>
      <c r="H8" s="12">
        <v>60</v>
      </c>
      <c r="I8" s="12">
        <f>H8*1.1</f>
        <v>66</v>
      </c>
      <c r="J8" s="12">
        <f t="shared" ref="J8:K8" si="2">I8*1.1</f>
        <v>72.600000000000009</v>
      </c>
      <c r="K8" s="12">
        <f t="shared" si="2"/>
        <v>79.860000000000014</v>
      </c>
    </row>
    <row r="9" spans="1:11" x14ac:dyDescent="0.3">
      <c r="A9" s="13" t="s">
        <v>26</v>
      </c>
      <c r="B9" s="12">
        <f>B7-B8</f>
        <v>139.32</v>
      </c>
      <c r="C9" s="12">
        <f t="shared" ref="C9:D9" si="3">C7-C8</f>
        <v>153.25200000000004</v>
      </c>
      <c r="D9" s="12">
        <f t="shared" si="3"/>
        <v>168.57720000000003</v>
      </c>
      <c r="G9" s="1" t="s">
        <v>27</v>
      </c>
      <c r="H9" s="12">
        <v>0</v>
      </c>
      <c r="I9" s="12">
        <v>100</v>
      </c>
      <c r="J9" s="12">
        <v>110</v>
      </c>
      <c r="K9" s="12">
        <v>121</v>
      </c>
    </row>
    <row r="10" spans="1:11" x14ac:dyDescent="0.3">
      <c r="A10" s="13" t="s">
        <v>28</v>
      </c>
      <c r="B10" s="12">
        <f>B9*0.3</f>
        <v>41.795999999999999</v>
      </c>
      <c r="C10" s="12">
        <f t="shared" ref="C10:D10" si="4">C9*0.3</f>
        <v>45.975600000000007</v>
      </c>
      <c r="D10" s="12">
        <f t="shared" si="4"/>
        <v>50.573160000000009</v>
      </c>
      <c r="G10" s="1" t="s">
        <v>29</v>
      </c>
      <c r="H10" s="12">
        <v>0</v>
      </c>
      <c r="I10" s="12">
        <v>108.92</v>
      </c>
      <c r="J10" s="12">
        <v>228.74</v>
      </c>
      <c r="K10" s="12">
        <v>360.54</v>
      </c>
    </row>
    <row r="11" spans="1:11" x14ac:dyDescent="0.3">
      <c r="A11" s="13" t="s">
        <v>30</v>
      </c>
      <c r="B11" s="12">
        <f>B9-B10</f>
        <v>97.524000000000001</v>
      </c>
      <c r="C11" s="12">
        <f t="shared" ref="C11:D11" si="5">C9-C10</f>
        <v>107.27640000000002</v>
      </c>
      <c r="D11" s="12">
        <f t="shared" si="5"/>
        <v>118.00404000000003</v>
      </c>
      <c r="G11" s="13" t="s">
        <v>31</v>
      </c>
      <c r="H11" s="16">
        <f>H5-H6+H7</f>
        <v>560</v>
      </c>
      <c r="I11" s="16">
        <f t="shared" ref="I11:K11" si="6">I5-I6+I7</f>
        <v>729.92000000000007</v>
      </c>
      <c r="J11" s="16">
        <f t="shared" si="6"/>
        <v>866.84</v>
      </c>
      <c r="K11" s="16">
        <f t="shared" si="6"/>
        <v>1017.45</v>
      </c>
    </row>
    <row r="12" spans="1:11" x14ac:dyDescent="0.3">
      <c r="G12" s="33"/>
      <c r="H12" s="34"/>
      <c r="I12" s="34"/>
      <c r="J12" s="34"/>
      <c r="K12" s="35"/>
    </row>
    <row r="13" spans="1:11" x14ac:dyDescent="0.3">
      <c r="G13" s="13" t="s">
        <v>32</v>
      </c>
      <c r="H13" s="28">
        <v>2019</v>
      </c>
      <c r="I13" s="28">
        <v>2020</v>
      </c>
      <c r="J13" s="28">
        <v>2021</v>
      </c>
      <c r="K13" s="28">
        <v>2022</v>
      </c>
    </row>
    <row r="14" spans="1:11" ht="15.6" x14ac:dyDescent="0.3">
      <c r="A14" s="17" t="s">
        <v>58</v>
      </c>
      <c r="E14" s="20"/>
      <c r="G14" s="1" t="s">
        <v>33</v>
      </c>
      <c r="H14" s="12">
        <v>336</v>
      </c>
      <c r="I14" s="12">
        <v>336</v>
      </c>
      <c r="J14" s="12">
        <v>336</v>
      </c>
      <c r="K14" s="12">
        <v>336</v>
      </c>
    </row>
    <row r="15" spans="1:11" x14ac:dyDescent="0.3">
      <c r="G15" s="1" t="s">
        <v>34</v>
      </c>
      <c r="H15" s="11">
        <v>0</v>
      </c>
      <c r="I15" s="12">
        <v>97.52</v>
      </c>
      <c r="J15" s="12">
        <v>204.8</v>
      </c>
      <c r="K15" s="12">
        <v>322.8</v>
      </c>
    </row>
    <row r="16" spans="1:11" x14ac:dyDescent="0.3">
      <c r="A16" s="13" t="s">
        <v>11</v>
      </c>
      <c r="B16" s="24">
        <v>0.12134780562419106</v>
      </c>
      <c r="C16" s="24">
        <v>0.12478517934568387</v>
      </c>
      <c r="D16" s="24">
        <v>0.12747136718554064</v>
      </c>
      <c r="G16" s="1" t="s">
        <v>35</v>
      </c>
      <c r="H16" s="12">
        <v>224</v>
      </c>
      <c r="I16" s="12">
        <f>H16*1.1</f>
        <v>246.40000000000003</v>
      </c>
      <c r="J16" s="12">
        <f t="shared" ref="J16:K16" si="7">I16*1.1</f>
        <v>271.04000000000008</v>
      </c>
      <c r="K16" s="12">
        <f t="shared" si="7"/>
        <v>298.14400000000012</v>
      </c>
    </row>
    <row r="17" spans="1:11" x14ac:dyDescent="0.3">
      <c r="A17" s="13" t="s">
        <v>59</v>
      </c>
      <c r="B17" s="12">
        <f>B7*0.7</f>
        <v>108.5</v>
      </c>
      <c r="C17" s="12">
        <f>C7*0.7</f>
        <v>119.35000000000001</v>
      </c>
      <c r="D17" s="12">
        <f>D7*0.7</f>
        <v>131.28500000000003</v>
      </c>
      <c r="G17" s="1" t="s">
        <v>36</v>
      </c>
      <c r="H17" s="12">
        <v>0</v>
      </c>
      <c r="I17" s="12">
        <v>50</v>
      </c>
      <c r="J17" s="12">
        <v>55</v>
      </c>
      <c r="K17" s="12">
        <v>60.5</v>
      </c>
    </row>
    <row r="18" spans="1:11" ht="15.6" x14ac:dyDescent="0.3">
      <c r="A18" s="22" t="s">
        <v>60</v>
      </c>
      <c r="B18" s="30">
        <f>B17-B16*(I14+I15+I16)</f>
        <v>25.993200000000002</v>
      </c>
      <c r="C18" s="30">
        <f>C17-C16*(J14+J15+J16)</f>
        <v>18.04440000000001</v>
      </c>
      <c r="D18" s="30">
        <f>D17-D16*(K14+K15+K16)</f>
        <v>9.3020400000000194</v>
      </c>
      <c r="G18" s="13" t="s">
        <v>38</v>
      </c>
      <c r="H18" s="16">
        <f>SUM(H14:H16)</f>
        <v>560</v>
      </c>
      <c r="I18" s="16">
        <f>SUM(I14:I16)</f>
        <v>679.92000000000007</v>
      </c>
      <c r="J18" s="16">
        <f>SUM(J14:J16)</f>
        <v>811.84</v>
      </c>
      <c r="K18" s="16">
        <f>SUM(K14:K16)</f>
        <v>956.94400000000007</v>
      </c>
    </row>
    <row r="21" spans="1:11" x14ac:dyDescent="0.3">
      <c r="A21" s="11"/>
    </row>
    <row r="22" spans="1:11" x14ac:dyDescent="0.3">
      <c r="A22" s="11"/>
    </row>
  </sheetData>
  <mergeCells count="3">
    <mergeCell ref="A3:D3"/>
    <mergeCell ref="G3:K3"/>
    <mergeCell ref="G12:K12"/>
  </mergeCells>
  <pageMargins left="0.7" right="0.7" top="0.78740157499999996" bottom="0.78740157499999996" header="0.3" footer="0.3"/>
  <pageSetup paperSize="9" orientation="portrait" r:id="rId1"/>
  <legacyDrawing r:id="rId2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Př. 1</vt:lpstr>
      <vt:lpstr>Př. 2</vt:lpstr>
      <vt:lpstr>Dodatek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 Kajurová</dc:creator>
  <cp:keywords/>
  <dc:description/>
  <cp:lastModifiedBy>Veronika Kajurová</cp:lastModifiedBy>
  <cp:revision/>
  <dcterms:created xsi:type="dcterms:W3CDTF">2023-12-08T11:35:01Z</dcterms:created>
  <dcterms:modified xsi:type="dcterms:W3CDTF">2023-12-13T17:33:26Z</dcterms:modified>
  <cp:category/>
  <cp:contentStatus/>
</cp:coreProperties>
</file>