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8_{8968BEA5-BA18-4085-90FC-DB96BE3675DD}" xr6:coauthVersionLast="47" xr6:coauthVersionMax="47" xr10:uidLastSave="{00000000-0000-0000-0000-000000000000}"/>
  <bookViews>
    <workbookView xWindow="-108" yWindow="-108" windowWidth="23256" windowHeight="12456" xr2:uid="{02871940-78B8-4B65-A441-5D78D74D438B}"/>
  </bookViews>
  <sheets>
    <sheet name="Durace,Convexita" sheetId="1" r:id="rId1"/>
    <sheet name="Imunizace" sheetId="2" r:id="rId2"/>
    <sheet name="Duration_ga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4" l="1"/>
  <c r="G43" i="4"/>
  <c r="G42" i="4"/>
  <c r="G41" i="4"/>
  <c r="G40" i="4"/>
  <c r="G39" i="4"/>
  <c r="G38" i="4"/>
  <c r="G37" i="4"/>
  <c r="G36" i="4"/>
  <c r="G35" i="4"/>
  <c r="G34" i="4"/>
  <c r="G33" i="4"/>
  <c r="G32" i="4"/>
  <c r="F17" i="4"/>
  <c r="F18" i="4"/>
  <c r="F19" i="4"/>
  <c r="F20" i="4"/>
  <c r="F21" i="4"/>
  <c r="F22" i="4"/>
  <c r="F16" i="4"/>
  <c r="F10" i="4"/>
  <c r="F11" i="4"/>
  <c r="F12" i="4"/>
  <c r="F13" i="4"/>
  <c r="F14" i="4"/>
  <c r="F33" i="4"/>
  <c r="F34" i="4"/>
  <c r="F35" i="4"/>
  <c r="F36" i="4"/>
  <c r="F37" i="4"/>
  <c r="F38" i="4"/>
  <c r="F39" i="4"/>
  <c r="F40" i="4"/>
  <c r="F41" i="4"/>
  <c r="F42" i="4"/>
  <c r="F43" i="4"/>
  <c r="F44" i="4"/>
  <c r="F32" i="4"/>
  <c r="E33" i="4"/>
  <c r="E34" i="4"/>
  <c r="E35" i="4"/>
  <c r="E36" i="4"/>
  <c r="E37" i="4"/>
  <c r="E38" i="4"/>
  <c r="E39" i="4"/>
  <c r="E40" i="4"/>
  <c r="E41" i="4"/>
  <c r="E42" i="4"/>
  <c r="E43" i="4"/>
  <c r="E44" i="4"/>
  <c r="E32" i="4"/>
  <c r="D33" i="4"/>
  <c r="D34" i="4"/>
  <c r="D35" i="4"/>
  <c r="D36" i="4"/>
  <c r="D37" i="4"/>
  <c r="D38" i="4"/>
  <c r="D39" i="4"/>
  <c r="D40" i="4"/>
  <c r="D41" i="4"/>
  <c r="D42" i="4"/>
  <c r="D43" i="4"/>
  <c r="D44" i="4"/>
  <c r="D32" i="4"/>
  <c r="E11" i="4"/>
  <c r="E12" i="4"/>
  <c r="E13" i="4"/>
  <c r="E14" i="4"/>
  <c r="E15" i="4"/>
  <c r="E16" i="4"/>
  <c r="E17" i="4"/>
  <c r="E18" i="4"/>
  <c r="E19" i="4"/>
  <c r="E20" i="4"/>
  <c r="E21" i="4"/>
  <c r="E22" i="4"/>
  <c r="E10" i="4"/>
  <c r="D11" i="4"/>
  <c r="D12" i="4"/>
  <c r="D13" i="4"/>
  <c r="D14" i="4"/>
  <c r="D15" i="4"/>
  <c r="D16" i="4"/>
  <c r="D17" i="4"/>
  <c r="D18" i="4"/>
  <c r="D19" i="4"/>
  <c r="D20" i="4"/>
  <c r="D21" i="4"/>
  <c r="D22" i="4"/>
  <c r="D10" i="4"/>
  <c r="C11" i="4"/>
  <c r="C12" i="4"/>
  <c r="C13" i="4"/>
  <c r="C14" i="4"/>
  <c r="C15" i="4"/>
  <c r="C16" i="4"/>
  <c r="C17" i="4"/>
  <c r="C18" i="4"/>
  <c r="C19" i="4"/>
  <c r="C20" i="4"/>
  <c r="C21" i="4"/>
  <c r="C22" i="4"/>
  <c r="C10" i="4"/>
  <c r="K18" i="1"/>
  <c r="K17" i="1"/>
  <c r="K16" i="1"/>
  <c r="G50" i="1"/>
  <c r="G49" i="1"/>
  <c r="E47" i="1"/>
  <c r="H44" i="1"/>
  <c r="F42" i="1"/>
  <c r="E42" i="1"/>
  <c r="E40" i="1"/>
  <c r="F38" i="1"/>
  <c r="G38" i="1"/>
  <c r="H38" i="1"/>
  <c r="I38" i="1"/>
  <c r="J38" i="1"/>
  <c r="E38" i="1"/>
  <c r="E24" i="1"/>
  <c r="C18" i="1"/>
  <c r="C17" i="1"/>
  <c r="E13" i="1"/>
  <c r="F11" i="1"/>
  <c r="G11" i="1"/>
  <c r="H11" i="1"/>
  <c r="I11" i="1"/>
  <c r="J11" i="1"/>
  <c r="E11" i="1"/>
  <c r="C36" i="4" l="1"/>
  <c r="C37" i="4" s="1"/>
  <c r="C34" i="4"/>
  <c r="C33" i="4"/>
  <c r="C32" i="4" s="1"/>
  <c r="F15" i="4"/>
  <c r="B12" i="4"/>
  <c r="B11" i="4" s="1"/>
  <c r="B10" i="4" s="1"/>
  <c r="B14" i="4"/>
  <c r="B15" i="4" s="1"/>
  <c r="B16" i="4" s="1"/>
  <c r="B17" i="4" s="1"/>
  <c r="B18" i="4" s="1"/>
  <c r="B19" i="4" s="1"/>
  <c r="B20" i="4" s="1"/>
  <c r="B21" i="4" s="1"/>
  <c r="B22" i="4" s="1"/>
  <c r="X34" i="2"/>
  <c r="Y30" i="2"/>
  <c r="Z19" i="2"/>
  <c r="AA19" i="2"/>
  <c r="AB19" i="2"/>
  <c r="AC19" i="2"/>
  <c r="AC21" i="2" s="1"/>
  <c r="Y19" i="2"/>
  <c r="X7" i="2"/>
  <c r="X10" i="2" s="1"/>
  <c r="Y7" i="2"/>
  <c r="Y10" i="2" s="1"/>
  <c r="Z7" i="2"/>
  <c r="Z10" i="2" s="1"/>
  <c r="AA7" i="2"/>
  <c r="AA10" i="2" s="1"/>
  <c r="AB7" i="2"/>
  <c r="AB10" i="2" s="1"/>
  <c r="W7" i="2"/>
  <c r="W10" i="2" s="1"/>
  <c r="AC18" i="2"/>
  <c r="AB18" i="2"/>
  <c r="AA18" i="2"/>
  <c r="Z18" i="2"/>
  <c r="Z21" i="2" s="1"/>
  <c r="Y18" i="2"/>
  <c r="M34" i="2"/>
  <c r="O34" i="2"/>
  <c r="F27" i="2"/>
  <c r="F26" i="2"/>
  <c r="N30" i="2"/>
  <c r="C29" i="2"/>
  <c r="O19" i="2"/>
  <c r="P19" i="2"/>
  <c r="Q19" i="2"/>
  <c r="R19" i="2"/>
  <c r="R21" i="2" s="1"/>
  <c r="N19" i="2"/>
  <c r="M7" i="2"/>
  <c r="M10" i="2" s="1"/>
  <c r="N7" i="2"/>
  <c r="N10" i="2" s="1"/>
  <c r="O7" i="2"/>
  <c r="O10" i="2" s="1"/>
  <c r="P7" i="2"/>
  <c r="P10" i="2" s="1"/>
  <c r="Q7" i="2"/>
  <c r="Q10" i="2" s="1"/>
  <c r="L7" i="2"/>
  <c r="L10" i="2" s="1"/>
  <c r="R18" i="2"/>
  <c r="Q18" i="2"/>
  <c r="P18" i="2"/>
  <c r="O18" i="2"/>
  <c r="O21" i="2" s="1"/>
  <c r="N18" i="2"/>
  <c r="F19" i="2"/>
  <c r="F21" i="2" s="1"/>
  <c r="G19" i="2"/>
  <c r="G21" i="2" s="1"/>
  <c r="H18" i="2"/>
  <c r="H19" i="2" s="1"/>
  <c r="H21" i="2" s="1"/>
  <c r="E18" i="2"/>
  <c r="E19" i="2" s="1"/>
  <c r="E21" i="2" s="1"/>
  <c r="F18" i="2"/>
  <c r="G18" i="2"/>
  <c r="D18" i="2"/>
  <c r="D19" i="2" s="1"/>
  <c r="C7" i="2"/>
  <c r="B8" i="2" s="1"/>
  <c r="D7" i="2"/>
  <c r="D10" i="2" s="1"/>
  <c r="E7" i="2"/>
  <c r="E10" i="2" s="1"/>
  <c r="F7" i="2"/>
  <c r="F10" i="2" s="1"/>
  <c r="G7" i="2"/>
  <c r="G10" i="2" s="1"/>
  <c r="B7" i="2"/>
  <c r="B10" i="2" s="1"/>
  <c r="J35" i="1"/>
  <c r="J36" i="1"/>
  <c r="I35" i="1"/>
  <c r="I36" i="1" s="1"/>
  <c r="H35" i="1"/>
  <c r="H36" i="1" s="1"/>
  <c r="G35" i="1"/>
  <c r="G36" i="1" s="1"/>
  <c r="F35" i="1"/>
  <c r="F36" i="1" s="1"/>
  <c r="E35" i="1"/>
  <c r="E36" i="1" s="1"/>
  <c r="F29" i="1"/>
  <c r="G29" i="1"/>
  <c r="H29" i="1"/>
  <c r="I29" i="1"/>
  <c r="J29" i="1"/>
  <c r="J28" i="1"/>
  <c r="D27" i="1"/>
  <c r="I28" i="1"/>
  <c r="H28" i="1"/>
  <c r="G28" i="1"/>
  <c r="F28" i="1"/>
  <c r="E28" i="1"/>
  <c r="E29" i="1" s="1"/>
  <c r="J23" i="1"/>
  <c r="J24" i="1" s="1"/>
  <c r="F24" i="1"/>
  <c r="H24" i="1"/>
  <c r="I24" i="1"/>
  <c r="D22" i="1"/>
  <c r="I23" i="1"/>
  <c r="H23" i="1"/>
  <c r="G23" i="1"/>
  <c r="G24" i="1" s="1"/>
  <c r="F23" i="1"/>
  <c r="E23" i="1"/>
  <c r="J7" i="1"/>
  <c r="J8" i="1" s="1"/>
  <c r="F7" i="1"/>
  <c r="F8" i="1" s="1"/>
  <c r="G7" i="1"/>
  <c r="G8" i="1" s="1"/>
  <c r="H7" i="1"/>
  <c r="H8" i="1" s="1"/>
  <c r="I7" i="1"/>
  <c r="E7" i="1"/>
  <c r="E8" i="1" s="1"/>
  <c r="I8" i="1"/>
  <c r="C38" i="4" l="1"/>
  <c r="P21" i="2"/>
  <c r="AA21" i="2"/>
  <c r="L8" i="2"/>
  <c r="M32" i="2" s="1"/>
  <c r="AB21" i="2"/>
  <c r="Y20" i="2"/>
  <c r="X33" i="2" s="1"/>
  <c r="X35" i="2" s="1"/>
  <c r="Y21" i="2"/>
  <c r="W11" i="2"/>
  <c r="W8" i="2"/>
  <c r="X32" i="2" s="1"/>
  <c r="Q21" i="2"/>
  <c r="L11" i="2"/>
  <c r="L12" i="2" s="1"/>
  <c r="N21" i="2"/>
  <c r="N20" i="2"/>
  <c r="E9" i="1"/>
  <c r="E12" i="1"/>
  <c r="D21" i="2"/>
  <c r="D20" i="2"/>
  <c r="C10" i="2"/>
  <c r="B11" i="2" s="1"/>
  <c r="B12" i="2" s="1"/>
  <c r="E37" i="1"/>
  <c r="E39" i="1"/>
  <c r="E30" i="1"/>
  <c r="E25" i="1"/>
  <c r="C39" i="4" l="1"/>
  <c r="X37" i="2"/>
  <c r="N22" i="2"/>
  <c r="M26" i="2" s="1"/>
  <c r="O26" i="2" s="1"/>
  <c r="M33" i="2"/>
  <c r="W12" i="2"/>
  <c r="Y22" i="2"/>
  <c r="M27" i="2"/>
  <c r="O27" i="2" s="1"/>
  <c r="J17" i="1"/>
  <c r="D22" i="2"/>
  <c r="C26" i="2" s="1"/>
  <c r="M7" i="1"/>
  <c r="E14" i="1"/>
  <c r="C40" i="4" l="1"/>
  <c r="O33" i="2"/>
  <c r="M35" i="2"/>
  <c r="M37" i="2" s="1"/>
  <c r="X26" i="2"/>
  <c r="C27" i="2"/>
  <c r="E27" i="2" s="1"/>
  <c r="E26" i="2"/>
  <c r="J18" i="1"/>
  <c r="E49" i="1"/>
  <c r="E44" i="1"/>
  <c r="I44" i="1" s="1"/>
  <c r="E15" i="1"/>
  <c r="C41" i="4" l="1"/>
  <c r="Z26" i="2"/>
  <c r="X27" i="2"/>
  <c r="Z27" i="2" s="1"/>
  <c r="E17" i="1"/>
  <c r="G17" i="1" s="1"/>
  <c r="H17" i="1" s="1"/>
  <c r="E18" i="1"/>
  <c r="G18" i="1" s="1"/>
  <c r="H18" i="1" s="1"/>
  <c r="H47" i="1"/>
  <c r="I47" i="1"/>
  <c r="C42" i="4" l="1"/>
  <c r="C43" i="4" l="1"/>
  <c r="C44" i="4" l="1"/>
</calcChain>
</file>

<file path=xl/sharedStrings.xml><?xml version="1.0" encoding="utf-8"?>
<sst xmlns="http://schemas.openxmlformats.org/spreadsheetml/2006/main" count="136" uniqueCount="63">
  <si>
    <t>N</t>
  </si>
  <si>
    <t>c</t>
  </si>
  <si>
    <t>ytm</t>
  </si>
  <si>
    <t>CF</t>
  </si>
  <si>
    <t>DCF</t>
  </si>
  <si>
    <t>V_0</t>
  </si>
  <si>
    <t>t*CDF</t>
  </si>
  <si>
    <t>suma</t>
  </si>
  <si>
    <t>D v letech</t>
  </si>
  <si>
    <t>let</t>
  </si>
  <si>
    <t>MD</t>
  </si>
  <si>
    <t xml:space="preserve"> %</t>
  </si>
  <si>
    <t>$D</t>
  </si>
  <si>
    <t>P* (-100bp)</t>
  </si>
  <si>
    <t>P**(+100bp)</t>
  </si>
  <si>
    <t>Skutecne oceneni</t>
  </si>
  <si>
    <t>r*</t>
  </si>
  <si>
    <t>r**</t>
  </si>
  <si>
    <t>Rozdil</t>
  </si>
  <si>
    <t>% error</t>
  </si>
  <si>
    <t>D_e</t>
  </si>
  <si>
    <t>Convexita</t>
  </si>
  <si>
    <t>(t+1)*t*DCF</t>
  </si>
  <si>
    <t>X</t>
  </si>
  <si>
    <t>CX</t>
  </si>
  <si>
    <t>delta_V</t>
  </si>
  <si>
    <t>PP*</t>
  </si>
  <si>
    <t>PP**</t>
  </si>
  <si>
    <t>zavazky</t>
  </si>
  <si>
    <t>T</t>
  </si>
  <si>
    <t>a rok</t>
  </si>
  <si>
    <t>r</t>
  </si>
  <si>
    <t>PV_Zavazku</t>
  </si>
  <si>
    <t>t*dcf</t>
  </si>
  <si>
    <t>sum</t>
  </si>
  <si>
    <t>Durace Aktiv</t>
  </si>
  <si>
    <t>Obligace A</t>
  </si>
  <si>
    <t>V</t>
  </si>
  <si>
    <t xml:space="preserve">D </t>
  </si>
  <si>
    <t>Durace B</t>
  </si>
  <si>
    <t>1 rok</t>
  </si>
  <si>
    <t>w_a</t>
  </si>
  <si>
    <t>w_b</t>
  </si>
  <si>
    <t>hodnota</t>
  </si>
  <si>
    <t>z</t>
  </si>
  <si>
    <t>a</t>
  </si>
  <si>
    <t>b</t>
  </si>
  <si>
    <t>ks</t>
  </si>
  <si>
    <t>rust ytm</t>
  </si>
  <si>
    <t>pokles ytm</t>
  </si>
  <si>
    <t>gap</t>
  </si>
  <si>
    <t>Assets</t>
  </si>
  <si>
    <t>Liabilities</t>
  </si>
  <si>
    <t>Equity</t>
  </si>
  <si>
    <t>∆Equity</t>
  </si>
  <si>
    <t>Asset</t>
  </si>
  <si>
    <t>Liability</t>
  </si>
  <si>
    <t>coupon</t>
  </si>
  <si>
    <t>face value</t>
  </si>
  <si>
    <t>maturity</t>
  </si>
  <si>
    <t xml:space="preserve">a) </t>
  </si>
  <si>
    <t>b)</t>
  </si>
  <si>
    <t>v peneznich jednotkach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</si>
</sst>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/>
    <xf numFmtId="0" fontId="5" fillId="2" borderId="2" xfId="0" applyFont="1" applyFill="1" applyBorder="1"/>
    <xf numFmtId="0" fontId="6" fillId="0" borderId="2" xfId="0" applyFont="1" applyBorder="1"/>
    <xf numFmtId="0" fontId="7" fillId="0" borderId="2" xfId="0" applyFont="1" applyBorder="1"/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5500-BBCC-4F5D-81F9-1B4DFF6581BD}">
  <dimension ref="C3:M50"/>
  <sheetViews>
    <sheetView tabSelected="1" topLeftCell="B13" zoomScale="190" zoomScaleNormal="190" workbookViewId="0">
      <selection activeCell="G19" sqref="G19"/>
    </sheetView>
  </sheetViews>
  <sheetFormatPr defaultColWidth="9.109375" defaultRowHeight="14.4" x14ac:dyDescent="0.3"/>
  <cols>
    <col min="1" max="3" width="9.109375" style="2"/>
    <col min="4" max="4" width="11.109375" style="2" customWidth="1"/>
    <col min="5" max="7" width="9.109375" style="2"/>
    <col min="8" max="9" width="12.44140625" style="2" bestFit="1" customWidth="1"/>
    <col min="10" max="16384" width="9.109375" style="2"/>
  </cols>
  <sheetData>
    <row r="3" spans="4:13" x14ac:dyDescent="0.3">
      <c r="D3" s="2" t="s">
        <v>0</v>
      </c>
      <c r="E3" s="2">
        <v>1000</v>
      </c>
    </row>
    <row r="4" spans="4:13" x14ac:dyDescent="0.3">
      <c r="D4" s="2" t="s">
        <v>1</v>
      </c>
      <c r="E4" s="2">
        <v>7.0000000000000007E-2</v>
      </c>
    </row>
    <row r="5" spans="4:13" x14ac:dyDescent="0.3">
      <c r="D5" s="2" t="s">
        <v>2</v>
      </c>
      <c r="E5" s="2">
        <v>0.08</v>
      </c>
    </row>
    <row r="6" spans="4:13" x14ac:dyDescent="0.3"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</row>
    <row r="7" spans="4:13" x14ac:dyDescent="0.3">
      <c r="D7" s="2" t="s">
        <v>3</v>
      </c>
      <c r="E7" s="2">
        <f>$E$4*$E$3</f>
        <v>70</v>
      </c>
      <c r="F7" s="2">
        <f t="shared" ref="F7:I7" si="0">$E$4*$E$3</f>
        <v>70</v>
      </c>
      <c r="G7" s="2">
        <f t="shared" si="0"/>
        <v>70</v>
      </c>
      <c r="H7" s="2">
        <f t="shared" si="0"/>
        <v>70</v>
      </c>
      <c r="I7" s="2">
        <f t="shared" si="0"/>
        <v>70</v>
      </c>
      <c r="J7" s="2">
        <f>$E$4*$E$3+E3</f>
        <v>1070</v>
      </c>
      <c r="M7" s="2">
        <f>(E13-5)*360</f>
        <v>27.324472365611214</v>
      </c>
    </row>
    <row r="8" spans="4:13" x14ac:dyDescent="0.3">
      <c r="D8" s="2" t="s">
        <v>4</v>
      </c>
      <c r="E8" s="2">
        <f>E7/(1+$E$5)^E6</f>
        <v>64.81481481481481</v>
      </c>
      <c r="F8" s="2">
        <f t="shared" ref="F8:J8" si="1">F7/(1+$E$5)^F6</f>
        <v>60.013717421124824</v>
      </c>
      <c r="G8" s="2">
        <f t="shared" si="1"/>
        <v>55.568256871411869</v>
      </c>
      <c r="H8" s="2">
        <f t="shared" si="1"/>
        <v>51.452089695751731</v>
      </c>
      <c r="I8" s="2">
        <f t="shared" si="1"/>
        <v>47.64082379236271</v>
      </c>
      <c r="J8" s="2">
        <f t="shared" si="1"/>
        <v>674.28150076492193</v>
      </c>
    </row>
    <row r="9" spans="4:13" x14ac:dyDescent="0.3">
      <c r="D9" s="2" t="s">
        <v>5</v>
      </c>
      <c r="E9" s="2">
        <f>SUM(E8:J8)</f>
        <v>953.77120336038786</v>
      </c>
    </row>
    <row r="11" spans="4:13" x14ac:dyDescent="0.3">
      <c r="D11" s="2" t="s">
        <v>6</v>
      </c>
      <c r="E11" s="2">
        <f>E6*E8</f>
        <v>64.81481481481481</v>
      </c>
      <c r="F11" s="2">
        <f t="shared" ref="F11:J11" si="2">F6*F8</f>
        <v>120.02743484224965</v>
      </c>
      <c r="G11" s="2">
        <f t="shared" si="2"/>
        <v>166.7047706142356</v>
      </c>
      <c r="H11" s="2">
        <f t="shared" si="2"/>
        <v>205.80835878300692</v>
      </c>
      <c r="I11" s="2">
        <f t="shared" si="2"/>
        <v>238.20411896181355</v>
      </c>
      <c r="J11" s="2">
        <f t="shared" si="2"/>
        <v>4045.6890045895316</v>
      </c>
    </row>
    <row r="12" spans="4:13" x14ac:dyDescent="0.3">
      <c r="D12" s="2" t="s">
        <v>7</v>
      </c>
      <c r="E12" s="2">
        <f>SUM(E11:J11)</f>
        <v>4841.248502605652</v>
      </c>
    </row>
    <row r="13" spans="4:13" x14ac:dyDescent="0.3">
      <c r="D13" s="2" t="s">
        <v>8</v>
      </c>
      <c r="E13" s="2">
        <f>E12/E9</f>
        <v>5.0759013121266978</v>
      </c>
      <c r="F13" s="2" t="s">
        <v>9</v>
      </c>
    </row>
    <row r="14" spans="4:13" x14ac:dyDescent="0.3">
      <c r="D14" s="2" t="s">
        <v>10</v>
      </c>
      <c r="E14" s="2">
        <f>E13/(1+E5)</f>
        <v>4.6999086223395343</v>
      </c>
      <c r="F14" s="2" t="s">
        <v>11</v>
      </c>
    </row>
    <row r="15" spans="4:13" x14ac:dyDescent="0.3">
      <c r="D15" s="2" t="s">
        <v>12</v>
      </c>
      <c r="E15" s="2">
        <f>E14/100*E9</f>
        <v>44.826375024126406</v>
      </c>
      <c r="F15" s="2" t="s">
        <v>62</v>
      </c>
    </row>
    <row r="16" spans="4:13" x14ac:dyDescent="0.3">
      <c r="G16" s="2" t="s">
        <v>18</v>
      </c>
      <c r="H16" s="2" t="s">
        <v>19</v>
      </c>
      <c r="J16" s="2" t="s">
        <v>20</v>
      </c>
      <c r="K16" s="9">
        <f>(E25-E30)/(2*E9*0.01*100)</f>
        <v>4.7033487427863903E-2</v>
      </c>
    </row>
    <row r="17" spans="3:11" x14ac:dyDescent="0.3">
      <c r="C17" s="2">
        <f>E9+E15</f>
        <v>998.59757838451424</v>
      </c>
      <c r="D17" s="2" t="s">
        <v>13</v>
      </c>
      <c r="E17" s="8">
        <f>E9+E15</f>
        <v>998.59757838451424</v>
      </c>
      <c r="G17" s="2">
        <f>E25-E17</f>
        <v>1.4024216154856504</v>
      </c>
      <c r="H17" s="2">
        <f>G17/E25</f>
        <v>1.4024216154856506E-3</v>
      </c>
      <c r="J17" s="2">
        <f>E9*(1+K16)</f>
        <v>998.63038926269735</v>
      </c>
      <c r="K17" s="10">
        <f>E9*(1+K16)</f>
        <v>998.63038926269735</v>
      </c>
    </row>
    <row r="18" spans="3:11" x14ac:dyDescent="0.3">
      <c r="C18" s="2">
        <f>E9-E15</f>
        <v>908.94482833626148</v>
      </c>
      <c r="D18" s="2" t="s">
        <v>14</v>
      </c>
      <c r="E18" s="11">
        <f>E9-E15</f>
        <v>908.94482833626148</v>
      </c>
      <c r="G18" s="2">
        <f>E30-E18</f>
        <v>1.3367998591195374</v>
      </c>
      <c r="H18" s="2">
        <f>G18/E30</f>
        <v>1.468556343128359E-3</v>
      </c>
      <c r="J18" s="2">
        <f>E9-E9*K16</f>
        <v>908.91201745807848</v>
      </c>
      <c r="K18" s="11">
        <f>E9*(1-K16)</f>
        <v>908.91201745807837</v>
      </c>
    </row>
    <row r="21" spans="3:11" x14ac:dyDescent="0.3">
      <c r="C21" s="2" t="s">
        <v>15</v>
      </c>
    </row>
    <row r="22" spans="3:11" x14ac:dyDescent="0.3">
      <c r="C22" s="2" t="s">
        <v>16</v>
      </c>
      <c r="D22" s="3">
        <f>E5-0.01</f>
        <v>7.0000000000000007E-2</v>
      </c>
      <c r="E22" s="2">
        <v>1</v>
      </c>
      <c r="F22" s="2">
        <v>2</v>
      </c>
      <c r="G22" s="2">
        <v>3</v>
      </c>
      <c r="H22" s="2">
        <v>4</v>
      </c>
      <c r="I22" s="2">
        <v>5</v>
      </c>
      <c r="J22" s="2">
        <v>6</v>
      </c>
    </row>
    <row r="23" spans="3:11" x14ac:dyDescent="0.3">
      <c r="D23" s="2" t="s">
        <v>3</v>
      </c>
      <c r="E23" s="2">
        <f>$E$4*$E$3</f>
        <v>70</v>
      </c>
      <c r="F23" s="2">
        <f t="shared" ref="F23:I23" si="3">$E$4*$E$3</f>
        <v>70</v>
      </c>
      <c r="G23" s="2">
        <f t="shared" si="3"/>
        <v>70</v>
      </c>
      <c r="H23" s="2">
        <f t="shared" si="3"/>
        <v>70</v>
      </c>
      <c r="I23" s="2">
        <f t="shared" si="3"/>
        <v>70</v>
      </c>
      <c r="J23" s="2">
        <f>$E$4*$E$3+E3</f>
        <v>1070</v>
      </c>
    </row>
    <row r="24" spans="3:11" x14ac:dyDescent="0.3">
      <c r="D24" s="2" t="s">
        <v>4</v>
      </c>
      <c r="E24" s="2">
        <f>E23/(1+$D$22)^E22</f>
        <v>65.420560747663544</v>
      </c>
      <c r="F24" s="2">
        <f t="shared" ref="F24:J24" si="4">F23/(1+$D$22)^F22</f>
        <v>61.140710979124812</v>
      </c>
      <c r="G24" s="2">
        <f t="shared" si="4"/>
        <v>57.140851382359635</v>
      </c>
      <c r="H24" s="2">
        <f t="shared" si="4"/>
        <v>53.402664843326768</v>
      </c>
      <c r="I24" s="2">
        <f t="shared" si="4"/>
        <v>49.909032563856783</v>
      </c>
      <c r="J24" s="2">
        <f t="shared" si="4"/>
        <v>712.98617948366837</v>
      </c>
    </row>
    <row r="25" spans="3:11" x14ac:dyDescent="0.3">
      <c r="D25" s="2" t="s">
        <v>5</v>
      </c>
      <c r="E25" s="2">
        <f>SUM(E24:J24)</f>
        <v>999.99999999999989</v>
      </c>
    </row>
    <row r="27" spans="3:11" x14ac:dyDescent="0.3">
      <c r="C27" s="2" t="s">
        <v>17</v>
      </c>
      <c r="D27" s="3">
        <f>E5+0.01</f>
        <v>0.09</v>
      </c>
      <c r="E27" s="2">
        <v>1</v>
      </c>
      <c r="F27" s="2">
        <v>2</v>
      </c>
      <c r="G27" s="2">
        <v>3</v>
      </c>
      <c r="H27" s="2">
        <v>4</v>
      </c>
      <c r="I27" s="2">
        <v>5</v>
      </c>
      <c r="J27" s="2">
        <v>6</v>
      </c>
    </row>
    <row r="28" spans="3:11" x14ac:dyDescent="0.3">
      <c r="D28" s="2" t="s">
        <v>3</v>
      </c>
      <c r="E28" s="2">
        <f>$E$4*$E$3</f>
        <v>70</v>
      </c>
      <c r="F28" s="2">
        <f t="shared" ref="F28:I28" si="5">$E$4*$E$3</f>
        <v>70</v>
      </c>
      <c r="G28" s="2">
        <f t="shared" si="5"/>
        <v>70</v>
      </c>
      <c r="H28" s="2">
        <f t="shared" si="5"/>
        <v>70</v>
      </c>
      <c r="I28" s="2">
        <f t="shared" si="5"/>
        <v>70</v>
      </c>
      <c r="J28" s="2">
        <f>$E$4*$E$3+E3</f>
        <v>1070</v>
      </c>
    </row>
    <row r="29" spans="3:11" x14ac:dyDescent="0.3">
      <c r="D29" s="2" t="s">
        <v>4</v>
      </c>
      <c r="E29" s="2">
        <f>E28/(1+$D$27)^E27</f>
        <v>64.220183486238525</v>
      </c>
      <c r="F29" s="2">
        <f t="shared" ref="F29:J29" si="6">F28/(1+$D$27)^F27</f>
        <v>58.917599528659196</v>
      </c>
      <c r="G29" s="2">
        <f t="shared" si="6"/>
        <v>54.052843604274493</v>
      </c>
      <c r="H29" s="2">
        <f t="shared" si="6"/>
        <v>49.589764774563754</v>
      </c>
      <c r="I29" s="2">
        <f t="shared" si="6"/>
        <v>45.495197040884172</v>
      </c>
      <c r="J29" s="2">
        <f t="shared" si="6"/>
        <v>638.00603976076093</v>
      </c>
    </row>
    <row r="30" spans="3:11" x14ac:dyDescent="0.3">
      <c r="D30" s="2" t="s">
        <v>5</v>
      </c>
      <c r="E30" s="2">
        <f>SUM(E29:J29)</f>
        <v>910.28162819538102</v>
      </c>
    </row>
    <row r="33" spans="3:10" x14ac:dyDescent="0.3">
      <c r="C33" s="2" t="s">
        <v>21</v>
      </c>
    </row>
    <row r="34" spans="3:10" x14ac:dyDescent="0.3">
      <c r="E34" s="2">
        <v>1</v>
      </c>
      <c r="F34" s="2">
        <v>2</v>
      </c>
      <c r="G34" s="2">
        <v>3</v>
      </c>
      <c r="H34" s="2">
        <v>4</v>
      </c>
      <c r="I34" s="2">
        <v>5</v>
      </c>
      <c r="J34" s="2">
        <v>6</v>
      </c>
    </row>
    <row r="35" spans="3:10" x14ac:dyDescent="0.3">
      <c r="D35" s="2" t="s">
        <v>3</v>
      </c>
      <c r="E35" s="2">
        <f>$E$4*$E$3</f>
        <v>70</v>
      </c>
      <c r="F35" s="2">
        <f t="shared" ref="F35:I35" si="7">$E$4*$E$3</f>
        <v>70</v>
      </c>
      <c r="G35" s="2">
        <f t="shared" si="7"/>
        <v>70</v>
      </c>
      <c r="H35" s="2">
        <f t="shared" si="7"/>
        <v>70</v>
      </c>
      <c r="I35" s="2">
        <f t="shared" si="7"/>
        <v>70</v>
      </c>
      <c r="J35" s="2">
        <f>$E$4*$E$3+E3</f>
        <v>1070</v>
      </c>
    </row>
    <row r="36" spans="3:10" x14ac:dyDescent="0.3">
      <c r="D36" s="2" t="s">
        <v>4</v>
      </c>
      <c r="E36" s="2">
        <f>E35/(1+$E$5)^E34</f>
        <v>64.81481481481481</v>
      </c>
      <c r="F36" s="2">
        <f t="shared" ref="F36" si="8">F35/(1+$E$5)^F34</f>
        <v>60.013717421124824</v>
      </c>
      <c r="G36" s="2">
        <f t="shared" ref="G36" si="9">G35/(1+$E$5)^G34</f>
        <v>55.568256871411869</v>
      </c>
      <c r="H36" s="2">
        <f t="shared" ref="H36" si="10">H35/(1+$E$5)^H34</f>
        <v>51.452089695751731</v>
      </c>
      <c r="I36" s="2">
        <f t="shared" ref="I36" si="11">I35/(1+$E$5)^I34</f>
        <v>47.64082379236271</v>
      </c>
      <c r="J36" s="2">
        <f t="shared" ref="J36" si="12">J35/(1+$E$5)^J34</f>
        <v>674.28150076492193</v>
      </c>
    </row>
    <row r="37" spans="3:10" x14ac:dyDescent="0.3">
      <c r="D37" s="2" t="s">
        <v>5</v>
      </c>
      <c r="E37" s="2">
        <f>SUM(E36:J36)</f>
        <v>953.77120336038786</v>
      </c>
    </row>
    <row r="38" spans="3:10" x14ac:dyDescent="0.3">
      <c r="D38" s="2" t="s">
        <v>22</v>
      </c>
      <c r="E38" s="2">
        <f>(E34+1)*E34*E36</f>
        <v>129.62962962962962</v>
      </c>
      <c r="F38" s="2">
        <f t="shared" ref="F38:J38" si="13">(F34+1)*F34*F36</f>
        <v>360.08230452674894</v>
      </c>
      <c r="G38" s="2">
        <f t="shared" si="13"/>
        <v>666.8190824569424</v>
      </c>
      <c r="H38" s="2">
        <f t="shared" si="13"/>
        <v>1029.0417939150345</v>
      </c>
      <c r="I38" s="2">
        <f t="shared" si="13"/>
        <v>1429.2247137708814</v>
      </c>
      <c r="J38" s="2">
        <f t="shared" si="13"/>
        <v>28319.823032126722</v>
      </c>
    </row>
    <row r="39" spans="3:10" x14ac:dyDescent="0.3">
      <c r="D39" s="2" t="s">
        <v>23</v>
      </c>
      <c r="E39" s="2">
        <f>SUM(E38:J38)</f>
        <v>31934.620556425958</v>
      </c>
    </row>
    <row r="40" spans="3:10" x14ac:dyDescent="0.3">
      <c r="D40" s="2" t="s">
        <v>24</v>
      </c>
      <c r="E40" s="2">
        <f>E39/E37*(1+E5)^-2</f>
        <v>28.705825692963469</v>
      </c>
    </row>
    <row r="42" spans="3:10" x14ac:dyDescent="0.3">
      <c r="D42" s="2" t="s">
        <v>25</v>
      </c>
      <c r="E42" s="2">
        <f>-E14*-0.01*E9+1/2*E40*0.01^2*E9</f>
        <v>46.195314519857973</v>
      </c>
      <c r="F42" s="2">
        <f>E37+E42</f>
        <v>999.96651788024587</v>
      </c>
    </row>
    <row r="44" spans="3:10" x14ac:dyDescent="0.3">
      <c r="D44" s="2" t="s">
        <v>26</v>
      </c>
      <c r="E44" s="2">
        <f>E9+E42</f>
        <v>999.96651788024587</v>
      </c>
      <c r="H44" s="2">
        <f>E25-E44</f>
        <v>3.3482119754012274E-2</v>
      </c>
      <c r="I44" s="2">
        <f>H44/E25</f>
        <v>3.3482119754012278E-5</v>
      </c>
    </row>
    <row r="46" spans="3:10" x14ac:dyDescent="0.3">
      <c r="H46" s="2" t="s">
        <v>18</v>
      </c>
      <c r="I46" s="2" t="s">
        <v>19</v>
      </c>
    </row>
    <row r="47" spans="3:10" x14ac:dyDescent="0.3">
      <c r="D47" s="2" t="s">
        <v>25</v>
      </c>
      <c r="E47" s="2">
        <f>-E14*0.01*E9+1/2*E40*0.01^2*E9</f>
        <v>-43.457435528394839</v>
      </c>
      <c r="H47" s="2">
        <f>E49-E30</f>
        <v>3.2139636611987044E-2</v>
      </c>
      <c r="I47" s="2">
        <f>(E49-E30)/E30</f>
        <v>3.5307355016824152E-5</v>
      </c>
    </row>
    <row r="49" spans="4:7" x14ac:dyDescent="0.3">
      <c r="D49" s="2" t="s">
        <v>27</v>
      </c>
      <c r="E49" s="2">
        <f>E9+E47</f>
        <v>910.313767831993</v>
      </c>
      <c r="G49" s="2">
        <f>E37+E47</f>
        <v>910.313767831993</v>
      </c>
    </row>
    <row r="50" spans="4:7" x14ac:dyDescent="0.3">
      <c r="G50" s="2">
        <f>E30-G49</f>
        <v>-3.2139636611987044E-2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06A-EE82-4786-BEE3-5BB55A87F31C}">
  <dimension ref="A1:AC37"/>
  <sheetViews>
    <sheetView workbookViewId="0">
      <selection activeCell="X37" sqref="X37"/>
    </sheetView>
  </sheetViews>
  <sheetFormatPr defaultColWidth="9.109375" defaultRowHeight="15" thickBottom="1" x14ac:dyDescent="0.35"/>
  <cols>
    <col min="1" max="16384" width="9.109375" style="1"/>
  </cols>
  <sheetData>
    <row r="1" spans="1:28" thickBot="1" x14ac:dyDescent="0.35">
      <c r="A1" s="1" t="s">
        <v>28</v>
      </c>
    </row>
    <row r="2" spans="1:28" thickBot="1" x14ac:dyDescent="0.35">
      <c r="A2" s="1" t="s">
        <v>29</v>
      </c>
      <c r="B2" s="1">
        <v>6</v>
      </c>
    </row>
    <row r="3" spans="1:28" thickBot="1" x14ac:dyDescent="0.35">
      <c r="A3" s="1" t="s">
        <v>0</v>
      </c>
      <c r="B3" s="1">
        <v>10000</v>
      </c>
      <c r="C3" s="1" t="s">
        <v>30</v>
      </c>
      <c r="K3" s="1" t="s">
        <v>48</v>
      </c>
      <c r="V3" s="1" t="s">
        <v>49</v>
      </c>
    </row>
    <row r="4" spans="1:28" thickBot="1" x14ac:dyDescent="0.35">
      <c r="A4" s="1" t="s">
        <v>31</v>
      </c>
      <c r="B4" s="1">
        <v>0.09</v>
      </c>
      <c r="C4" s="1">
        <v>0.15</v>
      </c>
      <c r="D4" s="1">
        <v>0.04</v>
      </c>
    </row>
    <row r="6" spans="1:28" thickBot="1" x14ac:dyDescent="0.35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L6" s="1">
        <v>1</v>
      </c>
      <c r="M6" s="1">
        <v>2</v>
      </c>
      <c r="N6" s="1">
        <v>3</v>
      </c>
      <c r="O6" s="1">
        <v>4</v>
      </c>
      <c r="P6" s="1">
        <v>5</v>
      </c>
      <c r="Q6" s="1">
        <v>6</v>
      </c>
      <c r="W6" s="1">
        <v>1</v>
      </c>
      <c r="X6" s="1">
        <v>2</v>
      </c>
      <c r="Y6" s="1">
        <v>3</v>
      </c>
      <c r="Z6" s="1">
        <v>4</v>
      </c>
      <c r="AA6" s="1">
        <v>5</v>
      </c>
      <c r="AB6" s="1">
        <v>6</v>
      </c>
    </row>
    <row r="7" spans="1:28" thickBot="1" x14ac:dyDescent="0.35">
      <c r="B7" s="1">
        <f>$B$3/(1+$B$4)^B6</f>
        <v>9174.3119266055037</v>
      </c>
      <c r="C7" s="1">
        <f t="shared" ref="C7:G7" si="0">$B$3/(1+$B$4)^C6</f>
        <v>8416.799932665599</v>
      </c>
      <c r="D7" s="1">
        <f t="shared" si="0"/>
        <v>7721.8348006106417</v>
      </c>
      <c r="E7" s="1">
        <f t="shared" si="0"/>
        <v>7084.2521106519644</v>
      </c>
      <c r="F7" s="1">
        <f t="shared" si="0"/>
        <v>6499.313862983453</v>
      </c>
      <c r="G7" s="1">
        <f t="shared" si="0"/>
        <v>5962.6732687921585</v>
      </c>
      <c r="L7" s="1">
        <f>$B$3/(1+$C$4)^L6</f>
        <v>8695.652173913044</v>
      </c>
      <c r="M7" s="1">
        <f t="shared" ref="M7:Q7" si="1">$B$3/(1+$C$4)^M6</f>
        <v>7561.436672967865</v>
      </c>
      <c r="N7" s="1">
        <f t="shared" si="1"/>
        <v>6575.1623243198837</v>
      </c>
      <c r="O7" s="1">
        <f t="shared" si="1"/>
        <v>5717.5324559303335</v>
      </c>
      <c r="P7" s="1">
        <f t="shared" si="1"/>
        <v>4971.767352982899</v>
      </c>
      <c r="Q7" s="1">
        <f t="shared" si="1"/>
        <v>4323.2759591155645</v>
      </c>
      <c r="W7" s="1">
        <f>$B$3/(1+$D$4)^W6</f>
        <v>9615.3846153846152</v>
      </c>
      <c r="X7" s="1">
        <f t="shared" ref="X7:AB7" si="2">$B$3/(1+$D$4)^X6</f>
        <v>9245.5621301775136</v>
      </c>
      <c r="Y7" s="1">
        <f t="shared" si="2"/>
        <v>8889.9635867091474</v>
      </c>
      <c r="Z7" s="1">
        <f t="shared" si="2"/>
        <v>8548.0419102972573</v>
      </c>
      <c r="AA7" s="1">
        <f t="shared" si="2"/>
        <v>8219.2710675935159</v>
      </c>
      <c r="AB7" s="1">
        <f t="shared" si="2"/>
        <v>7903.1452573014567</v>
      </c>
    </row>
    <row r="8" spans="1:28" thickBot="1" x14ac:dyDescent="0.35">
      <c r="A8" s="1" t="s">
        <v>32</v>
      </c>
      <c r="B8" s="1">
        <f>SUM(B7:G7)</f>
        <v>44859.18590230932</v>
      </c>
      <c r="K8" s="1" t="s">
        <v>32</v>
      </c>
      <c r="L8" s="1">
        <f>SUM(L7:Q7)</f>
        <v>37844.826939229592</v>
      </c>
      <c r="V8" s="1" t="s">
        <v>32</v>
      </c>
      <c r="W8" s="1">
        <f>SUM(W7:AB7)</f>
        <v>52421.368567463505</v>
      </c>
    </row>
    <row r="10" spans="1:28" thickBot="1" x14ac:dyDescent="0.35">
      <c r="A10" s="1" t="s">
        <v>33</v>
      </c>
      <c r="B10" s="1">
        <f>B6*B7</f>
        <v>9174.3119266055037</v>
      </c>
      <c r="C10" s="1">
        <f t="shared" ref="C10:G10" si="3">C6*C7</f>
        <v>16833.599865331198</v>
      </c>
      <c r="D10" s="1">
        <f t="shared" si="3"/>
        <v>23165.504401831924</v>
      </c>
      <c r="E10" s="1">
        <f t="shared" si="3"/>
        <v>28337.008442607857</v>
      </c>
      <c r="F10" s="1">
        <f t="shared" si="3"/>
        <v>32496.569314917266</v>
      </c>
      <c r="G10" s="1">
        <f t="shared" si="3"/>
        <v>35776.039612752953</v>
      </c>
      <c r="K10" s="1" t="s">
        <v>33</v>
      </c>
      <c r="L10" s="1">
        <f>L6*L7</f>
        <v>8695.652173913044</v>
      </c>
      <c r="M10" s="1">
        <f t="shared" ref="M10:Q10" si="4">M6*M7</f>
        <v>15122.87334593573</v>
      </c>
      <c r="N10" s="1">
        <f t="shared" si="4"/>
        <v>19725.48697295965</v>
      </c>
      <c r="O10" s="1">
        <f t="shared" si="4"/>
        <v>22870.129823721334</v>
      </c>
      <c r="P10" s="1">
        <f t="shared" si="4"/>
        <v>24858.836764914493</v>
      </c>
      <c r="Q10" s="1">
        <f t="shared" si="4"/>
        <v>25939.655754693387</v>
      </c>
      <c r="V10" s="1" t="s">
        <v>33</v>
      </c>
      <c r="W10" s="1">
        <f>W6*W7</f>
        <v>9615.3846153846152</v>
      </c>
      <c r="X10" s="1">
        <f t="shared" ref="X10:AB10" si="5">X6*X7</f>
        <v>18491.124260355027</v>
      </c>
      <c r="Y10" s="1">
        <f t="shared" si="5"/>
        <v>26669.89076012744</v>
      </c>
      <c r="Z10" s="1">
        <f t="shared" si="5"/>
        <v>34192.167641189029</v>
      </c>
      <c r="AA10" s="1">
        <f t="shared" si="5"/>
        <v>41096.35533796758</v>
      </c>
      <c r="AB10" s="1">
        <f t="shared" si="5"/>
        <v>47418.871543808738</v>
      </c>
    </row>
    <row r="11" spans="1:28" thickBot="1" x14ac:dyDescent="0.35">
      <c r="A11" s="1" t="s">
        <v>34</v>
      </c>
      <c r="B11" s="1">
        <f>SUM(B10:G10)</f>
        <v>145783.03356404672</v>
      </c>
      <c r="K11" s="1" t="s">
        <v>34</v>
      </c>
      <c r="L11" s="1">
        <f>SUM(L10:Q10)</f>
        <v>117212.63483613764</v>
      </c>
      <c r="V11" s="1" t="s">
        <v>34</v>
      </c>
      <c r="W11" s="1">
        <f>SUM(W10:AB10)</f>
        <v>177483.7941588324</v>
      </c>
    </row>
    <row r="12" spans="1:28" thickBot="1" x14ac:dyDescent="0.35">
      <c r="A12" s="1" t="s">
        <v>8</v>
      </c>
      <c r="B12" s="1">
        <f>B11/B8</f>
        <v>3.2497922249753071</v>
      </c>
      <c r="K12" s="1" t="s">
        <v>8</v>
      </c>
      <c r="L12" s="1">
        <f>L11/L8</f>
        <v>3.0971904039713318</v>
      </c>
      <c r="V12" s="1" t="s">
        <v>8</v>
      </c>
      <c r="W12" s="1">
        <f>W11/W8</f>
        <v>3.3857146238068969</v>
      </c>
    </row>
    <row r="15" spans="1:28" thickBot="1" x14ac:dyDescent="0.35">
      <c r="A15" s="1" t="s">
        <v>35</v>
      </c>
      <c r="K15" s="1" t="s">
        <v>35</v>
      </c>
      <c r="V15" s="1" t="s">
        <v>35</v>
      </c>
    </row>
    <row r="16" spans="1:28" thickBot="1" x14ac:dyDescent="0.35">
      <c r="A16" s="1" t="s">
        <v>36</v>
      </c>
      <c r="K16" s="1" t="s">
        <v>36</v>
      </c>
      <c r="V16" s="1" t="s">
        <v>36</v>
      </c>
    </row>
    <row r="17" spans="1:29" thickBot="1" x14ac:dyDescent="0.35">
      <c r="A17" s="1" t="s">
        <v>0</v>
      </c>
      <c r="B17" s="1">
        <v>1000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K17" s="1" t="s">
        <v>0</v>
      </c>
      <c r="L17" s="1">
        <v>1000</v>
      </c>
      <c r="N17" s="1">
        <v>1</v>
      </c>
      <c r="O17" s="1">
        <v>2</v>
      </c>
      <c r="P17" s="1">
        <v>3</v>
      </c>
      <c r="Q17" s="1">
        <v>4</v>
      </c>
      <c r="R17" s="1">
        <v>5</v>
      </c>
      <c r="V17" s="1" t="s">
        <v>0</v>
      </c>
      <c r="W17" s="1">
        <v>1000</v>
      </c>
      <c r="Y17" s="1">
        <v>1</v>
      </c>
      <c r="Z17" s="1">
        <v>2</v>
      </c>
      <c r="AA17" s="1">
        <v>3</v>
      </c>
      <c r="AB17" s="1">
        <v>4</v>
      </c>
      <c r="AC17" s="1">
        <v>5</v>
      </c>
    </row>
    <row r="18" spans="1:29" thickBot="1" x14ac:dyDescent="0.35">
      <c r="A18" s="1" t="s">
        <v>1</v>
      </c>
      <c r="B18" s="1">
        <v>7.0000000000000007E-2</v>
      </c>
      <c r="C18" s="1" t="s">
        <v>3</v>
      </c>
      <c r="D18" s="1">
        <f>$B$18*$B$17</f>
        <v>70</v>
      </c>
      <c r="E18" s="1">
        <f t="shared" ref="E18:G18" si="6">$B$18*$B$17</f>
        <v>70</v>
      </c>
      <c r="F18" s="1">
        <f t="shared" si="6"/>
        <v>70</v>
      </c>
      <c r="G18" s="1">
        <f t="shared" si="6"/>
        <v>70</v>
      </c>
      <c r="H18" s="1">
        <f>$B$18*$B$17+B17</f>
        <v>1070</v>
      </c>
      <c r="K18" s="1" t="s">
        <v>1</v>
      </c>
      <c r="L18" s="1">
        <v>7.0000000000000007E-2</v>
      </c>
      <c r="M18" s="1" t="s">
        <v>3</v>
      </c>
      <c r="N18" s="1">
        <f>$B$18*$B$17</f>
        <v>70</v>
      </c>
      <c r="O18" s="1">
        <f t="shared" ref="O18:Q18" si="7">$B$18*$B$17</f>
        <v>70</v>
      </c>
      <c r="P18" s="1">
        <f t="shared" si="7"/>
        <v>70</v>
      </c>
      <c r="Q18" s="1">
        <f t="shared" si="7"/>
        <v>70</v>
      </c>
      <c r="R18" s="1">
        <f>$B$18*$B$17+L17</f>
        <v>1070</v>
      </c>
      <c r="V18" s="1" t="s">
        <v>1</v>
      </c>
      <c r="W18" s="1">
        <v>7.0000000000000007E-2</v>
      </c>
      <c r="X18" s="1" t="s">
        <v>3</v>
      </c>
      <c r="Y18" s="1">
        <f>$B$18*$B$17</f>
        <v>70</v>
      </c>
      <c r="Z18" s="1">
        <f t="shared" ref="Z18:AB18" si="8">$B$18*$B$17</f>
        <v>70</v>
      </c>
      <c r="AA18" s="1">
        <f t="shared" si="8"/>
        <v>70</v>
      </c>
      <c r="AB18" s="1">
        <f t="shared" si="8"/>
        <v>70</v>
      </c>
      <c r="AC18" s="1">
        <f>$B$18*$B$17+W17</f>
        <v>1070</v>
      </c>
    </row>
    <row r="19" spans="1:29" thickBot="1" x14ac:dyDescent="0.35">
      <c r="A19" s="1" t="s">
        <v>29</v>
      </c>
      <c r="B19" s="1">
        <v>5</v>
      </c>
      <c r="C19" s="1" t="s">
        <v>4</v>
      </c>
      <c r="D19" s="1">
        <f>D18/(1+$B$4)^D17</f>
        <v>64.220183486238525</v>
      </c>
      <c r="E19" s="1">
        <f t="shared" ref="E19:H19" si="9">E18/(1+$B$4)^E17</f>
        <v>58.917599528659196</v>
      </c>
      <c r="F19" s="1">
        <f t="shared" si="9"/>
        <v>54.052843604274493</v>
      </c>
      <c r="G19" s="1">
        <f t="shared" si="9"/>
        <v>49.589764774563754</v>
      </c>
      <c r="H19" s="1">
        <f t="shared" si="9"/>
        <v>695.42658333922941</v>
      </c>
      <c r="K19" s="1" t="s">
        <v>29</v>
      </c>
      <c r="L19" s="1">
        <v>5</v>
      </c>
      <c r="M19" s="1" t="s">
        <v>4</v>
      </c>
      <c r="N19" s="1">
        <f>N18/(1+$C$4)^N17</f>
        <v>60.869565217391312</v>
      </c>
      <c r="O19" s="1">
        <f t="shared" ref="O19:R19" si="10">O18/(1+$C$4)^O17</f>
        <v>52.930056710775055</v>
      </c>
      <c r="P19" s="1">
        <f t="shared" si="10"/>
        <v>46.026136270239185</v>
      </c>
      <c r="Q19" s="1">
        <f t="shared" si="10"/>
        <v>40.022727191512338</v>
      </c>
      <c r="R19" s="1">
        <f t="shared" si="10"/>
        <v>531.97910676917013</v>
      </c>
      <c r="V19" s="1" t="s">
        <v>29</v>
      </c>
      <c r="W19" s="1">
        <v>5</v>
      </c>
      <c r="X19" s="1" t="s">
        <v>4</v>
      </c>
      <c r="Y19" s="1">
        <f>Y18/(1+$D$4)^Y17</f>
        <v>67.307692307692307</v>
      </c>
      <c r="Z19" s="1">
        <f t="shared" ref="Z19:AC19" si="11">Z18/(1+$D$4)^Z17</f>
        <v>64.718934911242599</v>
      </c>
      <c r="AA19" s="1">
        <f t="shared" si="11"/>
        <v>62.229745106964039</v>
      </c>
      <c r="AB19" s="1">
        <f t="shared" si="11"/>
        <v>59.836293372080796</v>
      </c>
      <c r="AC19" s="1">
        <f t="shared" si="11"/>
        <v>879.46200423250616</v>
      </c>
    </row>
    <row r="20" spans="1:29" thickBot="1" x14ac:dyDescent="0.35">
      <c r="C20" s="1" t="s">
        <v>37</v>
      </c>
      <c r="D20" s="1">
        <f>SUM(D19:H19)</f>
        <v>922.20697473296536</v>
      </c>
      <c r="M20" s="1" t="s">
        <v>37</v>
      </c>
      <c r="N20" s="1">
        <f>SUM(N19:R19)</f>
        <v>731.827592159088</v>
      </c>
      <c r="X20" s="1" t="s">
        <v>37</v>
      </c>
      <c r="Y20" s="1">
        <f>SUM(Y19:AC19)</f>
        <v>1133.5546699304859</v>
      </c>
    </row>
    <row r="21" spans="1:29" thickBot="1" x14ac:dyDescent="0.35">
      <c r="C21" s="1" t="s">
        <v>33</v>
      </c>
      <c r="D21" s="1">
        <f>D17*D19</f>
        <v>64.220183486238525</v>
      </c>
      <c r="E21" s="1">
        <f t="shared" ref="E21:H21" si="12">E17*E19</f>
        <v>117.83519905731839</v>
      </c>
      <c r="F21" s="1">
        <f t="shared" si="12"/>
        <v>162.15853081282347</v>
      </c>
      <c r="G21" s="1">
        <f t="shared" si="12"/>
        <v>198.35905909825502</v>
      </c>
      <c r="H21" s="1">
        <f t="shared" si="12"/>
        <v>3477.1329166961468</v>
      </c>
      <c r="M21" s="1" t="s">
        <v>33</v>
      </c>
      <c r="N21" s="1">
        <f>N17*N19</f>
        <v>60.869565217391312</v>
      </c>
      <c r="O21" s="1">
        <f t="shared" ref="O21:R21" si="13">O17*O19</f>
        <v>105.86011342155011</v>
      </c>
      <c r="P21" s="1">
        <f t="shared" si="13"/>
        <v>138.07840881071755</v>
      </c>
      <c r="Q21" s="1">
        <f t="shared" si="13"/>
        <v>160.09090876604935</v>
      </c>
      <c r="R21" s="1">
        <f t="shared" si="13"/>
        <v>2659.8955338458509</v>
      </c>
      <c r="X21" s="1" t="s">
        <v>33</v>
      </c>
      <c r="Y21" s="1">
        <f>Y17*Y19</f>
        <v>67.307692307692307</v>
      </c>
      <c r="Z21" s="1">
        <f t="shared" ref="Z21:AC21" si="14">Z17*Z19</f>
        <v>129.4378698224852</v>
      </c>
      <c r="AA21" s="1">
        <f t="shared" si="14"/>
        <v>186.68923532089212</v>
      </c>
      <c r="AB21" s="1">
        <f t="shared" si="14"/>
        <v>239.34517348832318</v>
      </c>
      <c r="AC21" s="1">
        <f t="shared" si="14"/>
        <v>4397.3100211625306</v>
      </c>
    </row>
    <row r="22" spans="1:29" thickBot="1" x14ac:dyDescent="0.35">
      <c r="C22" s="1" t="s">
        <v>38</v>
      </c>
      <c r="D22" s="1">
        <f>SUM(D21:H21)/D20</f>
        <v>4.3587892949028388</v>
      </c>
      <c r="M22" s="1" t="s">
        <v>38</v>
      </c>
      <c r="N22" s="1">
        <f>SUM(N21:R21)/N20</f>
        <v>4.2698506636550499</v>
      </c>
      <c r="X22" s="1" t="s">
        <v>38</v>
      </c>
      <c r="Y22" s="1">
        <f>SUM(Y21:AC21)/Y20</f>
        <v>4.4286262720877643</v>
      </c>
    </row>
    <row r="24" spans="1:29" thickBot="1" x14ac:dyDescent="0.35">
      <c r="A24" s="1" t="s">
        <v>39</v>
      </c>
      <c r="C24" s="1" t="s">
        <v>40</v>
      </c>
      <c r="K24" s="1" t="s">
        <v>39</v>
      </c>
      <c r="M24" s="1" t="s">
        <v>40</v>
      </c>
      <c r="V24" s="1" t="s">
        <v>39</v>
      </c>
      <c r="X24" s="1" t="s">
        <v>40</v>
      </c>
    </row>
    <row r="25" spans="1:29" thickBot="1" x14ac:dyDescent="0.35">
      <c r="E25" s="1" t="s">
        <v>43</v>
      </c>
      <c r="F25" s="1" t="s">
        <v>47</v>
      </c>
      <c r="O25" s="1" t="s">
        <v>43</v>
      </c>
      <c r="Z25" s="1" t="s">
        <v>43</v>
      </c>
    </row>
    <row r="26" spans="1:29" thickBot="1" x14ac:dyDescent="0.35">
      <c r="B26" s="1" t="s">
        <v>41</v>
      </c>
      <c r="C26" s="1">
        <f>(B12-1)/(D22-1)</f>
        <v>0.66982237569635572</v>
      </c>
      <c r="E26" s="1">
        <f>C26*B8</f>
        <v>30047.686472889298</v>
      </c>
      <c r="F26" s="1">
        <f>E26/D20</f>
        <v>32.582367403575446</v>
      </c>
      <c r="L26" s="1" t="s">
        <v>41</v>
      </c>
      <c r="M26" s="1">
        <f>(L12-1)/(N22-1)</f>
        <v>0.64137192174614033</v>
      </c>
      <c r="O26" s="1">
        <f>M26*L8</f>
        <v>24272.609382163784</v>
      </c>
      <c r="W26" s="1" t="s">
        <v>41</v>
      </c>
      <c r="X26" s="1">
        <f>(W12-1)/(Y22-1)</f>
        <v>0.69582230155233105</v>
      </c>
      <c r="Z26" s="1">
        <f>X26*W8</f>
        <v>36475.957327135482</v>
      </c>
    </row>
    <row r="27" spans="1:29" thickBot="1" x14ac:dyDescent="0.35">
      <c r="B27" s="1" t="s">
        <v>42</v>
      </c>
      <c r="C27" s="1">
        <f>1-C26</f>
        <v>0.33017762430364428</v>
      </c>
      <c r="E27" s="1">
        <f>C27*B8</f>
        <v>14811.499429420022</v>
      </c>
      <c r="F27" s="1">
        <f>E27/C29</f>
        <v>16.144534378067824</v>
      </c>
      <c r="L27" s="1" t="s">
        <v>42</v>
      </c>
      <c r="M27" s="1">
        <f>1-M26</f>
        <v>0.35862807825385967</v>
      </c>
      <c r="O27" s="1">
        <f>M27*L8</f>
        <v>13572.217557065807</v>
      </c>
      <c r="W27" s="1" t="s">
        <v>42</v>
      </c>
      <c r="X27" s="1">
        <f>1-X26</f>
        <v>0.30417769844766895</v>
      </c>
      <c r="Z27" s="1">
        <f>X27*W8</f>
        <v>15945.411240328025</v>
      </c>
    </row>
    <row r="29" spans="1:29" thickBot="1" x14ac:dyDescent="0.35">
      <c r="C29" s="1">
        <f>1000/1.09</f>
        <v>917.43119266055044</v>
      </c>
    </row>
    <row r="30" spans="1:29" thickBot="1" x14ac:dyDescent="0.35">
      <c r="N30" s="1">
        <f>1000/1.1</f>
        <v>909.09090909090901</v>
      </c>
      <c r="Y30" s="1">
        <f>1000/1.08</f>
        <v>925.92592592592587</v>
      </c>
    </row>
    <row r="32" spans="1:29" thickBot="1" x14ac:dyDescent="0.35">
      <c r="L32" s="1" t="s">
        <v>44</v>
      </c>
      <c r="M32" s="1">
        <f>L8</f>
        <v>37844.826939229592</v>
      </c>
      <c r="W32" s="1" t="s">
        <v>44</v>
      </c>
      <c r="X32" s="1">
        <f>W8</f>
        <v>52421.368567463505</v>
      </c>
    </row>
    <row r="33" spans="12:24" thickBot="1" x14ac:dyDescent="0.35">
      <c r="L33" s="1" t="s">
        <v>45</v>
      </c>
      <c r="M33" s="1">
        <f>N20*F26</f>
        <v>23844.675483801373</v>
      </c>
      <c r="O33" s="1">
        <f>F26*M33</f>
        <v>776915.97723224445</v>
      </c>
      <c r="W33" s="1" t="s">
        <v>45</v>
      </c>
      <c r="X33" s="1">
        <f>Y20*F26</f>
        <v>36933.894727713792</v>
      </c>
    </row>
    <row r="34" spans="12:24" thickBot="1" x14ac:dyDescent="0.35">
      <c r="L34" s="1" t="s">
        <v>46</v>
      </c>
      <c r="M34" s="1">
        <f>N30*F27</f>
        <v>14676.849434607111</v>
      </c>
      <c r="O34" s="1">
        <f>F27*M34</f>
        <v>236950.90025873983</v>
      </c>
      <c r="W34" s="1" t="s">
        <v>46</v>
      </c>
      <c r="X34" s="1">
        <f>Y30*F27</f>
        <v>14948.642942655391</v>
      </c>
    </row>
    <row r="35" spans="12:24" thickBot="1" x14ac:dyDescent="0.35">
      <c r="M35" s="1">
        <f>SUM(M33:M34)</f>
        <v>38521.524918408482</v>
      </c>
      <c r="X35" s="1">
        <f>SUM(X33:X34)</f>
        <v>51882.537670369187</v>
      </c>
    </row>
    <row r="37" spans="12:24" thickBot="1" x14ac:dyDescent="0.35">
      <c r="L37" s="1" t="s">
        <v>50</v>
      </c>
      <c r="M37" s="1">
        <f>M35-M32</f>
        <v>676.69797917889082</v>
      </c>
      <c r="W37" s="1" t="s">
        <v>50</v>
      </c>
      <c r="X37" s="1">
        <f>X35-X32</f>
        <v>-538.83089709431806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8B30-C34E-4A2A-97FF-6BF46D8242FC}">
  <dimension ref="A2:G44"/>
  <sheetViews>
    <sheetView topLeftCell="A10" workbookViewId="0">
      <selection activeCell="G32" sqref="G32:G44"/>
    </sheetView>
  </sheetViews>
  <sheetFormatPr defaultRowHeight="14.4" x14ac:dyDescent="0.3"/>
  <sheetData>
    <row r="2" spans="1:6" x14ac:dyDescent="0.3">
      <c r="A2" t="s">
        <v>60</v>
      </c>
    </row>
    <row r="3" spans="1:6" x14ac:dyDescent="0.3">
      <c r="B3" s="7" t="s">
        <v>55</v>
      </c>
      <c r="C3" s="7" t="s">
        <v>56</v>
      </c>
    </row>
    <row r="4" spans="1:6" x14ac:dyDescent="0.3">
      <c r="A4" t="s">
        <v>57</v>
      </c>
      <c r="B4">
        <v>0.1</v>
      </c>
      <c r="C4">
        <v>0.1</v>
      </c>
    </row>
    <row r="5" spans="1:6" x14ac:dyDescent="0.3">
      <c r="A5" t="s">
        <v>58</v>
      </c>
      <c r="B5">
        <v>100</v>
      </c>
      <c r="C5">
        <v>90</v>
      </c>
    </row>
    <row r="6" spans="1:6" x14ac:dyDescent="0.3">
      <c r="A6" t="s">
        <v>59</v>
      </c>
      <c r="B6">
        <v>3</v>
      </c>
      <c r="C6">
        <v>1</v>
      </c>
    </row>
    <row r="9" spans="1:6" x14ac:dyDescent="0.3">
      <c r="B9" t="s">
        <v>2</v>
      </c>
      <c r="C9" t="s">
        <v>51</v>
      </c>
      <c r="D9" t="s">
        <v>52</v>
      </c>
      <c r="E9" t="s">
        <v>53</v>
      </c>
      <c r="F9" s="4" t="s">
        <v>54</v>
      </c>
    </row>
    <row r="10" spans="1:6" x14ac:dyDescent="0.3">
      <c r="B10">
        <f t="shared" ref="B10:B11" si="0">B11-0.01</f>
        <v>0.05</v>
      </c>
      <c r="C10">
        <f>$B$4*$B$5*(1-(1+B10)^-3)/B10+$B$5/(1+B10)^3</f>
        <v>113.61624014685239</v>
      </c>
      <c r="D10">
        <f>$C$4*$C$5/(1+B10)+$C$5/(1+B10)</f>
        <v>94.285714285714278</v>
      </c>
      <c r="E10">
        <f>C10-D10</f>
        <v>19.330525861138113</v>
      </c>
      <c r="F10" s="6">
        <f t="shared" ref="F10:F13" si="1">E10-$E$15</f>
        <v>9.3305258611381134</v>
      </c>
    </row>
    <row r="11" spans="1:6" x14ac:dyDescent="0.3">
      <c r="B11">
        <f t="shared" si="0"/>
        <v>6.0000000000000005E-2</v>
      </c>
      <c r="C11">
        <f t="shared" ref="C11:C22" si="2">$B$4*$B$5*(1-(1+B11)^-3)/B11+$B$5/(1+B11)^3</f>
        <v>110.69204779784657</v>
      </c>
      <c r="D11">
        <f t="shared" ref="D11:D22" si="3">$C$4*$C$5/(1+B11)+$C$5/(1+B11)</f>
        <v>93.396226415094333</v>
      </c>
      <c r="E11">
        <f t="shared" ref="E11:E22" si="4">C11-D11</f>
        <v>17.295821382752237</v>
      </c>
      <c r="F11" s="6">
        <f t="shared" si="1"/>
        <v>7.2958213827522371</v>
      </c>
    </row>
    <row r="12" spans="1:6" x14ac:dyDescent="0.3">
      <c r="B12">
        <f>B13-0.01</f>
        <v>7.0000000000000007E-2</v>
      </c>
      <c r="C12">
        <f t="shared" si="2"/>
        <v>107.87294813324921</v>
      </c>
      <c r="D12">
        <f t="shared" si="3"/>
        <v>92.523364485981304</v>
      </c>
      <c r="E12">
        <f t="shared" si="4"/>
        <v>15.349583647267906</v>
      </c>
      <c r="F12" s="6">
        <f t="shared" si="1"/>
        <v>5.3495836472679059</v>
      </c>
    </row>
    <row r="13" spans="1:6" x14ac:dyDescent="0.3">
      <c r="B13">
        <v>0.08</v>
      </c>
      <c r="C13">
        <f t="shared" si="2"/>
        <v>105.15419397449575</v>
      </c>
      <c r="D13">
        <f t="shared" si="3"/>
        <v>91.666666666666657</v>
      </c>
      <c r="E13">
        <f t="shared" si="4"/>
        <v>13.487527307829097</v>
      </c>
      <c r="F13" s="6">
        <f t="shared" si="1"/>
        <v>3.4875273078290974</v>
      </c>
    </row>
    <row r="14" spans="1:6" x14ac:dyDescent="0.3">
      <c r="B14">
        <f t="shared" ref="B14:B22" si="5">B13+0.01</f>
        <v>0.09</v>
      </c>
      <c r="C14">
        <f t="shared" si="2"/>
        <v>102.53129466598817</v>
      </c>
      <c r="D14">
        <f t="shared" si="3"/>
        <v>90.825688073394488</v>
      </c>
      <c r="E14">
        <f t="shared" si="4"/>
        <v>11.705606592593682</v>
      </c>
      <c r="F14" s="6">
        <f>E14-$E$15</f>
        <v>1.7056065925936821</v>
      </c>
    </row>
    <row r="15" spans="1:6" x14ac:dyDescent="0.3">
      <c r="B15" s="5">
        <f t="shared" si="5"/>
        <v>9.9999999999999992E-2</v>
      </c>
      <c r="C15">
        <f t="shared" si="2"/>
        <v>100</v>
      </c>
      <c r="D15">
        <f t="shared" si="3"/>
        <v>90</v>
      </c>
      <c r="E15">
        <f t="shared" si="4"/>
        <v>10</v>
      </c>
      <c r="F15" s="5">
        <f t="shared" ref="F15" si="6">E15-$E$15</f>
        <v>0</v>
      </c>
    </row>
    <row r="16" spans="1:6" x14ac:dyDescent="0.3">
      <c r="B16">
        <f t="shared" si="5"/>
        <v>0.10999999999999999</v>
      </c>
      <c r="C16">
        <f t="shared" si="2"/>
        <v>97.556285284554093</v>
      </c>
      <c r="D16">
        <f t="shared" si="3"/>
        <v>89.189189189189207</v>
      </c>
      <c r="E16">
        <f t="shared" si="4"/>
        <v>8.3670960953648859</v>
      </c>
      <c r="F16" s="12">
        <f>E16-E15</f>
        <v>-1.6329039046351141</v>
      </c>
    </row>
    <row r="17" spans="1:7" x14ac:dyDescent="0.3">
      <c r="B17">
        <f t="shared" si="5"/>
        <v>0.11999999999999998</v>
      </c>
      <c r="C17">
        <f t="shared" si="2"/>
        <v>95.196337463556858</v>
      </c>
      <c r="D17">
        <f t="shared" si="3"/>
        <v>88.392857142857153</v>
      </c>
      <c r="E17">
        <f t="shared" si="4"/>
        <v>6.8034803206997054</v>
      </c>
      <c r="F17" s="12">
        <f t="shared" ref="F17:F22" si="7">E17-E16</f>
        <v>-1.5636157746651804</v>
      </c>
    </row>
    <row r="18" spans="1:7" x14ac:dyDescent="0.3">
      <c r="B18">
        <f t="shared" si="5"/>
        <v>0.12999999999999998</v>
      </c>
      <c r="C18">
        <f t="shared" si="2"/>
        <v>92.916542206408366</v>
      </c>
      <c r="D18">
        <f t="shared" si="3"/>
        <v>87.61061946902656</v>
      </c>
      <c r="E18">
        <f t="shared" si="4"/>
        <v>5.3059227373818061</v>
      </c>
      <c r="F18" s="12">
        <f t="shared" si="7"/>
        <v>-1.4975575833178993</v>
      </c>
    </row>
    <row r="19" spans="1:7" x14ac:dyDescent="0.3">
      <c r="B19">
        <f t="shared" si="5"/>
        <v>0.13999999999999999</v>
      </c>
      <c r="C19">
        <f t="shared" si="2"/>
        <v>90.713471891486179</v>
      </c>
      <c r="D19">
        <f t="shared" si="3"/>
        <v>86.842105263157904</v>
      </c>
      <c r="E19">
        <f t="shared" si="4"/>
        <v>3.8713666283282748</v>
      </c>
      <c r="F19" s="12">
        <f t="shared" si="7"/>
        <v>-1.4345561090535313</v>
      </c>
    </row>
    <row r="20" spans="1:7" x14ac:dyDescent="0.3">
      <c r="B20">
        <f t="shared" si="5"/>
        <v>0.15</v>
      </c>
      <c r="C20">
        <f t="shared" si="2"/>
        <v>88.583874414399617</v>
      </c>
      <c r="D20">
        <f t="shared" si="3"/>
        <v>86.086956521739125</v>
      </c>
      <c r="E20">
        <f t="shared" si="4"/>
        <v>2.4969178926604911</v>
      </c>
      <c r="F20" s="12">
        <f t="shared" si="7"/>
        <v>-1.3744487356677837</v>
      </c>
    </row>
    <row r="21" spans="1:7" x14ac:dyDescent="0.3">
      <c r="B21">
        <f t="shared" si="5"/>
        <v>0.16</v>
      </c>
      <c r="C21">
        <f t="shared" si="2"/>
        <v>86.524662757800641</v>
      </c>
      <c r="D21">
        <f t="shared" si="3"/>
        <v>85.344827586206904</v>
      </c>
      <c r="E21">
        <f t="shared" si="4"/>
        <v>1.1798351715937372</v>
      </c>
      <c r="F21" s="12">
        <f t="shared" si="7"/>
        <v>-1.3170827210667539</v>
      </c>
    </row>
    <row r="22" spans="1:7" x14ac:dyDescent="0.3">
      <c r="B22">
        <f t="shared" si="5"/>
        <v>0.17</v>
      </c>
      <c r="C22">
        <f t="shared" si="2"/>
        <v>84.532905264879844</v>
      </c>
      <c r="D22">
        <f t="shared" si="3"/>
        <v>84.615384615384627</v>
      </c>
      <c r="E22">
        <f t="shared" si="4"/>
        <v>-8.2479350504783611E-2</v>
      </c>
      <c r="F22" s="12">
        <f t="shared" si="7"/>
        <v>-1.2623145220985208</v>
      </c>
    </row>
    <row r="24" spans="1:7" x14ac:dyDescent="0.3">
      <c r="A24" t="s">
        <v>61</v>
      </c>
    </row>
    <row r="25" spans="1:7" x14ac:dyDescent="0.3">
      <c r="C25" s="7" t="s">
        <v>55</v>
      </c>
      <c r="D25" s="7" t="s">
        <v>56</v>
      </c>
    </row>
    <row r="26" spans="1:7" x14ac:dyDescent="0.3">
      <c r="B26" t="s">
        <v>57</v>
      </c>
      <c r="C26">
        <v>0.1</v>
      </c>
      <c r="D26">
        <v>0.1</v>
      </c>
    </row>
    <row r="27" spans="1:7" x14ac:dyDescent="0.3">
      <c r="B27" t="s">
        <v>58</v>
      </c>
      <c r="C27">
        <v>100</v>
      </c>
      <c r="D27">
        <v>90</v>
      </c>
    </row>
    <row r="28" spans="1:7" x14ac:dyDescent="0.3">
      <c r="B28" t="s">
        <v>59</v>
      </c>
      <c r="C28">
        <v>3</v>
      </c>
      <c r="D28">
        <v>3</v>
      </c>
    </row>
    <row r="31" spans="1:7" x14ac:dyDescent="0.3">
      <c r="C31" t="s">
        <v>2</v>
      </c>
      <c r="D31" t="s">
        <v>51</v>
      </c>
      <c r="E31" t="s">
        <v>52</v>
      </c>
      <c r="F31" t="s">
        <v>53</v>
      </c>
      <c r="G31" s="4" t="s">
        <v>54</v>
      </c>
    </row>
    <row r="32" spans="1:7" x14ac:dyDescent="0.3">
      <c r="C32">
        <f t="shared" ref="C32:C33" si="8">C33-0.01</f>
        <v>0.05</v>
      </c>
      <c r="D32">
        <f>$B$4*$B$5*(1-(1+C32)^-3)/C32+$B$5/(1+C32)^3</f>
        <v>113.61624014685239</v>
      </c>
      <c r="E32">
        <f>$D$27*$D$26*(1-(1+C32)^-3)/C32+$D$27/(1+C32)^3</f>
        <v>102.25461613216716</v>
      </c>
      <c r="F32">
        <f>D32-E32</f>
        <v>11.361624014685233</v>
      </c>
      <c r="G32" s="6">
        <f t="shared" ref="G32:G35" si="9">F32-$E$15</f>
        <v>1.3616240146852334</v>
      </c>
    </row>
    <row r="33" spans="3:7" x14ac:dyDescent="0.3">
      <c r="C33">
        <f t="shared" si="8"/>
        <v>6.0000000000000005E-2</v>
      </c>
      <c r="D33">
        <f t="shared" ref="D33:D44" si="10">$B$4*$B$5*(1-(1+C33)^-3)/C33+$B$5/(1+C33)^3</f>
        <v>110.69204779784657</v>
      </c>
      <c r="E33">
        <f t="shared" ref="E33:E44" si="11">$D$27*$D$26*(1-(1+C33)^-3)/C33+$D$27/(1+C33)^3</f>
        <v>99.622843018061914</v>
      </c>
      <c r="F33">
        <f t="shared" ref="F33:F44" si="12">D33-E33</f>
        <v>11.069204779784656</v>
      </c>
      <c r="G33" s="6">
        <f t="shared" si="9"/>
        <v>1.0692047797846556</v>
      </c>
    </row>
    <row r="34" spans="3:7" x14ac:dyDescent="0.3">
      <c r="C34">
        <f>C35-0.01</f>
        <v>7.0000000000000007E-2</v>
      </c>
      <c r="D34">
        <f t="shared" si="10"/>
        <v>107.87294813324921</v>
      </c>
      <c r="E34">
        <f t="shared" si="11"/>
        <v>97.08565331992429</v>
      </c>
      <c r="F34">
        <f t="shared" si="12"/>
        <v>10.78729481332492</v>
      </c>
      <c r="G34" s="6">
        <f t="shared" si="9"/>
        <v>0.78729481332491957</v>
      </c>
    </row>
    <row r="35" spans="3:7" x14ac:dyDescent="0.3">
      <c r="C35">
        <v>0.08</v>
      </c>
      <c r="D35">
        <f t="shared" si="10"/>
        <v>105.15419397449575</v>
      </c>
      <c r="E35">
        <f t="shared" si="11"/>
        <v>94.638774577046178</v>
      </c>
      <c r="F35">
        <f t="shared" si="12"/>
        <v>10.515419397449577</v>
      </c>
      <c r="G35" s="6">
        <f t="shared" si="9"/>
        <v>0.51541939744957688</v>
      </c>
    </row>
    <row r="36" spans="3:7" x14ac:dyDescent="0.3">
      <c r="C36">
        <f t="shared" ref="C36:C44" si="13">C35+0.01</f>
        <v>0.09</v>
      </c>
      <c r="D36">
        <f t="shared" si="10"/>
        <v>102.53129466598817</v>
      </c>
      <c r="E36">
        <f t="shared" si="11"/>
        <v>92.278165199389349</v>
      </c>
      <c r="F36">
        <f t="shared" si="12"/>
        <v>10.253129466598821</v>
      </c>
      <c r="G36" s="6">
        <f>F36-$E$15</f>
        <v>0.2531294665988213</v>
      </c>
    </row>
    <row r="37" spans="3:7" x14ac:dyDescent="0.3">
      <c r="C37">
        <f t="shared" si="13"/>
        <v>9.9999999999999992E-2</v>
      </c>
      <c r="D37">
        <f t="shared" si="10"/>
        <v>100</v>
      </c>
      <c r="E37">
        <f t="shared" si="11"/>
        <v>90</v>
      </c>
      <c r="F37">
        <f t="shared" si="12"/>
        <v>10</v>
      </c>
      <c r="G37" s="5">
        <f t="shared" ref="G37" si="14">F37-$E$15</f>
        <v>0</v>
      </c>
    </row>
    <row r="38" spans="3:7" x14ac:dyDescent="0.3">
      <c r="C38">
        <f t="shared" si="13"/>
        <v>0.10999999999999999</v>
      </c>
      <c r="D38">
        <f t="shared" si="10"/>
        <v>97.556285284554093</v>
      </c>
      <c r="E38">
        <f t="shared" si="11"/>
        <v>87.800656756098704</v>
      </c>
      <c r="F38">
        <f t="shared" si="12"/>
        <v>9.7556285284553894</v>
      </c>
      <c r="G38" s="12">
        <f>F38-F37</f>
        <v>-0.24437147154461059</v>
      </c>
    </row>
    <row r="39" spans="3:7" x14ac:dyDescent="0.3">
      <c r="C39">
        <f t="shared" si="13"/>
        <v>0.11999999999999998</v>
      </c>
      <c r="D39">
        <f t="shared" si="10"/>
        <v>95.196337463556858</v>
      </c>
      <c r="E39">
        <f t="shared" si="11"/>
        <v>85.676703717201164</v>
      </c>
      <c r="F39">
        <f t="shared" si="12"/>
        <v>9.5196337463556944</v>
      </c>
      <c r="G39" s="12">
        <f t="shared" ref="G39:G44" si="15">F39-F38</f>
        <v>-0.23599478209969504</v>
      </c>
    </row>
    <row r="40" spans="3:7" x14ac:dyDescent="0.3">
      <c r="C40">
        <f t="shared" si="13"/>
        <v>0.12999999999999998</v>
      </c>
      <c r="D40">
        <f t="shared" si="10"/>
        <v>92.916542206408366</v>
      </c>
      <c r="E40">
        <f t="shared" si="11"/>
        <v>83.624887985767529</v>
      </c>
      <c r="F40">
        <f t="shared" si="12"/>
        <v>9.2916542206408366</v>
      </c>
      <c r="G40" s="12">
        <f t="shared" si="15"/>
        <v>-0.2279795257148578</v>
      </c>
    </row>
    <row r="41" spans="3:7" x14ac:dyDescent="0.3">
      <c r="C41">
        <f t="shared" si="13"/>
        <v>0.13999999999999999</v>
      </c>
      <c r="D41">
        <f t="shared" si="10"/>
        <v>90.713471891486179</v>
      </c>
      <c r="E41">
        <f t="shared" si="11"/>
        <v>81.642124702337568</v>
      </c>
      <c r="F41">
        <f t="shared" si="12"/>
        <v>9.0713471891486108</v>
      </c>
      <c r="G41" s="12">
        <f t="shared" si="15"/>
        <v>-0.22030703149222575</v>
      </c>
    </row>
    <row r="42" spans="3:7" x14ac:dyDescent="0.3">
      <c r="C42">
        <f t="shared" si="13"/>
        <v>0.15</v>
      </c>
      <c r="D42">
        <f t="shared" si="10"/>
        <v>88.583874414399617</v>
      </c>
      <c r="E42">
        <f t="shared" si="11"/>
        <v>79.725486972959658</v>
      </c>
      <c r="F42">
        <f t="shared" si="12"/>
        <v>8.8583874414399588</v>
      </c>
      <c r="G42" s="12">
        <f t="shared" si="15"/>
        <v>-0.212959747708652</v>
      </c>
    </row>
    <row r="43" spans="3:7" x14ac:dyDescent="0.3">
      <c r="C43">
        <f t="shared" si="13"/>
        <v>0.16</v>
      </c>
      <c r="D43">
        <f t="shared" si="10"/>
        <v>86.524662757800641</v>
      </c>
      <c r="E43">
        <f t="shared" si="11"/>
        <v>77.872196482020584</v>
      </c>
      <c r="F43">
        <f t="shared" si="12"/>
        <v>8.652466275780057</v>
      </c>
      <c r="G43" s="12">
        <f t="shared" si="15"/>
        <v>-0.20592116565990182</v>
      </c>
    </row>
    <row r="44" spans="3:7" x14ac:dyDescent="0.3">
      <c r="C44">
        <f t="shared" si="13"/>
        <v>0.17</v>
      </c>
      <c r="D44">
        <f t="shared" si="10"/>
        <v>84.532905264879844</v>
      </c>
      <c r="E44">
        <f t="shared" si="11"/>
        <v>76.079614738391868</v>
      </c>
      <c r="F44">
        <f t="shared" si="12"/>
        <v>8.4532905264879759</v>
      </c>
      <c r="G44" s="12">
        <f t="shared" si="15"/>
        <v>-0.19917574929208115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Durace,Convexita</vt:lpstr>
      <vt:lpstr>Imunizace</vt:lpstr>
      <vt:lpstr>Duration_gap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Luděk Benada</cp:lastModifiedBy>
  <cp:lastPrinted>2023-10-23T13:31:32Z</cp:lastPrinted>
  <dcterms:created xsi:type="dcterms:W3CDTF">2022-10-17T14:29:41Z</dcterms:created>
  <dcterms:modified xsi:type="dcterms:W3CDTF">2023-10-29T08:33:31Z</dcterms:modified>
</cp:coreProperties>
</file>