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76289_muni_cz/Documents/"/>
    </mc:Choice>
  </mc:AlternateContent>
  <xr:revisionPtr revIDLastSave="66" documentId="8_{6A4D3A61-306D-4AD2-AE81-C85AB16E86E8}" xr6:coauthVersionLast="47" xr6:coauthVersionMax="47" xr10:uidLastSave="{08F1B750-45C6-43AA-9194-D5B4EFECEEE2}"/>
  <bookViews>
    <workbookView xWindow="-110" yWindow="-110" windowWidth="38620" windowHeight="21220" xr2:uid="{8C2D3850-BE35-434E-81A7-EC755479DA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F62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F39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F34" i="1"/>
  <c r="E29" i="1"/>
  <c r="E28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F21" i="1"/>
  <c r="V21" i="1" l="1"/>
  <c r="V62" i="1"/>
  <c r="E64" i="1" s="1"/>
  <c r="E42" i="1"/>
  <c r="E66" i="1" s="1"/>
  <c r="E67" i="1" s="1"/>
  <c r="E25" i="1"/>
  <c r="V39" i="1"/>
  <c r="E44" i="1" s="1"/>
  <c r="V34" i="1"/>
  <c r="E43" i="1" s="1"/>
  <c r="M4" i="1"/>
  <c r="M6" i="1" s="1"/>
  <c r="N4" i="1"/>
  <c r="N6" i="1" s="1"/>
  <c r="L4" i="1"/>
  <c r="L6" i="1" s="1"/>
  <c r="B10" i="1"/>
  <c r="F6" i="1" s="1"/>
  <c r="B9" i="1"/>
  <c r="F4" i="1" s="1"/>
  <c r="P6" i="1" l="1"/>
  <c r="E4" i="1"/>
  <c r="G4" i="1"/>
  <c r="P4" i="1"/>
  <c r="E6" i="1"/>
  <c r="E47" i="1"/>
  <c r="E53" i="1" s="1"/>
  <c r="E49" i="1"/>
  <c r="E54" i="1" s="1"/>
  <c r="G6" i="1"/>
  <c r="I6" i="1" l="1"/>
  <c r="M11" i="1"/>
  <c r="M12" i="1" s="1"/>
  <c r="E56" i="1"/>
  <c r="E57" i="1" s="1"/>
  <c r="I4" i="1"/>
  <c r="E11" i="1" s="1"/>
  <c r="E16" i="1" s="1"/>
</calcChain>
</file>

<file path=xl/sharedStrings.xml><?xml version="1.0" encoding="utf-8"?>
<sst xmlns="http://schemas.openxmlformats.org/spreadsheetml/2006/main" count="53" uniqueCount="35">
  <si>
    <t>C</t>
  </si>
  <si>
    <t>c</t>
  </si>
  <si>
    <t>ytm</t>
  </si>
  <si>
    <t>P0</t>
  </si>
  <si>
    <t>FV</t>
  </si>
  <si>
    <t>yield</t>
  </si>
  <si>
    <t>procent</t>
  </si>
  <si>
    <t>PV-</t>
  </si>
  <si>
    <t>PV+</t>
  </si>
  <si>
    <t>AMD</t>
  </si>
  <si>
    <t>t</t>
  </si>
  <si>
    <t>PV CF</t>
  </si>
  <si>
    <t>t * PV CF</t>
  </si>
  <si>
    <t>;+-0,05</t>
  </si>
  <si>
    <t>Maculay durace</t>
  </si>
  <si>
    <t>Modifikovana durace</t>
  </si>
  <si>
    <t>PV C</t>
  </si>
  <si>
    <t>P full</t>
  </si>
  <si>
    <t>ytm+</t>
  </si>
  <si>
    <t>ytm-</t>
  </si>
  <si>
    <t>P +</t>
  </si>
  <si>
    <t>P -</t>
  </si>
  <si>
    <t>P+ full</t>
  </si>
  <si>
    <t>P- full</t>
  </si>
  <si>
    <t>Konvexita</t>
  </si>
  <si>
    <t>Efekt durace</t>
  </si>
  <si>
    <t>Efekt konvexity</t>
  </si>
  <si>
    <t>Oba efekty</t>
  </si>
  <si>
    <t>CF</t>
  </si>
  <si>
    <t>Alternativní možnost výpočtu</t>
  </si>
  <si>
    <t>Změna yieldu</t>
  </si>
  <si>
    <t>Nová cena</t>
  </si>
  <si>
    <t>Skutečná změna ceny</t>
  </si>
  <si>
    <t>Skutečná změna ceny v procentech</t>
  </si>
  <si>
    <t>Skutečná nová cena P 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</si>
</sst>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"/>
    <numFmt numFmtId="165" formatCode="0.00000%"/>
    <numFmt numFmtId="166" formatCode="0.000000%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3" borderId="0" xfId="0" applyFont="1" applyFill="1"/>
    <xf numFmtId="0" fontId="3" fillId="0" borderId="0" xfId="0" applyFont="1"/>
    <xf numFmtId="0" fontId="2" fillId="4" borderId="1" xfId="0" applyFont="1" applyFill="1" applyBorder="1"/>
    <xf numFmtId="0" fontId="2" fillId="4" borderId="2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8" xfId="0" applyFont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166" fontId="2" fillId="2" borderId="4" xfId="1" applyNumberFormat="1" applyFont="1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7" xfId="0" applyFill="1" applyBorder="1"/>
    <xf numFmtId="0" fontId="0" fillId="6" borderId="8" xfId="0" applyFill="1" applyBorder="1"/>
    <xf numFmtId="0" fontId="2" fillId="5" borderId="0" xfId="0" applyFont="1" applyFill="1"/>
    <xf numFmtId="165" fontId="2" fillId="4" borderId="2" xfId="1" applyNumberFormat="1" applyFont="1" applyFill="1" applyBorder="1"/>
    <xf numFmtId="0" fontId="2" fillId="0" borderId="5" xfId="0" applyFont="1" applyBorder="1"/>
    <xf numFmtId="0" fontId="2" fillId="0" borderId="6" xfId="0" applyFont="1" applyBorder="1"/>
    <xf numFmtId="164" fontId="2" fillId="0" borderId="9" xfId="0" applyNumberFormat="1" applyFont="1" applyBorder="1"/>
    <xf numFmtId="0" fontId="2" fillId="0" borderId="9" xfId="0" applyFont="1" applyBorder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328083</xdr:colOff>
      <xdr:row>10</xdr:row>
      <xdr:rowOff>142875</xdr:rowOff>
    </xdr:from>
    <xdr:to>
      <xdr:col>10</xdr:col>
      <xdr:colOff>1143000</xdr:colOff>
      <xdr:row>15</xdr:row>
      <xdr:rowOff>116417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D84F0D7F-B842-4353-97DC-567BE665D889}"/>
            </a:ext>
          </a:extLst>
        </xdr:cNvPr>
        <xdr:cNvCxnSpPr/>
      </xdr:nvCxnSpPr>
      <xdr:spPr>
        <a:xfrm flipV="1">
          <a:off x="4206875" y="1994958"/>
          <a:ext cx="4143375" cy="899584"/>
        </a:xfrm>
        <a:prstGeom prst="straightConnector1">
          <a:avLst/>
        </a:prstGeom>
        <a:ln w="22225">
          <a:solidFill>
            <a:schemeClr val="accent6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83AF4-7268-4044-8437-53B553184B83}">
  <dimension ref="A1:V67"/>
  <sheetViews>
    <sheetView tabSelected="1" topLeftCell="A13" zoomScale="120" zoomScaleNormal="120" workbookViewId="0">
      <selection activeCell="V39" sqref="V39"/>
    </sheetView>
  </sheetViews>
  <sheetFormatPr defaultRowHeight="14.5" x14ac:dyDescent="0.35"/>
  <cols>
    <col min="3" max="3" width="15" bestFit="1" customWidth="1"/>
    <col min="4" max="4" width="14.08984375" bestFit="1" customWidth="1"/>
    <col min="5" max="5" width="12.26953125" bestFit="1" customWidth="1"/>
    <col min="6" max="6" width="12.81640625" customWidth="1"/>
    <col min="11" max="11" width="20" bestFit="1" customWidth="1"/>
    <col min="12" max="12" width="18.7265625" bestFit="1" customWidth="1"/>
    <col min="22" max="22" width="11.7265625" bestFit="1" customWidth="1"/>
  </cols>
  <sheetData>
    <row r="1" spans="1:16" x14ac:dyDescent="0.35">
      <c r="A1" s="10">
        <v>1</v>
      </c>
      <c r="K1" s="11" t="s">
        <v>29</v>
      </c>
    </row>
    <row r="2" spans="1:16" x14ac:dyDescent="0.35">
      <c r="D2" t="s">
        <v>10</v>
      </c>
      <c r="E2">
        <v>1</v>
      </c>
      <c r="F2">
        <v>2</v>
      </c>
      <c r="G2">
        <v>3</v>
      </c>
      <c r="K2" t="s">
        <v>10</v>
      </c>
      <c r="L2">
        <v>1</v>
      </c>
      <c r="M2">
        <v>2</v>
      </c>
      <c r="N2">
        <v>3</v>
      </c>
    </row>
    <row r="3" spans="1:16" x14ac:dyDescent="0.35">
      <c r="A3" t="s">
        <v>1</v>
      </c>
      <c r="B3">
        <v>0.05</v>
      </c>
      <c r="D3" t="s">
        <v>28</v>
      </c>
      <c r="E3">
        <v>5</v>
      </c>
      <c r="F3">
        <v>5</v>
      </c>
      <c r="G3">
        <v>105</v>
      </c>
      <c r="K3" t="s">
        <v>0</v>
      </c>
      <c r="L3">
        <v>5</v>
      </c>
      <c r="M3">
        <v>5</v>
      </c>
      <c r="N3">
        <v>105</v>
      </c>
    </row>
    <row r="4" spans="1:16" x14ac:dyDescent="0.35">
      <c r="A4" t="s">
        <v>2</v>
      </c>
      <c r="B4">
        <v>0.03</v>
      </c>
      <c r="D4" t="s">
        <v>7</v>
      </c>
      <c r="E4">
        <f>E3/(1+$B$9)^E2</f>
        <v>4.8567265662943173</v>
      </c>
      <c r="F4">
        <f t="shared" ref="F4:G4" si="0">F3/(1+$B$9)^F2</f>
        <v>4.7175585879497977</v>
      </c>
      <c r="G4">
        <f t="shared" si="0"/>
        <v>96.229946913011901</v>
      </c>
      <c r="I4" s="1">
        <f>SUM(E4:G4)</f>
        <v>105.80423206725601</v>
      </c>
      <c r="K4" t="s">
        <v>11</v>
      </c>
      <c r="L4">
        <f>L3/(1+$B$4)^L2</f>
        <v>4.8543689320388346</v>
      </c>
      <c r="M4">
        <f t="shared" ref="M4:N4" si="1">M3/(1+$B$4)^M2</f>
        <v>4.7129795456687722</v>
      </c>
      <c r="N4">
        <f t="shared" si="1"/>
        <v>96.089874232081755</v>
      </c>
      <c r="P4" s="1">
        <f>SUM(L4:N4)</f>
        <v>105.65722270978937</v>
      </c>
    </row>
    <row r="5" spans="1:16" x14ac:dyDescent="0.35">
      <c r="A5" t="s">
        <v>3</v>
      </c>
      <c r="B5">
        <v>105.657223</v>
      </c>
    </row>
    <row r="6" spans="1:16" x14ac:dyDescent="0.35">
      <c r="A6" t="s">
        <v>4</v>
      </c>
      <c r="B6">
        <v>100</v>
      </c>
      <c r="D6" t="s">
        <v>8</v>
      </c>
      <c r="E6">
        <f>E3/(1+$B$10)^E2</f>
        <v>4.8520135856380397</v>
      </c>
      <c r="F6">
        <f t="shared" ref="F6:G6" si="2">F3/(1+$B$10)^F2</f>
        <v>4.7084071670432222</v>
      </c>
      <c r="G6">
        <f t="shared" si="2"/>
        <v>95.950073273078772</v>
      </c>
      <c r="I6" s="1">
        <f t="shared" ref="I6" si="3">SUM(E6:G6)</f>
        <v>105.51049402576004</v>
      </c>
      <c r="K6" t="s">
        <v>12</v>
      </c>
      <c r="L6">
        <f>L2*L4</f>
        <v>4.8543689320388346</v>
      </c>
      <c r="M6">
        <f>M2*M4</f>
        <v>9.4259590913375444</v>
      </c>
      <c r="N6">
        <f>N2*N4</f>
        <v>288.26962269624528</v>
      </c>
      <c r="P6" s="1">
        <f>SUM(L6:N6)</f>
        <v>302.54995071962168</v>
      </c>
    </row>
    <row r="7" spans="1:16" x14ac:dyDescent="0.35">
      <c r="A7" t="s">
        <v>5</v>
      </c>
      <c r="B7" t="s">
        <v>13</v>
      </c>
      <c r="C7" t="s">
        <v>6</v>
      </c>
    </row>
    <row r="9" spans="1:16" x14ac:dyDescent="0.35">
      <c r="A9" t="s">
        <v>7</v>
      </c>
      <c r="B9">
        <f>0.03-0.0005</f>
        <v>2.9499999999999998E-2</v>
      </c>
    </row>
    <row r="10" spans="1:16" ht="15" thickBot="1" x14ac:dyDescent="0.4">
      <c r="A10" t="s">
        <v>8</v>
      </c>
      <c r="B10">
        <f>B4+0.0005</f>
        <v>3.0499999999999999E-2</v>
      </c>
    </row>
    <row r="11" spans="1:16" ht="15" thickBot="1" x14ac:dyDescent="0.4">
      <c r="D11" s="12" t="s">
        <v>9</v>
      </c>
      <c r="E11" s="13">
        <f>(I4-I6)/(2*(0.0005)*B5)</f>
        <v>2.7801037463947966</v>
      </c>
      <c r="L11" s="18" t="s">
        <v>14</v>
      </c>
      <c r="M11" s="19">
        <f>P6/P4</f>
        <v>2.8635046706711305</v>
      </c>
    </row>
    <row r="12" spans="1:16" ht="15" thickBot="1" x14ac:dyDescent="0.4">
      <c r="L12" s="20" t="s">
        <v>15</v>
      </c>
      <c r="M12" s="21">
        <f>M11/(1+0.03)</f>
        <v>2.7801016220108061</v>
      </c>
    </row>
    <row r="15" spans="1:16" ht="15" thickBot="1" x14ac:dyDescent="0.4">
      <c r="A15" s="10">
        <v>2</v>
      </c>
    </row>
    <row r="16" spans="1:16" ht="15" thickBot="1" x14ac:dyDescent="0.4">
      <c r="D16" s="12" t="s">
        <v>14</v>
      </c>
      <c r="E16" s="13">
        <f>E11*(1+0.03)</f>
        <v>2.8635068587866406</v>
      </c>
    </row>
    <row r="19" spans="1:22" x14ac:dyDescent="0.35">
      <c r="A19" s="1">
        <v>8</v>
      </c>
      <c r="E19" t="s">
        <v>10</v>
      </c>
      <c r="F19">
        <v>1</v>
      </c>
      <c r="G19">
        <v>2</v>
      </c>
      <c r="H19">
        <v>3</v>
      </c>
      <c r="I19">
        <v>4</v>
      </c>
      <c r="J19">
        <v>5</v>
      </c>
      <c r="K19">
        <v>6</v>
      </c>
      <c r="L19">
        <v>7</v>
      </c>
      <c r="M19">
        <v>8</v>
      </c>
      <c r="N19">
        <v>9</v>
      </c>
      <c r="O19">
        <v>10</v>
      </c>
      <c r="P19">
        <v>11</v>
      </c>
      <c r="Q19">
        <v>12</v>
      </c>
      <c r="R19">
        <v>13</v>
      </c>
      <c r="S19">
        <v>14</v>
      </c>
      <c r="T19">
        <v>15</v>
      </c>
    </row>
    <row r="20" spans="1:22" ht="15" thickBot="1" x14ac:dyDescent="0.4">
      <c r="E20" t="s">
        <v>0</v>
      </c>
      <c r="F20">
        <v>7.25</v>
      </c>
      <c r="G20">
        <v>7.25</v>
      </c>
      <c r="H20">
        <v>7.25</v>
      </c>
      <c r="I20">
        <v>7.25</v>
      </c>
      <c r="J20">
        <v>7.25</v>
      </c>
      <c r="K20">
        <v>7.25</v>
      </c>
      <c r="L20">
        <v>7.25</v>
      </c>
      <c r="M20">
        <v>7.25</v>
      </c>
      <c r="N20">
        <v>7.25</v>
      </c>
      <c r="O20">
        <v>7.25</v>
      </c>
      <c r="P20">
        <v>7.25</v>
      </c>
      <c r="Q20">
        <v>7.25</v>
      </c>
      <c r="R20">
        <v>7.25</v>
      </c>
      <c r="S20">
        <v>7.25</v>
      </c>
      <c r="T20">
        <v>107.25</v>
      </c>
    </row>
    <row r="21" spans="1:22" ht="15" thickBot="1" x14ac:dyDescent="0.4">
      <c r="E21" t="s">
        <v>16</v>
      </c>
      <c r="F21">
        <f>F20/(1+0.0744)^F19</f>
        <v>6.7479523454951602</v>
      </c>
      <c r="G21">
        <f t="shared" ref="G21:T21" si="4">G20/(1+0.0744)^G19</f>
        <v>6.2806704630446379</v>
      </c>
      <c r="H21">
        <f t="shared" si="4"/>
        <v>5.8457468941219641</v>
      </c>
      <c r="I21">
        <f t="shared" si="4"/>
        <v>5.4409408917739794</v>
      </c>
      <c r="J21">
        <f t="shared" si="4"/>
        <v>5.0641668761857579</v>
      </c>
      <c r="K21">
        <f t="shared" si="4"/>
        <v>4.7134836896740113</v>
      </c>
      <c r="L21">
        <f t="shared" si="4"/>
        <v>4.3870845957501965</v>
      </c>
      <c r="M21">
        <f t="shared" si="4"/>
        <v>4.0832879707280307</v>
      </c>
      <c r="N21">
        <f t="shared" si="4"/>
        <v>3.800528639918122</v>
      </c>
      <c r="O21">
        <f t="shared" si="4"/>
        <v>3.5373498137733823</v>
      </c>
      <c r="P21">
        <f t="shared" si="4"/>
        <v>3.2923955824398567</v>
      </c>
      <c r="Q21">
        <f t="shared" si="4"/>
        <v>3.0644039300445423</v>
      </c>
      <c r="R21">
        <f t="shared" si="4"/>
        <v>2.8522002327294693</v>
      </c>
      <c r="S21">
        <f t="shared" si="4"/>
        <v>2.6546912069336086</v>
      </c>
      <c r="T21">
        <f t="shared" si="4"/>
        <v>36.551676887004078</v>
      </c>
      <c r="V21" s="31">
        <f>SUM(F21:T21)</f>
        <v>98.316580019616794</v>
      </c>
    </row>
    <row r="24" spans="1:22" ht="15" thickBot="1" x14ac:dyDescent="0.4"/>
    <row r="25" spans="1:22" ht="15" thickBot="1" x14ac:dyDescent="0.4">
      <c r="D25" s="2" t="s">
        <v>17</v>
      </c>
      <c r="E25" s="3">
        <f>V21*(1+0.0744)^(83/360)</f>
        <v>99.956780012538943</v>
      </c>
    </row>
    <row r="26" spans="1:22" ht="15" thickBot="1" x14ac:dyDescent="0.4"/>
    <row r="27" spans="1:22" x14ac:dyDescent="0.35">
      <c r="D27" s="14" t="s">
        <v>2</v>
      </c>
      <c r="E27" s="15">
        <v>7.4399999999999994E-2</v>
      </c>
    </row>
    <row r="28" spans="1:22" x14ac:dyDescent="0.35">
      <c r="D28" s="29" t="s">
        <v>18</v>
      </c>
      <c r="E28" s="30">
        <f>E27+0.0001</f>
        <v>7.4499999999999997E-2</v>
      </c>
    </row>
    <row r="29" spans="1:22" ht="15" thickBot="1" x14ac:dyDescent="0.4">
      <c r="D29" s="16" t="s">
        <v>19</v>
      </c>
      <c r="E29" s="17">
        <f>E27-0.0001</f>
        <v>7.4299999999999991E-2</v>
      </c>
    </row>
    <row r="32" spans="1:22" x14ac:dyDescent="0.35">
      <c r="D32" s="1" t="s">
        <v>20</v>
      </c>
      <c r="E32" t="s">
        <v>10</v>
      </c>
      <c r="F32">
        <v>1</v>
      </c>
      <c r="G32">
        <v>2</v>
      </c>
      <c r="H32">
        <v>3</v>
      </c>
      <c r="I32">
        <v>4</v>
      </c>
      <c r="J32">
        <v>5</v>
      </c>
      <c r="K32">
        <v>6</v>
      </c>
      <c r="L32">
        <v>7</v>
      </c>
      <c r="M32">
        <v>8</v>
      </c>
      <c r="N32">
        <v>9</v>
      </c>
      <c r="O32">
        <v>10</v>
      </c>
      <c r="P32">
        <v>11</v>
      </c>
      <c r="Q32">
        <v>12</v>
      </c>
      <c r="R32">
        <v>13</v>
      </c>
      <c r="S32">
        <v>14</v>
      </c>
      <c r="T32">
        <v>15</v>
      </c>
    </row>
    <row r="33" spans="4:22" ht="15" thickBot="1" x14ac:dyDescent="0.4">
      <c r="E33" t="s">
        <v>0</v>
      </c>
      <c r="F33">
        <v>7.25</v>
      </c>
      <c r="G33">
        <v>7.25</v>
      </c>
      <c r="H33">
        <v>7.25</v>
      </c>
      <c r="I33">
        <v>7.25</v>
      </c>
      <c r="J33">
        <v>7.25</v>
      </c>
      <c r="K33">
        <v>7.25</v>
      </c>
      <c r="L33">
        <v>7.25</v>
      </c>
      <c r="M33">
        <v>7.25</v>
      </c>
      <c r="N33">
        <v>7.25</v>
      </c>
      <c r="O33">
        <v>7.25</v>
      </c>
      <c r="P33">
        <v>7.25</v>
      </c>
      <c r="Q33">
        <v>7.25</v>
      </c>
      <c r="R33">
        <v>7.25</v>
      </c>
      <c r="S33">
        <v>7.25</v>
      </c>
      <c r="T33">
        <v>107.25</v>
      </c>
    </row>
    <row r="34" spans="4:22" ht="15" thickBot="1" x14ac:dyDescent="0.4">
      <c r="E34" t="s">
        <v>16</v>
      </c>
      <c r="F34">
        <f>F33/(1+0.0745)^F32</f>
        <v>6.747324336900884</v>
      </c>
      <c r="G34">
        <f t="shared" ref="G34:T34" si="5">G33/(1+0.0745)^G32</f>
        <v>6.2795014768737873</v>
      </c>
      <c r="H34">
        <f t="shared" si="5"/>
        <v>5.8441149156573173</v>
      </c>
      <c r="I34">
        <f t="shared" si="5"/>
        <v>5.4389156962841483</v>
      </c>
      <c r="J34">
        <f t="shared" si="5"/>
        <v>5.0618107922607241</v>
      </c>
      <c r="K34">
        <f t="shared" si="5"/>
        <v>4.7108522961942523</v>
      </c>
      <c r="L34">
        <f t="shared" si="5"/>
        <v>4.3842273580216409</v>
      </c>
      <c r="M34">
        <f t="shared" si="5"/>
        <v>4.0802488208670455</v>
      </c>
      <c r="N34">
        <f t="shared" si="5"/>
        <v>3.7973465061582554</v>
      </c>
      <c r="O34">
        <f t="shared" si="5"/>
        <v>3.5340591029858119</v>
      </c>
      <c r="P34">
        <f t="shared" si="5"/>
        <v>3.2890266198099698</v>
      </c>
      <c r="Q34">
        <f t="shared" si="5"/>
        <v>3.0609833595253328</v>
      </c>
      <c r="R34">
        <f t="shared" si="5"/>
        <v>2.8487513815964007</v>
      </c>
      <c r="S34">
        <f t="shared" si="5"/>
        <v>2.6512344174931601</v>
      </c>
      <c r="T34">
        <f t="shared" si="5"/>
        <v>36.500684042443666</v>
      </c>
      <c r="V34" s="32">
        <f>SUM(F34:T34)</f>
        <v>98.229081123072405</v>
      </c>
    </row>
    <row r="37" spans="4:22" x14ac:dyDescent="0.35">
      <c r="D37" s="1" t="s">
        <v>21</v>
      </c>
      <c r="E37" t="s">
        <v>10</v>
      </c>
      <c r="F37">
        <v>1</v>
      </c>
      <c r="G37">
        <v>2</v>
      </c>
      <c r="H37">
        <v>3</v>
      </c>
      <c r="I37">
        <v>4</v>
      </c>
      <c r="J37">
        <v>5</v>
      </c>
      <c r="K37">
        <v>6</v>
      </c>
      <c r="L37">
        <v>7</v>
      </c>
      <c r="M37">
        <v>8</v>
      </c>
      <c r="N37">
        <v>9</v>
      </c>
      <c r="O37">
        <v>10</v>
      </c>
      <c r="P37">
        <v>11</v>
      </c>
      <c r="Q37">
        <v>12</v>
      </c>
      <c r="R37">
        <v>13</v>
      </c>
      <c r="S37">
        <v>14</v>
      </c>
      <c r="T37">
        <v>15</v>
      </c>
    </row>
    <row r="38" spans="4:22" ht="15" thickBot="1" x14ac:dyDescent="0.4">
      <c r="E38" t="s">
        <v>0</v>
      </c>
      <c r="F38">
        <v>7.25</v>
      </c>
      <c r="G38">
        <v>7.25</v>
      </c>
      <c r="H38">
        <v>7.25</v>
      </c>
      <c r="I38">
        <v>7.25</v>
      </c>
      <c r="J38">
        <v>7.25</v>
      </c>
      <c r="K38">
        <v>7.25</v>
      </c>
      <c r="L38">
        <v>7.25</v>
      </c>
      <c r="M38">
        <v>7.25</v>
      </c>
      <c r="N38">
        <v>7.25</v>
      </c>
      <c r="O38">
        <v>7.25</v>
      </c>
      <c r="P38">
        <v>7.25</v>
      </c>
      <c r="Q38">
        <v>7.25</v>
      </c>
      <c r="R38">
        <v>7.25</v>
      </c>
      <c r="S38">
        <v>7.25</v>
      </c>
      <c r="T38">
        <v>107.25</v>
      </c>
    </row>
    <row r="39" spans="4:22" ht="15" thickBot="1" x14ac:dyDescent="0.4">
      <c r="E39" t="s">
        <v>16</v>
      </c>
      <c r="F39">
        <f>F38/(1+0.0743)^F37</f>
        <v>6.7485804710043746</v>
      </c>
      <c r="G39">
        <f t="shared" ref="G39:T39" si="6">G38/(1+0.0743)^G37</f>
        <v>6.2818397756719486</v>
      </c>
      <c r="H39">
        <f t="shared" si="6"/>
        <v>5.8473794802866497</v>
      </c>
      <c r="I39">
        <f t="shared" si="6"/>
        <v>5.4429670299605775</v>
      </c>
      <c r="J39">
        <f t="shared" si="6"/>
        <v>5.0665242762362261</v>
      </c>
      <c r="K39">
        <f t="shared" si="6"/>
        <v>4.7161167981348093</v>
      </c>
      <c r="L39">
        <f t="shared" si="6"/>
        <v>4.3899439617749314</v>
      </c>
      <c r="M39">
        <f t="shared" si="6"/>
        <v>4.0863296674810856</v>
      </c>
      <c r="N39">
        <f t="shared" si="6"/>
        <v>3.8037137368342977</v>
      </c>
      <c r="O39">
        <f t="shared" si="6"/>
        <v>3.5406438954056569</v>
      </c>
      <c r="P39">
        <f t="shared" si="6"/>
        <v>3.2957683099745476</v>
      </c>
      <c r="Q39">
        <f t="shared" si="6"/>
        <v>3.0678286418826652</v>
      </c>
      <c r="R39">
        <f t="shared" si="6"/>
        <v>2.8556535808272039</v>
      </c>
      <c r="S39">
        <f t="shared" si="6"/>
        <v>2.6581528258654039</v>
      </c>
      <c r="T39">
        <f t="shared" si="6"/>
        <v>36.602745726848866</v>
      </c>
      <c r="V39" s="32">
        <f>SUM(F39:T39)</f>
        <v>98.404188178189244</v>
      </c>
    </row>
    <row r="41" spans="4:22" ht="15" thickBot="1" x14ac:dyDescent="0.4"/>
    <row r="42" spans="4:22" x14ac:dyDescent="0.35">
      <c r="D42" s="4" t="s">
        <v>17</v>
      </c>
      <c r="E42" s="5">
        <f>V21*(1+0.0744)^(83/360)</f>
        <v>99.956780012538943</v>
      </c>
    </row>
    <row r="43" spans="4:22" x14ac:dyDescent="0.35">
      <c r="D43" s="6" t="s">
        <v>22</v>
      </c>
      <c r="E43" s="7">
        <f>V34*(1+0.0745)^(83/360)</f>
        <v>99.869964373106171</v>
      </c>
    </row>
    <row r="44" spans="4:22" ht="15" thickBot="1" x14ac:dyDescent="0.4">
      <c r="D44" s="8" t="s">
        <v>23</v>
      </c>
      <c r="E44" s="9">
        <f>V39*(1+0.0743)^(83/360)</f>
        <v>100.04370276287493</v>
      </c>
    </row>
    <row r="46" spans="4:22" ht="15" thickBot="1" x14ac:dyDescent="0.4"/>
    <row r="47" spans="4:22" ht="15" thickBot="1" x14ac:dyDescent="0.4">
      <c r="D47" s="2" t="s">
        <v>9</v>
      </c>
      <c r="E47" s="3">
        <f>(E44-E43)/(2*E42*0.0001)</f>
        <v>8.690675597341345</v>
      </c>
    </row>
    <row r="48" spans="4:22" ht="15" thickBot="1" x14ac:dyDescent="0.4"/>
    <row r="49" spans="4:22" ht="15" thickBot="1" x14ac:dyDescent="0.4">
      <c r="D49" s="2" t="s">
        <v>24</v>
      </c>
      <c r="E49" s="3">
        <f>(E43+E44-2*E42)/(E42*0.0001^2)</f>
        <v>107.15721653669713</v>
      </c>
    </row>
    <row r="51" spans="4:22" x14ac:dyDescent="0.35">
      <c r="D51" s="27" t="s">
        <v>30</v>
      </c>
      <c r="E51" s="27">
        <v>0.01</v>
      </c>
    </row>
    <row r="52" spans="4:22" ht="15" thickBot="1" x14ac:dyDescent="0.4"/>
    <row r="53" spans="4:22" x14ac:dyDescent="0.35">
      <c r="D53" s="23" t="s">
        <v>25</v>
      </c>
      <c r="E53" s="24">
        <f>-E47*E51</f>
        <v>-8.6906755973413449E-2</v>
      </c>
    </row>
    <row r="54" spans="4:22" ht="15" thickBot="1" x14ac:dyDescent="0.4">
      <c r="D54" s="25" t="s">
        <v>26</v>
      </c>
      <c r="E54" s="26">
        <f>0.5*E49*0.01^2</f>
        <v>5.3578608268348574E-3</v>
      </c>
    </row>
    <row r="55" spans="4:22" ht="15" thickBot="1" x14ac:dyDescent="0.4"/>
    <row r="56" spans="4:22" x14ac:dyDescent="0.35">
      <c r="D56" s="4" t="s">
        <v>27</v>
      </c>
      <c r="E56" s="22">
        <f>E53+E54</f>
        <v>-8.1548895146578593E-2</v>
      </c>
    </row>
    <row r="57" spans="4:22" ht="15" thickBot="1" x14ac:dyDescent="0.4">
      <c r="D57" s="8" t="s">
        <v>31</v>
      </c>
      <c r="E57" s="9">
        <f>E42*(1+E56)</f>
        <v>91.80541504010678</v>
      </c>
    </row>
    <row r="60" spans="4:22" x14ac:dyDescent="0.35">
      <c r="D60" s="1" t="s">
        <v>32</v>
      </c>
      <c r="E60" t="s">
        <v>10</v>
      </c>
      <c r="F60">
        <v>1</v>
      </c>
      <c r="G60">
        <v>2</v>
      </c>
      <c r="H60">
        <v>3</v>
      </c>
      <c r="I60">
        <v>4</v>
      </c>
      <c r="J60">
        <v>5</v>
      </c>
      <c r="K60">
        <v>6</v>
      </c>
      <c r="L60">
        <v>7</v>
      </c>
      <c r="M60">
        <v>8</v>
      </c>
      <c r="N60">
        <v>9</v>
      </c>
      <c r="O60">
        <v>10</v>
      </c>
      <c r="P60">
        <v>11</v>
      </c>
      <c r="Q60">
        <v>12</v>
      </c>
      <c r="R60">
        <v>13</v>
      </c>
      <c r="S60">
        <v>14</v>
      </c>
      <c r="T60">
        <v>15</v>
      </c>
    </row>
    <row r="61" spans="4:22" x14ac:dyDescent="0.35">
      <c r="E61" t="s">
        <v>0</v>
      </c>
      <c r="F61">
        <v>7.25</v>
      </c>
      <c r="G61">
        <v>7.25</v>
      </c>
      <c r="H61">
        <v>7.25</v>
      </c>
      <c r="I61">
        <v>7.25</v>
      </c>
      <c r="J61">
        <v>7.25</v>
      </c>
      <c r="K61">
        <v>7.25</v>
      </c>
      <c r="L61">
        <v>7.25</v>
      </c>
      <c r="M61">
        <v>7.25</v>
      </c>
      <c r="N61">
        <v>7.25</v>
      </c>
      <c r="O61">
        <v>7.25</v>
      </c>
      <c r="P61">
        <v>7.25</v>
      </c>
      <c r="Q61">
        <v>7.25</v>
      </c>
      <c r="R61">
        <v>7.25</v>
      </c>
      <c r="S61">
        <v>7.25</v>
      </c>
      <c r="T61">
        <v>107.25</v>
      </c>
    </row>
    <row r="62" spans="4:22" x14ac:dyDescent="0.35">
      <c r="E62" t="s">
        <v>16</v>
      </c>
      <c r="F62">
        <f>F61/(1+0.0844)^F60</f>
        <v>6.6857248247879006</v>
      </c>
      <c r="G62">
        <f t="shared" ref="G62:T62" si="7">G61/(1+0.0844)^G60</f>
        <v>6.1653677838324423</v>
      </c>
      <c r="H62">
        <f t="shared" si="7"/>
        <v>5.6855106822505004</v>
      </c>
      <c r="I62">
        <f t="shared" si="7"/>
        <v>5.243001366885375</v>
      </c>
      <c r="J62">
        <f t="shared" si="7"/>
        <v>4.8349330199975782</v>
      </c>
      <c r="K62">
        <f t="shared" si="7"/>
        <v>4.4586250645495928</v>
      </c>
      <c r="L62">
        <f t="shared" si="7"/>
        <v>4.1116055556525204</v>
      </c>
      <c r="M62">
        <f t="shared" si="7"/>
        <v>3.7915949425050908</v>
      </c>
      <c r="N62">
        <f t="shared" si="7"/>
        <v>3.4964910941581437</v>
      </c>
      <c r="O62">
        <f t="shared" si="7"/>
        <v>3.2243554907397116</v>
      </c>
      <c r="P62">
        <f t="shared" si="7"/>
        <v>2.9734004894316781</v>
      </c>
      <c r="Q62">
        <f t="shared" si="7"/>
        <v>2.7419775815489471</v>
      </c>
      <c r="R62">
        <f t="shared" si="7"/>
        <v>2.5285665635825771</v>
      </c>
      <c r="S62">
        <f t="shared" si="7"/>
        <v>2.3317655510720927</v>
      </c>
      <c r="T62">
        <f t="shared" si="7"/>
        <v>31.809340662242192</v>
      </c>
      <c r="V62">
        <f>SUM(F62:T62)</f>
        <v>90.082260673236348</v>
      </c>
    </row>
    <row r="63" spans="4:22" ht="15" thickBot="1" x14ac:dyDescent="0.4"/>
    <row r="64" spans="4:22" ht="15" thickBot="1" x14ac:dyDescent="0.4">
      <c r="D64" s="2" t="s">
        <v>34</v>
      </c>
      <c r="E64" s="3">
        <f>V62*(1+0.0844)^(83/360)</f>
        <v>91.780921401629769</v>
      </c>
    </row>
    <row r="66" spans="4:5" ht="15" thickBot="1" x14ac:dyDescent="0.4">
      <c r="E66">
        <f>E64-E42</f>
        <v>-8.1758586109091738</v>
      </c>
    </row>
    <row r="67" spans="4:5" ht="15" thickBot="1" x14ac:dyDescent="0.4">
      <c r="D67" s="12" t="s">
        <v>33</v>
      </c>
      <c r="E67" s="28">
        <f>E66/E42</f>
        <v>-8.1793937438596601E-2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Vágnerová Linnertová</dc:creator>
  <cp:lastModifiedBy>Dagmar Vágnerová Linnertová</cp:lastModifiedBy>
  <dcterms:created xsi:type="dcterms:W3CDTF">2023-10-24T06:08:39Z</dcterms:created>
  <dcterms:modified xsi:type="dcterms:W3CDTF">2023-10-24T08:24:54Z</dcterms:modified>
</cp:coreProperties>
</file>