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ento_sešit"/>
  <mc:AlternateContent xmlns:mc="http://schemas.openxmlformats.org/markup-compatibility/2006">
    <mc:Choice Requires="x15">
      <x15ac:absPath xmlns:x15ac="http://schemas.microsoft.com/office/spreadsheetml/2010/11/ac" url="https://ucnmuni-my.sharepoint.com/personal/22310_muni_cz/Documents/"/>
    </mc:Choice>
  </mc:AlternateContent>
  <xr:revisionPtr revIDLastSave="0" documentId="8_{CEFE1B7C-5332-401E-BF62-A5B7FF07074C}" xr6:coauthVersionLast="46" xr6:coauthVersionMax="46" xr10:uidLastSave="{00000000-0000-0000-0000-000000000000}"/>
  <bookViews>
    <workbookView xWindow="-18120" yWindow="-11205" windowWidth="18240" windowHeight="28440" xr2:uid="{00000000-000D-0000-FFFF-FFFF00000000}"/>
  </bookViews>
  <sheets>
    <sheet name="Specification" sheetId="1" r:id="rId1"/>
    <sheet name="Gardener" sheetId="4" r:id="rId2"/>
    <sheet name="Gardener-solution" sheetId="11" r:id="rId3"/>
    <sheet name="Separately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4" l="1"/>
  <c r="D18" i="4"/>
  <c r="F20" i="4"/>
  <c r="D20" i="4"/>
  <c r="E21" i="1" l="1"/>
  <c r="D21" i="1"/>
  <c r="D37" i="11"/>
  <c r="F29" i="11"/>
  <c r="D29" i="11"/>
  <c r="F26" i="11"/>
  <c r="F51" i="11" s="1"/>
  <c r="D26" i="11"/>
  <c r="D51" i="11" s="1"/>
  <c r="G20" i="11"/>
  <c r="G14" i="11"/>
  <c r="G22" i="11" s="1"/>
  <c r="D38" i="11" s="1"/>
  <c r="G13" i="11"/>
  <c r="G21" i="11" s="1"/>
  <c r="G12" i="11"/>
  <c r="G11" i="11"/>
  <c r="G19" i="11" s="1"/>
  <c r="D35" i="11" s="1"/>
  <c r="F11" i="9"/>
  <c r="F10" i="9"/>
  <c r="F9" i="9"/>
  <c r="G14" i="4"/>
  <c r="G13" i="4"/>
  <c r="G12" i="4"/>
  <c r="G11" i="4"/>
  <c r="F10" i="11"/>
  <c r="G10" i="11" s="1"/>
  <c r="G18" i="11" s="1"/>
  <c r="G43" i="11" s="1"/>
  <c r="E9" i="11"/>
  <c r="G9" i="11" s="1"/>
  <c r="D9" i="11"/>
  <c r="D18" i="11" s="1"/>
  <c r="D43" i="11" s="1"/>
  <c r="E7" i="11"/>
  <c r="G6" i="11"/>
  <c r="D7" i="9"/>
  <c r="F10" i="4"/>
  <c r="E9" i="4"/>
  <c r="E18" i="4" s="1"/>
  <c r="D9" i="4"/>
  <c r="E7" i="4"/>
  <c r="D33" i="1"/>
  <c r="D5" i="9"/>
  <c r="D2" i="1"/>
  <c r="G6" i="4"/>
  <c r="G9" i="4"/>
  <c r="F5" i="9"/>
  <c r="I19" i="4" l="1"/>
  <c r="D36" i="11"/>
  <c r="G10" i="4"/>
  <c r="E29" i="11"/>
  <c r="H26" i="4"/>
  <c r="E20" i="4"/>
  <c r="F13" i="9"/>
  <c r="E26" i="11"/>
  <c r="E51" i="11" s="1"/>
  <c r="G26" i="11"/>
  <c r="G23" i="11"/>
  <c r="G24" i="11" s="1"/>
  <c r="I19" i="11"/>
  <c r="E18" i="11"/>
  <c r="E43" i="11" s="1"/>
  <c r="G8" i="11"/>
  <c r="F18" i="11"/>
  <c r="F43" i="11" s="1"/>
  <c r="G8" i="4"/>
  <c r="E36" i="11" l="1"/>
  <c r="F36" i="11" s="1"/>
  <c r="H36" i="11" s="1"/>
  <c r="E40" i="11"/>
  <c r="G51" i="11"/>
  <c r="G25" i="11"/>
  <c r="I21" i="11"/>
  <c r="I22" i="11"/>
  <c r="E19" i="4"/>
  <c r="F19" i="4"/>
  <c r="D19" i="4"/>
  <c r="I20" i="11"/>
  <c r="D19" i="11"/>
  <c r="F19" i="11"/>
  <c r="E19" i="11"/>
  <c r="G27" i="11" l="1"/>
  <c r="G50" i="11"/>
  <c r="G52" i="11" s="1"/>
  <c r="F20" i="11"/>
  <c r="D20" i="11"/>
  <c r="E20" i="11"/>
  <c r="D22" i="11"/>
  <c r="F22" i="11"/>
  <c r="E22" i="11"/>
  <c r="E37" i="11"/>
  <c r="F37" i="11" s="1"/>
  <c r="E35" i="11"/>
  <c r="F35" i="11" s="1"/>
  <c r="E38" i="11"/>
  <c r="F38" i="11" s="1"/>
  <c r="F23" i="11"/>
  <c r="F24" i="11" s="1"/>
  <c r="F25" i="11" s="1"/>
  <c r="F27" i="11" s="1"/>
  <c r="F21" i="11"/>
  <c r="D21" i="11"/>
  <c r="D23" i="11" s="1"/>
  <c r="D24" i="11" s="1"/>
  <c r="D25" i="11" s="1"/>
  <c r="D27" i="11" s="1"/>
  <c r="E21" i="11"/>
  <c r="E23" i="11" s="1"/>
  <c r="E24" i="11" s="1"/>
  <c r="E25" i="11" s="1"/>
  <c r="E27" i="11" s="1"/>
  <c r="H37" i="11" l="1"/>
  <c r="G40" i="11"/>
  <c r="G37" i="11"/>
  <c r="G35" i="11" l="1"/>
  <c r="H35" i="11" s="1"/>
  <c r="G38" i="11"/>
  <c r="H38" i="11" s="1"/>
  <c r="G47" i="11" s="1"/>
  <c r="I47" i="11" s="1"/>
  <c r="F47" i="11" l="1"/>
  <c r="D47" i="11"/>
  <c r="E47" i="11"/>
  <c r="G44" i="11"/>
  <c r="H40" i="11"/>
  <c r="G48" i="11" l="1"/>
  <c r="G49" i="11" s="1"/>
  <c r="I44" i="11"/>
  <c r="E44" i="11" l="1"/>
  <c r="E48" i="11" s="1"/>
  <c r="E49" i="11" s="1"/>
  <c r="E50" i="11" s="1"/>
  <c r="E52" i="11" s="1"/>
  <c r="F44" i="11"/>
  <c r="F48" i="11" s="1"/>
  <c r="F49" i="11" s="1"/>
  <c r="F50" i="11" s="1"/>
  <c r="F52" i="11" s="1"/>
  <c r="D44" i="11"/>
  <c r="D48" i="11" s="1"/>
  <c r="D49" i="11" s="1"/>
  <c r="D50" i="11" s="1"/>
  <c r="D52" i="11" s="1"/>
</calcChain>
</file>

<file path=xl/sharedStrings.xml><?xml version="1.0" encoding="utf-8"?>
<sst xmlns="http://schemas.openxmlformats.org/spreadsheetml/2006/main" count="314" uniqueCount="127">
  <si>
    <t>2.</t>
  </si>
  <si>
    <t xml:space="preserve">A. </t>
  </si>
  <si>
    <t xml:space="preserve">3. </t>
  </si>
  <si>
    <t xml:space="preserve">4. </t>
  </si>
  <si>
    <t xml:space="preserve">B. </t>
  </si>
  <si>
    <t xml:space="preserve">C. </t>
  </si>
  <si>
    <t>Profi s.r.o.</t>
  </si>
  <si>
    <t>Audit</t>
  </si>
  <si>
    <t>x</t>
  </si>
  <si>
    <t xml:space="preserve">  ROS</t>
  </si>
  <si>
    <t>IT</t>
  </si>
  <si>
    <t>Admin</t>
  </si>
  <si>
    <t>% Admin=</t>
  </si>
  <si>
    <t>Use cell references in your formulas instead of copying or copying values.</t>
  </si>
  <si>
    <t>DO NOT round decimal Excel results to whole units in ALL EXCEL CALCULATIONS!!!</t>
  </si>
  <si>
    <t>Solved tasks</t>
  </si>
  <si>
    <t xml:space="preserve">Refine the calculation from item 1 by using a multi-stage allocation in which you first reallocate service unit costs according to the following allocation keys: </t>
  </si>
  <si>
    <t xml:space="preserve">Corporation Garner ltd. sells three main product groups - robotic lawn mowers, small tractors and provides service for both. </t>
  </si>
  <si>
    <t>Allocation driver = m2</t>
  </si>
  <si>
    <t>Alocation driver = number of persons</t>
  </si>
  <si>
    <t>Receiving centre</t>
  </si>
  <si>
    <t>Canteen</t>
  </si>
  <si>
    <t>Rental</t>
  </si>
  <si>
    <t>Management and administration</t>
  </si>
  <si>
    <t>Separate task</t>
  </si>
  <si>
    <t>Korporace Profi s.r.o. provides two types of consulting services - audit and tax consulting. A summary of its costs for the past reporting period is summarized in the "Separate" sheet.</t>
  </si>
  <si>
    <t>On the sheet "Separately", prepare a costing for 1 hour of consulting services of Profi Ltd. Allocate the indirect costs using a one-step allocation.</t>
  </si>
  <si>
    <t xml:space="preserve">Refine the calculation from step 1 using a multi-stage allocation, first reallocating the costs of the service units according to the following allocation keys: </t>
  </si>
  <si>
    <t>supplier</t>
  </si>
  <si>
    <t>receiving (customer)</t>
  </si>
  <si>
    <t>Gardener ltd.</t>
  </si>
  <si>
    <t>Basic data</t>
  </si>
  <si>
    <t>Resulting costing with one-step allocation</t>
  </si>
  <si>
    <t>Lawn mowers</t>
  </si>
  <si>
    <t>Small tractors</t>
  </si>
  <si>
    <t>Service</t>
  </si>
  <si>
    <t>Total</t>
  </si>
  <si>
    <t>Sales volume</t>
  </si>
  <si>
    <t>Number of offers made to prospective buyers</t>
  </si>
  <si>
    <t>Average selling price</t>
  </si>
  <si>
    <t>Costs:</t>
  </si>
  <si>
    <t>Cost of goods sold</t>
  </si>
  <si>
    <t>Purchased services</t>
  </si>
  <si>
    <t>Indirect costs of the "Sales" centre</t>
  </si>
  <si>
    <t>Indirect costs of the "Rent" centre</t>
  </si>
  <si>
    <t>Indirect costs of the "Management and admin" centre</t>
  </si>
  <si>
    <t>Sales</t>
  </si>
  <si>
    <t>Indirect costs of the "Canteen" centre</t>
  </si>
  <si>
    <t>Lawn mowers (1 piece)</t>
  </si>
  <si>
    <t>Small tractors (1 piece)</t>
  </si>
  <si>
    <t>Service (1 hour)</t>
  </si>
  <si>
    <t>Notes</t>
  </si>
  <si>
    <t>Allocation base</t>
  </si>
  <si>
    <t>piece</t>
  </si>
  <si>
    <t>hours</t>
  </si>
  <si>
    <t>numer of offers made</t>
  </si>
  <si>
    <t>revenues</t>
  </si>
  <si>
    <t>Direct costs</t>
  </si>
  <si>
    <t>Indirect costs - "Sales"</t>
  </si>
  <si>
    <t>Indirect costs - "Rent"</t>
  </si>
  <si>
    <t>Indirect costs - "Cantina"</t>
  </si>
  <si>
    <t>Indirect costs - "Management and admin"</t>
  </si>
  <si>
    <t>Total indirect costs</t>
  </si>
  <si>
    <t>Total costs</t>
  </si>
  <si>
    <t>Profit</t>
  </si>
  <si>
    <t>Selling price</t>
  </si>
  <si>
    <t>EUR/offer</t>
  </si>
  <si>
    <t xml:space="preserve">% rent = </t>
  </si>
  <si>
    <t xml:space="preserve">% canteen= </t>
  </si>
  <si>
    <t>A. rate =</t>
  </si>
  <si>
    <t>additional</t>
  </si>
  <si>
    <t xml:space="preserve">   A.  Indirect c. "Sales" by type of performance</t>
  </si>
  <si>
    <t>Multi-stage allocation (=reallocation) of costs and their resulting costing per unit of output</t>
  </si>
  <si>
    <t>Step-down allocation (=reallocation) of costs and their resulting costing per unit of output</t>
  </si>
  <si>
    <t>Reallocation of DIRECT COSTS:</t>
  </si>
  <si>
    <t>Reallocation of INDIRECT COSTS:</t>
  </si>
  <si>
    <t>Departmental indirect cost before allocation</t>
  </si>
  <si>
    <t>1st reallocation</t>
  </si>
  <si>
    <t>2nd reallocation</t>
  </si>
  <si>
    <t>Indirect cost</t>
  </si>
  <si>
    <t>Service cost - Rent</t>
  </si>
  <si>
    <t>Service cost Canteen</t>
  </si>
  <si>
    <t>Rent</t>
  </si>
  <si>
    <t>Management and admin</t>
  </si>
  <si>
    <t>Sum</t>
  </si>
  <si>
    <t>after 1 st reallocation</t>
  </si>
  <si>
    <t>after 2nd realoccation</t>
  </si>
  <si>
    <t>Total invoiced performance per month</t>
  </si>
  <si>
    <t xml:space="preserve">Selling price </t>
  </si>
  <si>
    <t>Indirect costs</t>
  </si>
  <si>
    <t>Indirect costs of the 'Facilities Management' centre</t>
  </si>
  <si>
    <t>Indirect costs of the "IT" centre</t>
  </si>
  <si>
    <t>Indirect costs of the "Operations" centre</t>
  </si>
  <si>
    <t>Indirect costs of the "Admin" centre</t>
  </si>
  <si>
    <t>Resulting cost calculation with one-step allocation</t>
  </si>
  <si>
    <t>Indirect costs - "Facilities Management"</t>
  </si>
  <si>
    <t>Indirect costs - "IT"</t>
  </si>
  <si>
    <t>Indirect costs - "Operations"</t>
  </si>
  <si>
    <t>Indirect costs - "Admin"</t>
  </si>
  <si>
    <t>Operations</t>
  </si>
  <si>
    <t>Amount</t>
  </si>
  <si>
    <t>Taxes</t>
  </si>
  <si>
    <t>direct costs</t>
  </si>
  <si>
    <t xml:space="preserve">invoiced hours </t>
  </si>
  <si>
    <t>Total indirect cost</t>
  </si>
  <si>
    <t>Primary indirect cost</t>
  </si>
  <si>
    <t xml:space="preserve">1st real stage </t>
  </si>
  <si>
    <t>2nd real stage</t>
  </si>
  <si>
    <t>after 1st real.</t>
  </si>
  <si>
    <t>after the 2nd real.</t>
  </si>
  <si>
    <t>Secondary - IT</t>
  </si>
  <si>
    <t>Audit (1 hour)</t>
  </si>
  <si>
    <t>Note</t>
  </si>
  <si>
    <t>Facility management</t>
  </si>
  <si>
    <t>Facility man.</t>
  </si>
  <si>
    <t>Facility</t>
  </si>
  <si>
    <t>Cost driver = m2</t>
  </si>
  <si>
    <t>Cost driver - numer of connection points</t>
  </si>
  <si>
    <t>rate</t>
  </si>
  <si>
    <t>Tax (1 hour)</t>
  </si>
  <si>
    <t>Audit (1 hours.)</t>
  </si>
  <si>
    <t>Tax (1 hour.)</t>
  </si>
  <si>
    <t>Secondary - Facility</t>
  </si>
  <si>
    <t>number of offers made</t>
  </si>
  <si>
    <t>pieces</t>
  </si>
  <si>
    <t>Delivering centre</t>
  </si>
  <si>
    <t>1. In item B. on the "Gardener" worksheet, prepare a unit costing for each type of product. Use a simple 2-stage overhead rate allocation.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</si>
</sst>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164" formatCode="_(&quot;Kč&quot;* #,##0.00_);_(&quot;Kč&quot;* \(#,##0.00\);_(&quot;Kč&quot;* &quot;-&quot;??_);_(@_)"/>
    <numFmt numFmtId="165" formatCode="_-* #,##0.00\ _K_č_-;\-* #,##0.00\ _K_č_-;_-* &quot;-&quot;??\ _K_č_-;_-@_-"/>
    <numFmt numFmtId="166" formatCode="_-* #,##0\ &quot;Kč&quot;_-;\-* #,##0\ &quot;Kč&quot;_-;_-* &quot;-&quot;??\ &quot;Kč&quot;_-;_-@_-"/>
    <numFmt numFmtId="167" formatCode="#,##0.0_);\(#,##0.0\)"/>
    <numFmt numFmtId="168" formatCode="#,##0.0"/>
    <numFmt numFmtId="169" formatCode="#,##0.0;\-#,##0.0"/>
    <numFmt numFmtId="170" formatCode="_-* #,##0\ [$Kč-405]_-;\-* #,##0\ [$Kč-405]_-;_-* &quot;-&quot;??\ [$Kč-405]_-;_-@_-"/>
    <numFmt numFmtId="171" formatCode="#,##0&quot; min.&quot;"/>
    <numFmt numFmtId="172" formatCode="0.0%"/>
    <numFmt numFmtId="173" formatCode="#,##0&quot; kg&quot;"/>
    <numFmt numFmtId="174" formatCode="#,##0&quot; Kč&quot;"/>
    <numFmt numFmtId="175" formatCode="#,##0&quot; km&quot;"/>
    <numFmt numFmtId="176" formatCode="#,##0.00&quot; m2&quot;"/>
    <numFmt numFmtId="177" formatCode="#,##0.00&quot; Kč/m2&quot;"/>
    <numFmt numFmtId="178" formatCode="#,##0&quot; osob&quot;"/>
    <numFmt numFmtId="179" formatCode="#,##0&quot; Kč/os.&quot;"/>
    <numFmt numFmtId="180" formatCode="#,##0&quot; persons&quot;"/>
    <numFmt numFmtId="181" formatCode="#,##0&quot; pcs&quot;"/>
    <numFmt numFmtId="182" formatCode="#,##0&quot; hours&quot;"/>
    <numFmt numFmtId="183" formatCode="#,##0&quot; EUR/pc.&quot;"/>
    <numFmt numFmtId="184" formatCode="#,##0&quot; EUR/hour&quot;"/>
    <numFmt numFmtId="185" formatCode="#,##0\ [$EUR]"/>
    <numFmt numFmtId="186" formatCode="_-* #,##0.00\ [$EUR]_-;\-* #,##0.00\ [$EUR]_-;_-* &quot;-&quot;??\ [$EUR]_-;_-@_-"/>
    <numFmt numFmtId="187" formatCode="#,##0.00&quot; EUR/hour&quot;"/>
    <numFmt numFmtId="188" formatCode="#,##0\ [$EUR];\-#,##0\ [$EUR]"/>
    <numFmt numFmtId="189" formatCode="#,##0.00&quot; EUR/pc.&quot;"/>
    <numFmt numFmtId="190" formatCode="_-* #,##0\ [$EUR]_-;\-* #,##0\ [$EUR]_-;_-* &quot;-&quot;\ [$EUR]_-;_-@_-"/>
    <numFmt numFmtId="191" formatCode="#,##0.00&quot; EUR/m2&quot;"/>
    <numFmt numFmtId="192" formatCode="#,##0&quot; EUR/pers.&quot;"/>
    <numFmt numFmtId="193" formatCode="#,##0.00&quot; EUR/offer&quot;"/>
  </numFmts>
  <fonts count="20" x14ac:knownFonts="1">
    <font>
      <sz val="10"/>
      <name val="Arial CE"/>
      <charset val="238"/>
    </font>
    <font>
      <sz val="10"/>
      <name val="Arial CE"/>
      <charset val="238"/>
    </font>
    <font>
      <b/>
      <sz val="20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sz val="8"/>
      <color indexed="18"/>
      <name val="Arial CE"/>
      <family val="2"/>
      <charset val="238"/>
    </font>
    <font>
      <b/>
      <sz val="8"/>
      <color indexed="18"/>
      <name val="Arial CE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 CE"/>
      <charset val="238"/>
    </font>
    <font>
      <b/>
      <sz val="2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" fontId="5" fillId="0" borderId="1" applyFill="0">
      <alignment horizontal="center"/>
    </xf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6" fillId="0" borderId="1" applyFill="0" applyProtection="0"/>
    <xf numFmtId="169" fontId="6" fillId="1" borderId="1"/>
    <xf numFmtId="167" fontId="4" fillId="0" borderId="0" applyNumberFormat="0" applyFill="0" applyBorder="0" applyAlignment="0"/>
    <xf numFmtId="3" fontId="6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1" fontId="6" fillId="0" borderId="0" applyFill="0" applyBorder="0">
      <alignment horizontal="right"/>
    </xf>
    <xf numFmtId="168" fontId="5" fillId="0" borderId="1"/>
    <xf numFmtId="168" fontId="5" fillId="0" borderId="2" applyNumberFormat="0" applyFill="0" applyAlignment="0">
      <alignment horizontal="left"/>
    </xf>
    <xf numFmtId="168" fontId="7" fillId="0" borderId="1">
      <protection locked="0"/>
    </xf>
    <xf numFmtId="168" fontId="7" fillId="0" borderId="3">
      <protection locked="0"/>
    </xf>
    <xf numFmtId="168" fontId="8" fillId="0" borderId="1">
      <protection locked="0"/>
    </xf>
  </cellStyleXfs>
  <cellXfs count="141">
    <xf numFmtId="0" fontId="0" fillId="0" borderId="0" xfId="0"/>
    <xf numFmtId="0" fontId="3" fillId="0" borderId="0" xfId="0" applyFont="1"/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left"/>
      <protection hidden="1"/>
    </xf>
    <xf numFmtId="0" fontId="15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7" fillId="0" borderId="0" xfId="0" applyFont="1" applyProtection="1">
      <protection hidden="1"/>
    </xf>
    <xf numFmtId="0" fontId="18" fillId="0" borderId="0" xfId="0" applyFont="1" applyProtection="1">
      <protection hidden="1"/>
    </xf>
    <xf numFmtId="0" fontId="0" fillId="0" borderId="0" xfId="0" applyAlignment="1">
      <alignment vertical="center"/>
    </xf>
    <xf numFmtId="0" fontId="0" fillId="0" borderId="0" xfId="0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vertical="top"/>
      <protection hidden="1"/>
    </xf>
    <xf numFmtId="0" fontId="3" fillId="0" borderId="0" xfId="0" applyFont="1" applyAlignment="1" applyProtection="1">
      <alignment vertical="top"/>
      <protection hidden="1"/>
    </xf>
    <xf numFmtId="0" fontId="0" fillId="0" borderId="0" xfId="0" applyAlignment="1">
      <alignment vertical="top"/>
    </xf>
    <xf numFmtId="0" fontId="2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0" fillId="0" borderId="0" xfId="0" applyAlignment="1">
      <alignment vertical="center" wrapText="1"/>
    </xf>
    <xf numFmtId="0" fontId="11" fillId="0" borderId="0" xfId="0" applyFont="1" applyProtection="1">
      <protection hidden="1"/>
    </xf>
    <xf numFmtId="0" fontId="11" fillId="0" borderId="0" xfId="0" applyFont="1" applyAlignment="1" applyProtection="1">
      <alignment vertical="top"/>
      <protection hidden="1"/>
    </xf>
    <xf numFmtId="0" fontId="12" fillId="0" borderId="0" xfId="0" applyFont="1" applyAlignment="1" applyProtection="1">
      <alignment vertical="center" wrapText="1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0" fillId="2" borderId="0" xfId="0" applyFill="1" applyAlignment="1">
      <alignment horizontal="center" vertical="center"/>
    </xf>
    <xf numFmtId="170" fontId="0" fillId="0" borderId="0" xfId="0" applyNumberFormat="1" applyAlignment="1">
      <alignment vertical="center"/>
    </xf>
    <xf numFmtId="170" fontId="2" fillId="0" borderId="0" xfId="0" applyNumberFormat="1" applyFont="1" applyAlignment="1" applyProtection="1">
      <alignment vertical="center"/>
      <protection hidden="1"/>
    </xf>
    <xf numFmtId="170" fontId="3" fillId="0" borderId="0" xfId="0" applyNumberFormat="1" applyFont="1" applyAlignment="1" applyProtection="1">
      <alignment vertical="center"/>
      <protection hidden="1"/>
    </xf>
    <xf numFmtId="170" fontId="12" fillId="0" borderId="0" xfId="0" applyNumberFormat="1" applyFont="1" applyAlignment="1" applyProtection="1">
      <alignment vertical="center"/>
      <protection hidden="1"/>
    </xf>
    <xf numFmtId="171" fontId="0" fillId="0" borderId="0" xfId="0" applyNumberFormat="1" applyAlignment="1">
      <alignment vertical="center"/>
    </xf>
    <xf numFmtId="171" fontId="0" fillId="0" borderId="0" xfId="0" applyNumberFormat="1" applyAlignment="1">
      <alignment horizontal="center" vertical="center"/>
    </xf>
    <xf numFmtId="0" fontId="0" fillId="0" borderId="4" xfId="0" applyBorder="1"/>
    <xf numFmtId="170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170" fontId="10" fillId="2" borderId="0" xfId="0" applyNumberFormat="1" applyFont="1" applyFill="1" applyAlignment="1">
      <alignment horizontal="center" vertical="center"/>
    </xf>
    <xf numFmtId="10" fontId="9" fillId="2" borderId="0" xfId="1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 wrapText="1"/>
    </xf>
    <xf numFmtId="170" fontId="0" fillId="2" borderId="0" xfId="0" applyNumberFormat="1" applyFill="1" applyAlignment="1">
      <alignment vertical="center"/>
    </xf>
    <xf numFmtId="173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6" fontId="0" fillId="0" borderId="0" xfId="4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174" fontId="0" fillId="0" borderId="0" xfId="0" applyNumberFormat="1" applyAlignment="1">
      <alignment horizontal="center" vertical="center"/>
    </xf>
    <xf numFmtId="9" fontId="0" fillId="0" borderId="0" xfId="1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3" fillId="2" borderId="0" xfId="0" applyFont="1" applyFill="1" applyAlignment="1">
      <alignment vertical="center"/>
    </xf>
    <xf numFmtId="1" fontId="10" fillId="0" borderId="0" xfId="0" applyNumberFormat="1" applyFont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10" fillId="0" borderId="0" xfId="0" applyFont="1"/>
    <xf numFmtId="0" fontId="10" fillId="0" borderId="0" xfId="0" applyFont="1" applyAlignment="1">
      <alignment vertical="top"/>
    </xf>
    <xf numFmtId="0" fontId="10" fillId="0" borderId="0" xfId="0" applyFont="1" applyProtection="1">
      <protection locked="0"/>
    </xf>
    <xf numFmtId="172" fontId="9" fillId="2" borderId="0" xfId="10" applyNumberFormat="1" applyFont="1" applyFill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4" xfId="0" applyBorder="1" applyAlignment="1">
      <alignment horizontal="center" vertical="center"/>
    </xf>
    <xf numFmtId="4" fontId="9" fillId="2" borderId="0" xfId="1" applyNumberFormat="1" applyFont="1" applyFill="1" applyBorder="1" applyAlignment="1">
      <alignment horizontal="right" vertical="center"/>
    </xf>
    <xf numFmtId="0" fontId="15" fillId="0" borderId="5" xfId="0" applyFont="1" applyBorder="1" applyProtection="1">
      <protection hidden="1"/>
    </xf>
    <xf numFmtId="176" fontId="15" fillId="0" borderId="5" xfId="0" applyNumberFormat="1" applyFont="1" applyBorder="1" applyProtection="1">
      <protection hidden="1"/>
    </xf>
    <xf numFmtId="176" fontId="15" fillId="0" borderId="5" xfId="0" applyNumberFormat="1" applyFont="1" applyBorder="1" applyAlignment="1" applyProtection="1">
      <alignment horizontal="right"/>
      <protection hidden="1"/>
    </xf>
    <xf numFmtId="175" fontId="15" fillId="0" borderId="5" xfId="0" applyNumberFormat="1" applyFont="1" applyBorder="1" applyAlignment="1" applyProtection="1">
      <alignment horizontal="right"/>
      <protection hidden="1"/>
    </xf>
    <xf numFmtId="176" fontId="15" fillId="0" borderId="0" xfId="0" applyNumberFormat="1" applyFont="1" applyProtection="1">
      <protection hidden="1"/>
    </xf>
    <xf numFmtId="0" fontId="10" fillId="0" borderId="0" xfId="0" applyFont="1" applyAlignment="1">
      <alignment horizontal="left" vertical="center"/>
    </xf>
    <xf numFmtId="0" fontId="15" fillId="0" borderId="5" xfId="0" applyFont="1" applyBorder="1" applyAlignment="1" applyProtection="1">
      <alignment horizontal="right"/>
      <protection hidden="1"/>
    </xf>
    <xf numFmtId="174" fontId="0" fillId="2" borderId="0" xfId="0" applyNumberFormat="1" applyFill="1" applyAlignment="1">
      <alignment horizontal="right" vertical="center"/>
    </xf>
    <xf numFmtId="174" fontId="0" fillId="2" borderId="0" xfId="0" applyNumberFormat="1" applyFill="1" applyAlignment="1">
      <alignment horizontal="right"/>
    </xf>
    <xf numFmtId="170" fontId="10" fillId="2" borderId="0" xfId="0" applyNumberFormat="1" applyFont="1" applyFill="1" applyAlignment="1">
      <alignment horizontal="right"/>
    </xf>
    <xf numFmtId="170" fontId="0" fillId="2" borderId="0" xfId="0" applyNumberFormat="1" applyFill="1" applyAlignment="1">
      <alignment horizontal="right"/>
    </xf>
    <xf numFmtId="176" fontId="10" fillId="0" borderId="0" xfId="0" applyNumberFormat="1" applyFont="1" applyAlignment="1">
      <alignment horizontal="center" vertical="center"/>
    </xf>
    <xf numFmtId="9" fontId="10" fillId="0" borderId="0" xfId="10" applyFont="1" applyBorder="1" applyAlignment="1">
      <alignment horizontal="center" vertical="center"/>
    </xf>
    <xf numFmtId="10" fontId="9" fillId="2" borderId="0" xfId="10" applyNumberFormat="1" applyFont="1" applyFill="1" applyBorder="1" applyAlignment="1">
      <alignment horizontal="right" vertical="center"/>
    </xf>
    <xf numFmtId="9" fontId="9" fillId="2" borderId="0" xfId="10" applyFont="1" applyFill="1" applyBorder="1" applyAlignment="1">
      <alignment horizontal="center" vertical="center"/>
    </xf>
    <xf numFmtId="164" fontId="9" fillId="2" borderId="0" xfId="4" applyFont="1" applyFill="1" applyBorder="1" applyAlignment="1">
      <alignment horizontal="center" vertical="center"/>
    </xf>
    <xf numFmtId="0" fontId="19" fillId="0" borderId="0" xfId="0" applyFont="1" applyAlignment="1" applyProtection="1">
      <alignment horizontal="center" vertical="center" textRotation="90"/>
      <protection hidden="1"/>
    </xf>
    <xf numFmtId="0" fontId="15" fillId="0" borderId="5" xfId="0" applyFont="1" applyBorder="1" applyAlignment="1" applyProtection="1">
      <alignment horizontal="left"/>
      <protection hidden="1"/>
    </xf>
    <xf numFmtId="178" fontId="15" fillId="0" borderId="5" xfId="0" applyNumberFormat="1" applyFont="1" applyBorder="1" applyAlignment="1" applyProtection="1">
      <alignment horizontal="right"/>
      <protection hidden="1"/>
    </xf>
    <xf numFmtId="0" fontId="15" fillId="0" borderId="6" xfId="0" applyFont="1" applyBorder="1" applyAlignment="1" applyProtection="1">
      <alignment horizontal="right"/>
      <protection hidden="1"/>
    </xf>
    <xf numFmtId="0" fontId="15" fillId="0" borderId="7" xfId="0" applyFont="1" applyBorder="1" applyProtection="1">
      <protection hidden="1"/>
    </xf>
    <xf numFmtId="0" fontId="13" fillId="0" borderId="0" xfId="0" applyFont="1" applyAlignment="1">
      <alignment vertical="center" wrapText="1"/>
    </xf>
    <xf numFmtId="170" fontId="13" fillId="0" borderId="0" xfId="0" applyNumberFormat="1" applyFont="1" applyAlignment="1">
      <alignment vertical="center"/>
    </xf>
    <xf numFmtId="170" fontId="0" fillId="0" borderId="0" xfId="0" applyNumberFormat="1" applyAlignment="1">
      <alignment horizontal="right"/>
    </xf>
    <xf numFmtId="177" fontId="9" fillId="0" borderId="0" xfId="4" applyNumberFormat="1" applyFont="1" applyFill="1" applyBorder="1" applyAlignment="1">
      <alignment horizontal="right"/>
    </xf>
    <xf numFmtId="179" fontId="0" fillId="0" borderId="0" xfId="0" applyNumberFormat="1" applyAlignment="1">
      <alignment horizontal="center" vertical="center"/>
    </xf>
    <xf numFmtId="172" fontId="9" fillId="2" borderId="0" xfId="10" applyNumberFormat="1" applyFont="1" applyFill="1" applyBorder="1" applyAlignment="1">
      <alignment horizontal="center" vertical="center"/>
    </xf>
    <xf numFmtId="9" fontId="9" fillId="0" borderId="0" xfId="10" applyFont="1" applyFill="1" applyBorder="1" applyAlignment="1">
      <alignment horizontal="center" vertical="center"/>
    </xf>
    <xf numFmtId="172" fontId="9" fillId="0" borderId="0" xfId="10" applyNumberFormat="1" applyFont="1" applyFill="1" applyBorder="1" applyAlignment="1">
      <alignment vertical="center"/>
    </xf>
    <xf numFmtId="180" fontId="15" fillId="0" borderId="5" xfId="0" applyNumberFormat="1" applyFont="1" applyBorder="1" applyProtection="1">
      <protection hidden="1"/>
    </xf>
    <xf numFmtId="181" fontId="0" fillId="0" borderId="0" xfId="0" applyNumberFormat="1" applyAlignment="1">
      <alignment vertical="center"/>
    </xf>
    <xf numFmtId="182" fontId="0" fillId="0" borderId="0" xfId="0" applyNumberFormat="1" applyAlignment="1">
      <alignment horizontal="center" vertical="center"/>
    </xf>
    <xf numFmtId="170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83" fontId="0" fillId="0" borderId="0" xfId="0" applyNumberFormat="1" applyAlignment="1">
      <alignment horizontal="center" vertical="center"/>
    </xf>
    <xf numFmtId="184" fontId="0" fillId="0" borderId="0" xfId="0" applyNumberFormat="1" applyAlignment="1">
      <alignment horizontal="center" vertical="center"/>
    </xf>
    <xf numFmtId="185" fontId="0" fillId="0" borderId="0" xfId="0" applyNumberFormat="1" applyAlignment="1">
      <alignment horizontal="center" vertical="center"/>
    </xf>
    <xf numFmtId="186" fontId="10" fillId="2" borderId="0" xfId="0" applyNumberFormat="1" applyFont="1" applyFill="1" applyAlignment="1">
      <alignment horizontal="right" vertical="center"/>
    </xf>
    <xf numFmtId="186" fontId="10" fillId="2" borderId="0" xfId="0" applyNumberFormat="1" applyFont="1" applyFill="1" applyAlignment="1">
      <alignment horizontal="center" vertical="center"/>
    </xf>
    <xf numFmtId="186" fontId="0" fillId="2" borderId="0" xfId="0" applyNumberFormat="1" applyFill="1" applyAlignment="1">
      <alignment horizontal="right" vertical="center"/>
    </xf>
    <xf numFmtId="186" fontId="0" fillId="2" borderId="0" xfId="0" applyNumberFormat="1" applyFill="1" applyAlignment="1">
      <alignment horizontal="center" vertical="center"/>
    </xf>
    <xf numFmtId="185" fontId="10" fillId="0" borderId="0" xfId="0" applyNumberFormat="1" applyFont="1" applyAlignment="1">
      <alignment horizontal="right" vertical="center"/>
    </xf>
    <xf numFmtId="185" fontId="0" fillId="0" borderId="0" xfId="0" applyNumberFormat="1" applyAlignment="1">
      <alignment horizontal="right" vertical="center"/>
    </xf>
    <xf numFmtId="183" fontId="10" fillId="2" borderId="0" xfId="0" applyNumberFormat="1" applyFont="1" applyFill="1" applyAlignment="1">
      <alignment vertical="center"/>
    </xf>
    <xf numFmtId="183" fontId="0" fillId="2" borderId="0" xfId="0" applyNumberFormat="1" applyFill="1" applyAlignment="1">
      <alignment vertical="center"/>
    </xf>
    <xf numFmtId="187" fontId="10" fillId="2" borderId="0" xfId="0" applyNumberFormat="1" applyFont="1" applyFill="1" applyAlignment="1">
      <alignment horizontal="right" vertical="center"/>
    </xf>
    <xf numFmtId="187" fontId="0" fillId="2" borderId="0" xfId="0" applyNumberFormat="1" applyFill="1" applyAlignment="1">
      <alignment horizontal="right" vertical="center"/>
    </xf>
    <xf numFmtId="188" fontId="10" fillId="2" borderId="0" xfId="0" applyNumberFormat="1" applyFont="1" applyFill="1" applyAlignment="1">
      <alignment horizontal="center" vertical="center"/>
    </xf>
    <xf numFmtId="188" fontId="0" fillId="2" borderId="0" xfId="0" applyNumberFormat="1" applyFill="1" applyAlignment="1">
      <alignment horizontal="center" vertical="center"/>
    </xf>
    <xf numFmtId="188" fontId="13" fillId="2" borderId="0" xfId="0" applyNumberFormat="1" applyFont="1" applyFill="1" applyAlignment="1">
      <alignment horizontal="center" vertical="center"/>
    </xf>
    <xf numFmtId="170" fontId="0" fillId="0" borderId="0" xfId="0" applyNumberFormat="1" applyAlignment="1">
      <alignment horizontal="center" wrapText="1"/>
    </xf>
    <xf numFmtId="186" fontId="0" fillId="2" borderId="0" xfId="0" applyNumberFormat="1" applyFill="1" applyAlignment="1">
      <alignment horizontal="right"/>
    </xf>
    <xf numFmtId="186" fontId="10" fillId="2" borderId="0" xfId="0" applyNumberFormat="1" applyFont="1" applyFill="1" applyAlignment="1">
      <alignment horizontal="right"/>
    </xf>
    <xf numFmtId="189" fontId="10" fillId="2" borderId="0" xfId="0" applyNumberFormat="1" applyFont="1" applyFill="1" applyAlignment="1">
      <alignment vertical="center"/>
    </xf>
    <xf numFmtId="189" fontId="0" fillId="2" borderId="0" xfId="0" applyNumberFormat="1" applyFill="1" applyAlignment="1">
      <alignment vertical="center"/>
    </xf>
    <xf numFmtId="189" fontId="0" fillId="2" borderId="0" xfId="0" applyNumberFormat="1" applyFill="1" applyAlignment="1">
      <alignment horizontal="right" vertical="center"/>
    </xf>
    <xf numFmtId="182" fontId="0" fillId="0" borderId="0" xfId="0" applyNumberFormat="1" applyAlignment="1">
      <alignment vertical="center"/>
    </xf>
    <xf numFmtId="182" fontId="10" fillId="0" borderId="0" xfId="0" applyNumberFormat="1" applyFont="1" applyAlignment="1">
      <alignment vertical="center"/>
    </xf>
    <xf numFmtId="190" fontId="0" fillId="0" borderId="0" xfId="0" applyNumberFormat="1" applyAlignment="1">
      <alignment horizontal="right" vertical="center"/>
    </xf>
    <xf numFmtId="190" fontId="10" fillId="0" borderId="0" xfId="0" applyNumberFormat="1" applyFont="1" applyAlignment="1">
      <alignment horizontal="right" vertical="center"/>
    </xf>
    <xf numFmtId="187" fontId="10" fillId="2" borderId="0" xfId="0" applyNumberFormat="1" applyFont="1" applyFill="1" applyAlignment="1">
      <alignment horizontal="center" vertical="center"/>
    </xf>
    <xf numFmtId="187" fontId="0" fillId="2" borderId="0" xfId="0" applyNumberFormat="1" applyFill="1" applyAlignment="1">
      <alignment horizontal="center" vertical="center"/>
    </xf>
    <xf numFmtId="190" fontId="10" fillId="2" borderId="0" xfId="0" applyNumberFormat="1" applyFont="1" applyFill="1" applyAlignment="1">
      <alignment horizontal="center" vertical="center"/>
    </xf>
    <xf numFmtId="190" fontId="0" fillId="2" borderId="0" xfId="0" applyNumberFormat="1" applyFill="1" applyAlignment="1">
      <alignment horizontal="center" vertical="center"/>
    </xf>
    <xf numFmtId="2" fontId="15" fillId="0" borderId="5" xfId="0" applyNumberFormat="1" applyFont="1" applyBorder="1" applyAlignment="1" applyProtection="1">
      <alignment horizontal="right"/>
      <protection hidden="1"/>
    </xf>
    <xf numFmtId="2" fontId="15" fillId="0" borderId="5" xfId="0" applyNumberFormat="1" applyFont="1" applyBorder="1" applyProtection="1">
      <protection hidden="1"/>
    </xf>
    <xf numFmtId="0" fontId="15" fillId="0" borderId="5" xfId="0" applyFont="1" applyBorder="1" applyAlignment="1" applyProtection="1">
      <alignment horizontal="right" wrapText="1"/>
      <protection hidden="1"/>
    </xf>
    <xf numFmtId="191" fontId="9" fillId="2" borderId="0" xfId="4" applyNumberFormat="1" applyFont="1" applyFill="1" applyBorder="1" applyAlignment="1">
      <alignment horizontal="right"/>
    </xf>
    <xf numFmtId="2" fontId="15" fillId="0" borderId="0" xfId="0" applyNumberFormat="1" applyFont="1" applyProtection="1">
      <protection hidden="1"/>
    </xf>
    <xf numFmtId="192" fontId="0" fillId="2" borderId="0" xfId="0" applyNumberFormat="1" applyFill="1" applyAlignment="1">
      <alignment horizontal="center" vertical="center"/>
    </xf>
    <xf numFmtId="193" fontId="0" fillId="2" borderId="0" xfId="1" applyNumberFormat="1" applyFont="1" applyFill="1" applyBorder="1" applyAlignment="1">
      <alignment horizontal="right" vertical="center"/>
    </xf>
    <xf numFmtId="10" fontId="0" fillId="2" borderId="0" xfId="10" applyNumberFormat="1" applyFont="1" applyFill="1" applyBorder="1" applyAlignment="1">
      <alignment horizontal="center" vertical="center"/>
    </xf>
    <xf numFmtId="186" fontId="9" fillId="2" borderId="0" xfId="10" applyNumberFormat="1" applyFont="1" applyFill="1" applyBorder="1" applyAlignment="1">
      <alignment horizontal="right" vertical="center"/>
    </xf>
    <xf numFmtId="186" fontId="9" fillId="2" borderId="0" xfId="4" applyNumberFormat="1" applyFont="1" applyFill="1" applyBorder="1" applyAlignment="1">
      <alignment horizontal="center" vertical="center"/>
    </xf>
    <xf numFmtId="186" fontId="9" fillId="2" borderId="0" xfId="10" applyNumberFormat="1" applyFont="1" applyFill="1" applyBorder="1" applyAlignment="1">
      <alignment horizontal="center" vertical="center"/>
    </xf>
    <xf numFmtId="9" fontId="15" fillId="0" borderId="0" xfId="10" applyFont="1" applyFill="1" applyProtection="1">
      <protection hidden="1"/>
    </xf>
    <xf numFmtId="0" fontId="19" fillId="0" borderId="5" xfId="0" applyFont="1" applyBorder="1" applyAlignment="1" applyProtection="1">
      <alignment horizontal="center" vertical="center" textRotation="90" wrapText="1"/>
      <protection hidden="1"/>
    </xf>
    <xf numFmtId="0" fontId="19" fillId="0" borderId="8" xfId="0" applyFont="1" applyBorder="1" applyAlignment="1" applyProtection="1">
      <alignment horizontal="center"/>
      <protection hidden="1"/>
    </xf>
    <xf numFmtId="0" fontId="19" fillId="0" borderId="9" xfId="0" applyFont="1" applyBorder="1" applyAlignment="1" applyProtection="1">
      <alignment horizontal="center"/>
      <protection hidden="1"/>
    </xf>
    <xf numFmtId="0" fontId="10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</cellXfs>
  <cellStyles count="18">
    <cellStyle name="Čárka" xfId="1" builtinId="3"/>
    <cellStyle name="Čárka 2" xfId="2" xr:uid="{00000000-0005-0000-0000-000001000000}"/>
    <cellStyle name="číslo řádku" xfId="3" xr:uid="{00000000-0005-0000-0000-000002000000}"/>
    <cellStyle name="Měna" xfId="4" builtinId="4"/>
    <cellStyle name="Měna 2" xfId="5" xr:uid="{00000000-0005-0000-0000-000004000000}"/>
    <cellStyle name="nadpis A" xfId="6" xr:uid="{00000000-0005-0000-0000-000005000000}"/>
    <cellStyle name="nadpis B" xfId="7" xr:uid="{00000000-0005-0000-0000-000006000000}"/>
    <cellStyle name="nadpis C" xfId="8" xr:uid="{00000000-0005-0000-0000-000007000000}"/>
    <cellStyle name="nadpis D" xfId="9" xr:uid="{00000000-0005-0000-0000-000008000000}"/>
    <cellStyle name="Normální" xfId="0" builtinId="0"/>
    <cellStyle name="Procenta" xfId="10" builtinId="5"/>
    <cellStyle name="Procenta 2" xfId="11" xr:uid="{00000000-0005-0000-0000-00000B000000}"/>
    <cellStyle name="rok" xfId="12" xr:uid="{00000000-0005-0000-0000-00000C000000}"/>
    <cellStyle name="text" xfId="13" xr:uid="{00000000-0005-0000-0000-00000D000000}"/>
    <cellStyle name="volné pole" xfId="14" xr:uid="{00000000-0005-0000-0000-00000E000000}"/>
    <cellStyle name="vstupní pole" xfId="15" xr:uid="{00000000-0005-0000-0000-00000F000000}"/>
    <cellStyle name="vstupní pole _" xfId="16" xr:uid="{00000000-0005-0000-0000-000010000000}"/>
    <cellStyle name="vstupní pole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261939</xdr:colOff>
      <xdr:row>37</xdr:row>
      <xdr:rowOff>23812</xdr:rowOff>
    </xdr:from>
    <xdr:to>
      <xdr:col>4</xdr:col>
      <xdr:colOff>365126</xdr:colOff>
      <xdr:row>50</xdr:row>
      <xdr:rowOff>102187</xdr:rowOff>
    </xdr:to>
    <xdr:pic>
      <xdr:nvPicPr>
        <xdr:cNvPr id="2" name="Obrázek 1" descr="Robotická sekačka Gardena Sileno life 1500 smart">
          <a:extLst>
            <a:ext uri="{FF2B5EF4-FFF2-40B4-BE49-F238E27FC236}">
              <a16:creationId xmlns:a16="http://schemas.microsoft.com/office/drawing/2014/main" id="{6639E128-EE63-42E3-8726-1ECFCC3B2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189" y="6238875"/>
          <a:ext cx="2182812" cy="2142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317500</xdr:colOff>
      <xdr:row>36</xdr:row>
      <xdr:rowOff>103188</xdr:rowOff>
    </xdr:from>
    <xdr:to>
      <xdr:col>7</xdr:col>
      <xdr:colOff>569912</xdr:colOff>
      <xdr:row>51</xdr:row>
      <xdr:rowOff>30163</xdr:rowOff>
    </xdr:to>
    <xdr:pic>
      <xdr:nvPicPr>
        <xdr:cNvPr id="3" name="Obrázek 2" descr="Weibang WB Zero Turn KX54">
          <a:extLst>
            <a:ext uri="{FF2B5EF4-FFF2-40B4-BE49-F238E27FC236}">
              <a16:creationId xmlns:a16="http://schemas.microsoft.com/office/drawing/2014/main" id="{42738EA2-C1E6-4E1E-B75A-3CFD44C90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7375" y="6159501"/>
          <a:ext cx="2768600" cy="230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2:J46"/>
  <sheetViews>
    <sheetView showGridLines="0" tabSelected="1" zoomScale="120" zoomScaleNormal="120" workbookViewId="0">
      <selection activeCell="F16" sqref="F16:G21"/>
    </sheetView>
  </sheetViews>
  <sheetFormatPr defaultColWidth="9.140625" defaultRowHeight="12.75" x14ac:dyDescent="0.2"/>
  <cols>
    <col min="1" max="1" width="4" style="8" customWidth="1"/>
    <col min="2" max="2" width="6.85546875" style="8" customWidth="1"/>
    <col min="3" max="3" width="16.28515625" style="8" customWidth="1"/>
    <col min="4" max="4" width="14.85546875" style="8" customWidth="1"/>
    <col min="5" max="5" width="22.28515625" style="8" customWidth="1"/>
    <col min="6" max="6" width="6.28515625" style="8" customWidth="1"/>
    <col min="7" max="16384" width="9.140625" style="8"/>
  </cols>
  <sheetData>
    <row r="2" spans="1:10" ht="26.25" x14ac:dyDescent="0.4">
      <c r="A2" s="6"/>
      <c r="B2" s="7"/>
      <c r="D2" s="7">
        <f>1</f>
        <v>1</v>
      </c>
    </row>
    <row r="3" spans="1:10" ht="23.25" x14ac:dyDescent="0.35">
      <c r="A3" s="9"/>
    </row>
    <row r="4" spans="1:10" ht="14.25" customHeight="1" x14ac:dyDescent="0.35">
      <c r="A4" s="9"/>
    </row>
    <row r="5" spans="1:10" x14ac:dyDescent="0.2">
      <c r="A5" s="10" t="s">
        <v>13</v>
      </c>
    </row>
    <row r="6" spans="1:10" x14ac:dyDescent="0.2">
      <c r="A6" s="10" t="s">
        <v>14</v>
      </c>
    </row>
    <row r="7" spans="1:10" x14ac:dyDescent="0.2">
      <c r="J7"/>
    </row>
    <row r="8" spans="1:10" ht="15.75" x14ac:dyDescent="0.25">
      <c r="A8" s="11" t="s">
        <v>15</v>
      </c>
    </row>
    <row r="9" spans="1:10" x14ac:dyDescent="0.2">
      <c r="A9" s="8" t="s">
        <v>17</v>
      </c>
    </row>
    <row r="10" spans="1:10" ht="8.4499999999999993" customHeight="1" x14ac:dyDescent="0.2"/>
    <row r="11" spans="1:10" x14ac:dyDescent="0.2">
      <c r="A11" s="8" t="s">
        <v>126</v>
      </c>
    </row>
    <row r="12" spans="1:10" ht="8.4499999999999993" customHeight="1" x14ac:dyDescent="0.2"/>
    <row r="13" spans="1:10" x14ac:dyDescent="0.2">
      <c r="A13" s="8" t="s">
        <v>0</v>
      </c>
      <c r="B13" s="8" t="s">
        <v>16</v>
      </c>
    </row>
    <row r="14" spans="1:10" x14ac:dyDescent="0.2">
      <c r="D14" s="137" t="s">
        <v>125</v>
      </c>
      <c r="E14" s="138"/>
    </row>
    <row r="15" spans="1:10" x14ac:dyDescent="0.2">
      <c r="C15" s="79"/>
      <c r="D15" s="66" t="s">
        <v>22</v>
      </c>
      <c r="E15" s="66" t="s">
        <v>21</v>
      </c>
    </row>
    <row r="16" spans="1:10" x14ac:dyDescent="0.2">
      <c r="C16" s="80"/>
      <c r="D16" s="66" t="s">
        <v>18</v>
      </c>
      <c r="E16" s="66" t="s">
        <v>19</v>
      </c>
    </row>
    <row r="17" spans="1:6" x14ac:dyDescent="0.2">
      <c r="B17" s="136" t="s">
        <v>20</v>
      </c>
      <c r="C17" s="60" t="s">
        <v>46</v>
      </c>
      <c r="D17" s="61">
        <v>36</v>
      </c>
      <c r="E17" s="89">
        <v>15</v>
      </c>
      <c r="F17" s="135"/>
    </row>
    <row r="18" spans="1:6" x14ac:dyDescent="0.2">
      <c r="B18" s="136"/>
      <c r="C18" s="60" t="s">
        <v>22</v>
      </c>
      <c r="D18" s="62" t="s">
        <v>8</v>
      </c>
      <c r="E18" s="78" t="s">
        <v>8</v>
      </c>
    </row>
    <row r="19" spans="1:6" x14ac:dyDescent="0.2">
      <c r="B19" s="136"/>
      <c r="C19" s="77" t="s">
        <v>21</v>
      </c>
      <c r="D19" s="61">
        <v>17</v>
      </c>
      <c r="E19" s="78" t="s">
        <v>8</v>
      </c>
    </row>
    <row r="20" spans="1:6" x14ac:dyDescent="0.2">
      <c r="B20" s="136"/>
      <c r="C20" s="60" t="s">
        <v>23</v>
      </c>
      <c r="D20" s="61">
        <v>5</v>
      </c>
      <c r="E20" s="89">
        <v>5</v>
      </c>
    </row>
    <row r="21" spans="1:6" x14ac:dyDescent="0.2">
      <c r="B21" s="76"/>
      <c r="D21" s="64">
        <f>D17+D19+D20</f>
        <v>58</v>
      </c>
      <c r="E21" s="128">
        <f>E17+E20</f>
        <v>20</v>
      </c>
    </row>
    <row r="22" spans="1:6" ht="15.75" x14ac:dyDescent="0.25">
      <c r="A22" s="11" t="s">
        <v>24</v>
      </c>
    </row>
    <row r="23" spans="1:6" x14ac:dyDescent="0.2">
      <c r="A23" s="8" t="s">
        <v>25</v>
      </c>
    </row>
    <row r="24" spans="1:6" ht="7.9" customHeight="1" x14ac:dyDescent="0.2"/>
    <row r="25" spans="1:6" x14ac:dyDescent="0.2">
      <c r="A25" s="8" t="s">
        <v>2</v>
      </c>
      <c r="B25" s="8" t="s">
        <v>26</v>
      </c>
    </row>
    <row r="26" spans="1:6" ht="7.9" customHeight="1" x14ac:dyDescent="0.2"/>
    <row r="27" spans="1:6" x14ac:dyDescent="0.2">
      <c r="A27" s="8" t="s">
        <v>3</v>
      </c>
      <c r="B27" s="8" t="s">
        <v>27</v>
      </c>
    </row>
    <row r="28" spans="1:6" x14ac:dyDescent="0.2">
      <c r="D28" s="137" t="s">
        <v>28</v>
      </c>
      <c r="E28" s="138"/>
    </row>
    <row r="29" spans="1:6" x14ac:dyDescent="0.2">
      <c r="C29" s="79"/>
      <c r="D29" s="66" t="s">
        <v>114</v>
      </c>
      <c r="E29" s="66" t="s">
        <v>10</v>
      </c>
    </row>
    <row r="30" spans="1:6" ht="25.5" x14ac:dyDescent="0.2">
      <c r="C30" s="80"/>
      <c r="D30" s="66" t="s">
        <v>116</v>
      </c>
      <c r="E30" s="126" t="s">
        <v>117</v>
      </c>
    </row>
    <row r="31" spans="1:6" x14ac:dyDescent="0.2">
      <c r="B31" s="136" t="s">
        <v>29</v>
      </c>
      <c r="C31" s="60" t="s">
        <v>115</v>
      </c>
      <c r="D31" s="63" t="s">
        <v>8</v>
      </c>
      <c r="E31" s="63" t="s">
        <v>8</v>
      </c>
    </row>
    <row r="32" spans="1:6" x14ac:dyDescent="0.2">
      <c r="B32" s="136"/>
      <c r="C32" s="60" t="s">
        <v>10</v>
      </c>
      <c r="D32" s="61">
        <v>50</v>
      </c>
      <c r="E32" s="63" t="s">
        <v>8</v>
      </c>
    </row>
    <row r="33" spans="2:6" x14ac:dyDescent="0.2">
      <c r="B33" s="136"/>
      <c r="C33" s="60" t="s">
        <v>99</v>
      </c>
      <c r="D33" s="61">
        <f>280</f>
        <v>280</v>
      </c>
      <c r="E33" s="124">
        <v>70</v>
      </c>
    </row>
    <row r="34" spans="2:6" x14ac:dyDescent="0.2">
      <c r="B34" s="136"/>
      <c r="C34" s="60" t="s">
        <v>11</v>
      </c>
      <c r="D34" s="61">
        <v>100</v>
      </c>
      <c r="E34" s="125">
        <v>10</v>
      </c>
    </row>
    <row r="46" spans="2:6" x14ac:dyDescent="0.2">
      <c r="F46"/>
    </row>
  </sheetData>
  <mergeCells count="4">
    <mergeCell ref="B17:B20"/>
    <mergeCell ref="D28:E28"/>
    <mergeCell ref="B31:B34"/>
    <mergeCell ref="D14:E14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BB53"/>
  <sheetViews>
    <sheetView showGridLines="0" zoomScale="85" zoomScaleNormal="85" workbookViewId="0">
      <pane ySplit="1" topLeftCell="A2" activePane="bottomLeft" state="frozen"/>
      <selection sqref="A1:IV65536"/>
      <selection pane="bottomLeft" activeCell="I19" sqref="I19"/>
    </sheetView>
  </sheetViews>
  <sheetFormatPr defaultColWidth="9.140625" defaultRowHeight="12.75" x14ac:dyDescent="0.2"/>
  <cols>
    <col min="1" max="1" width="3.5703125" customWidth="1"/>
    <col min="2" max="2" width="3.7109375" style="18" bestFit="1" customWidth="1"/>
    <col min="3" max="3" width="49.28515625" style="21" customWidth="1"/>
    <col min="4" max="4" width="18.85546875" style="27" customWidth="1"/>
    <col min="5" max="5" width="20" style="15" bestFit="1" customWidth="1"/>
    <col min="6" max="6" width="18.42578125" style="15" customWidth="1"/>
    <col min="7" max="7" width="16.7109375" style="15" bestFit="1" customWidth="1"/>
    <col min="8" max="8" width="18" style="15" customWidth="1"/>
    <col min="9" max="9" width="16.42578125" style="15" bestFit="1" customWidth="1"/>
    <col min="10" max="10" width="12.28515625" style="15" customWidth="1"/>
    <col min="11" max="11" width="16.85546875" style="15" bestFit="1" customWidth="1"/>
    <col min="12" max="17" width="12.28515625" style="15" customWidth="1"/>
    <col min="18" max="34" width="6.28515625" style="15" customWidth="1"/>
    <col min="35" max="54" width="9.140625" style="5"/>
  </cols>
  <sheetData>
    <row r="1" spans="1:54" ht="26.25" x14ac:dyDescent="0.4">
      <c r="A1" s="2" t="s">
        <v>30</v>
      </c>
      <c r="B1" s="16"/>
      <c r="C1" s="19"/>
      <c r="D1" s="28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</row>
    <row r="2" spans="1:54" s="1" customFormat="1" ht="7.15" customHeight="1" x14ac:dyDescent="0.2">
      <c r="A2" s="3"/>
      <c r="B2" s="17"/>
      <c r="C2" s="20"/>
      <c r="D2" s="29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 s="1" customFormat="1" ht="15.75" x14ac:dyDescent="0.25">
      <c r="A3" s="22" t="s">
        <v>1</v>
      </c>
      <c r="B3" s="23" t="s">
        <v>31</v>
      </c>
      <c r="C3" s="24"/>
      <c r="D3" s="30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4" x14ac:dyDescent="0.2">
      <c r="C4" s="33"/>
      <c r="D4" s="34" t="s">
        <v>33</v>
      </c>
      <c r="E4" s="35" t="s">
        <v>34</v>
      </c>
      <c r="F4" s="35" t="s">
        <v>35</v>
      </c>
      <c r="G4" s="35" t="s">
        <v>36</v>
      </c>
    </row>
    <row r="5" spans="1:54" x14ac:dyDescent="0.2">
      <c r="C5" s="21" t="s">
        <v>37</v>
      </c>
      <c r="D5" s="90">
        <v>340</v>
      </c>
      <c r="E5" s="90">
        <v>120</v>
      </c>
      <c r="F5" s="91">
        <v>3400</v>
      </c>
      <c r="G5" s="41" t="s">
        <v>8</v>
      </c>
    </row>
    <row r="6" spans="1:54" x14ac:dyDescent="0.2">
      <c r="C6" s="21" t="s">
        <v>38</v>
      </c>
      <c r="D6" s="48">
        <v>420</v>
      </c>
      <c r="E6" s="49">
        <v>351</v>
      </c>
      <c r="F6" s="49">
        <v>286</v>
      </c>
      <c r="G6" s="51">
        <f>+SUM(D6:F6)</f>
        <v>1057</v>
      </c>
    </row>
    <row r="7" spans="1:54" x14ac:dyDescent="0.2">
      <c r="C7" s="21" t="s">
        <v>39</v>
      </c>
      <c r="D7" s="94">
        <v>1100</v>
      </c>
      <c r="E7" s="94">
        <f>42000/20</f>
        <v>2100</v>
      </c>
      <c r="F7" s="95">
        <v>19.5</v>
      </c>
      <c r="G7" s="15" t="s">
        <v>8</v>
      </c>
    </row>
    <row r="8" spans="1:54" x14ac:dyDescent="0.2">
      <c r="B8" s="44" t="s">
        <v>40</v>
      </c>
      <c r="C8"/>
      <c r="D8" s="31"/>
      <c r="E8" s="32"/>
      <c r="F8" s="32"/>
      <c r="G8" s="101">
        <f>+SUM(G9:G14)</f>
        <v>631939</v>
      </c>
      <c r="H8" s="139" t="s">
        <v>52</v>
      </c>
      <c r="K8" s="43"/>
      <c r="L8" s="46"/>
    </row>
    <row r="9" spans="1:54" x14ac:dyDescent="0.2">
      <c r="C9" s="21" t="s">
        <v>41</v>
      </c>
      <c r="D9" s="96">
        <f>5384580/20</f>
        <v>269229</v>
      </c>
      <c r="E9" s="96">
        <f>2982000/20</f>
        <v>149100</v>
      </c>
      <c r="F9" s="96" t="s">
        <v>8</v>
      </c>
      <c r="G9" s="101">
        <f>+SUM(D9:F9)</f>
        <v>418329</v>
      </c>
      <c r="H9" s="140" t="s">
        <v>124</v>
      </c>
      <c r="K9" s="43"/>
    </row>
    <row r="10" spans="1:54" x14ac:dyDescent="0.2">
      <c r="C10" s="18" t="s">
        <v>42</v>
      </c>
      <c r="D10" s="96" t="s">
        <v>8</v>
      </c>
      <c r="E10" s="96" t="s">
        <v>8</v>
      </c>
      <c r="F10" s="96">
        <f>762200/20</f>
        <v>38110</v>
      </c>
      <c r="G10" s="101">
        <f>+SUM(D10:F10)</f>
        <v>38110</v>
      </c>
      <c r="H10" s="140" t="s">
        <v>54</v>
      </c>
    </row>
    <row r="11" spans="1:54" x14ac:dyDescent="0.2">
      <c r="C11" s="12" t="s">
        <v>43</v>
      </c>
      <c r="D11" s="96" t="s">
        <v>8</v>
      </c>
      <c r="E11" s="96" t="s">
        <v>8</v>
      </c>
      <c r="F11" s="96" t="s">
        <v>8</v>
      </c>
      <c r="G11" s="101">
        <f>1255000/20</f>
        <v>62750</v>
      </c>
      <c r="H11" s="140" t="s">
        <v>123</v>
      </c>
    </row>
    <row r="12" spans="1:54" x14ac:dyDescent="0.2">
      <c r="C12" s="12" t="s">
        <v>44</v>
      </c>
      <c r="D12" s="96" t="s">
        <v>8</v>
      </c>
      <c r="E12" s="96" t="s">
        <v>8</v>
      </c>
      <c r="F12" s="96" t="s">
        <v>8</v>
      </c>
      <c r="G12" s="101">
        <f>870000/20</f>
        <v>43500</v>
      </c>
      <c r="H12" s="140" t="s">
        <v>56</v>
      </c>
    </row>
    <row r="13" spans="1:54" x14ac:dyDescent="0.2">
      <c r="C13" s="12" t="s">
        <v>47</v>
      </c>
      <c r="D13" s="96" t="s">
        <v>8</v>
      </c>
      <c r="E13" s="96" t="s">
        <v>8</v>
      </c>
      <c r="F13" s="96" t="s">
        <v>8</v>
      </c>
      <c r="G13" s="101">
        <f>645000/20</f>
        <v>32250</v>
      </c>
      <c r="H13" s="140" t="s">
        <v>56</v>
      </c>
    </row>
    <row r="14" spans="1:54" x14ac:dyDescent="0.2">
      <c r="C14" s="12" t="s">
        <v>45</v>
      </c>
      <c r="D14" s="96" t="s">
        <v>8</v>
      </c>
      <c r="E14" s="96" t="s">
        <v>8</v>
      </c>
      <c r="F14" s="96" t="s">
        <v>8</v>
      </c>
      <c r="G14" s="101">
        <f>740000/20</f>
        <v>37000</v>
      </c>
      <c r="H14" s="140" t="s">
        <v>56</v>
      </c>
    </row>
    <row r="15" spans="1:54" x14ac:dyDescent="0.2">
      <c r="D15" s="46"/>
      <c r="E15" s="46"/>
      <c r="F15" s="46"/>
      <c r="G15" s="46"/>
    </row>
    <row r="16" spans="1:54" ht="15.75" x14ac:dyDescent="0.25">
      <c r="A16" s="22" t="s">
        <v>4</v>
      </c>
      <c r="B16" s="23" t="s">
        <v>32</v>
      </c>
    </row>
    <row r="17" spans="1:54" ht="25.5" x14ac:dyDescent="0.2">
      <c r="C17" s="33"/>
      <c r="D17" s="92" t="s">
        <v>48</v>
      </c>
      <c r="E17" s="93" t="s">
        <v>49</v>
      </c>
      <c r="F17" s="93" t="s">
        <v>50</v>
      </c>
      <c r="G17" s="35" t="s">
        <v>36</v>
      </c>
      <c r="H17" s="58" t="s">
        <v>51</v>
      </c>
      <c r="I17" s="58"/>
      <c r="J17" s="58"/>
    </row>
    <row r="18" spans="1:54" x14ac:dyDescent="0.2">
      <c r="C18" s="36" t="s">
        <v>57</v>
      </c>
      <c r="D18" s="103">
        <f>D9/D5</f>
        <v>791.85</v>
      </c>
      <c r="E18" s="103">
        <f>+E9/E5</f>
        <v>1242.5</v>
      </c>
      <c r="F18" s="105">
        <f>F10/F5</f>
        <v>11.208823529411765</v>
      </c>
      <c r="G18" s="107">
        <v>456439</v>
      </c>
      <c r="H18" s="26"/>
      <c r="I18" s="26"/>
      <c r="J18" s="26"/>
    </row>
    <row r="19" spans="1:54" x14ac:dyDescent="0.2">
      <c r="C19" s="21" t="s">
        <v>58</v>
      </c>
      <c r="D19" s="104">
        <f>+I19*D6/D5</f>
        <v>73.334631865991426</v>
      </c>
      <c r="E19" s="104">
        <f t="shared" ref="E19:F19" si="0">+$I$19*E6/E5</f>
        <v>173.64593188268685</v>
      </c>
      <c r="F19" s="114">
        <f t="shared" si="0"/>
        <v>4.9937392175413207</v>
      </c>
      <c r="G19" s="108">
        <v>62750</v>
      </c>
      <c r="H19" s="26" t="s">
        <v>69</v>
      </c>
      <c r="I19" s="59">
        <f>+G11/G6</f>
        <v>59.366130558183535</v>
      </c>
      <c r="J19" s="52" t="s">
        <v>66</v>
      </c>
    </row>
    <row r="20" spans="1:54" x14ac:dyDescent="0.2">
      <c r="C20" s="12" t="s">
        <v>59</v>
      </c>
      <c r="D20" s="114">
        <f>+$I$20*D7</f>
        <v>69.117434638162649</v>
      </c>
      <c r="E20" s="114">
        <f t="shared" ref="E20:F20" si="1">+$I$20*E7</f>
        <v>131.95146612740143</v>
      </c>
      <c r="F20" s="114">
        <f t="shared" si="1"/>
        <v>1.225263614040156</v>
      </c>
      <c r="G20" s="108">
        <v>43500</v>
      </c>
      <c r="H20" s="26" t="s">
        <v>67</v>
      </c>
      <c r="I20" s="38">
        <v>6.2834031489238773E-2</v>
      </c>
      <c r="J20" s="52"/>
    </row>
    <row r="21" spans="1:54" x14ac:dyDescent="0.2">
      <c r="C21" s="12" t="s">
        <v>60</v>
      </c>
      <c r="D21" s="104">
        <v>51.242236024844715</v>
      </c>
      <c r="E21" s="104">
        <v>97.826086956521735</v>
      </c>
      <c r="F21" s="106">
        <v>0.90838509316770177</v>
      </c>
      <c r="G21" s="108">
        <v>32250</v>
      </c>
      <c r="H21" s="26" t="s">
        <v>68</v>
      </c>
      <c r="I21" s="38">
        <v>4.6583850931677016E-2</v>
      </c>
      <c r="J21" s="26"/>
    </row>
    <row r="22" spans="1:54" s="53" customFormat="1" x14ac:dyDescent="0.2">
      <c r="B22" s="54"/>
      <c r="C22" s="12" t="s">
        <v>61</v>
      </c>
      <c r="D22" s="104">
        <v>58.789542106023404</v>
      </c>
      <c r="E22" s="104">
        <v>112.23458038422649</v>
      </c>
      <c r="F22" s="106">
        <v>1.0421782464249603</v>
      </c>
      <c r="G22" s="108">
        <v>37000</v>
      </c>
      <c r="H22" s="26" t="s">
        <v>12</v>
      </c>
      <c r="I22" s="38">
        <v>5.3445038278203093E-2</v>
      </c>
      <c r="J22" s="57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</row>
    <row r="23" spans="1:54" x14ac:dyDescent="0.2">
      <c r="C23" s="36" t="s">
        <v>62</v>
      </c>
      <c r="D23" s="103">
        <v>252.48384463502219</v>
      </c>
      <c r="E23" s="103">
        <v>515.65806535083652</v>
      </c>
      <c r="F23" s="105">
        <v>8.1695661711741394</v>
      </c>
      <c r="G23" s="107">
        <v>175500</v>
      </c>
      <c r="H23" s="26"/>
      <c r="I23" s="26"/>
      <c r="J23" s="26"/>
    </row>
    <row r="24" spans="1:54" x14ac:dyDescent="0.2">
      <c r="C24" s="36" t="s">
        <v>63</v>
      </c>
      <c r="D24" s="103">
        <v>1044.3338446350222</v>
      </c>
      <c r="E24" s="103">
        <v>1758.1580653508365</v>
      </c>
      <c r="F24" s="105">
        <v>19.378389700585906</v>
      </c>
      <c r="G24" s="107">
        <v>631939</v>
      </c>
      <c r="H24" s="26"/>
      <c r="I24" s="26"/>
      <c r="J24" s="26"/>
    </row>
    <row r="25" spans="1:54" x14ac:dyDescent="0.2">
      <c r="C25" s="36" t="s">
        <v>64</v>
      </c>
      <c r="D25" s="103">
        <v>55.66615536497784</v>
      </c>
      <c r="E25" s="103">
        <v>341.84193464916348</v>
      </c>
      <c r="F25" s="105">
        <v>0.12161029941409396</v>
      </c>
      <c r="G25" s="107">
        <v>60361</v>
      </c>
      <c r="H25" s="26"/>
      <c r="I25" s="26"/>
      <c r="J25" s="26"/>
    </row>
    <row r="26" spans="1:54" x14ac:dyDescent="0.2">
      <c r="C26" s="21" t="s">
        <v>65</v>
      </c>
      <c r="D26" s="104">
        <v>1100</v>
      </c>
      <c r="E26" s="104">
        <v>2100</v>
      </c>
      <c r="F26" s="106">
        <v>19.5</v>
      </c>
      <c r="G26" s="107">
        <v>692300</v>
      </c>
      <c r="H26" s="26">
        <f>+SUMPRODUCT(D5:F5,D7:F7)</f>
        <v>692300</v>
      </c>
      <c r="I26" s="26"/>
      <c r="J26" s="26"/>
    </row>
    <row r="27" spans="1:54" x14ac:dyDescent="0.2">
      <c r="C27" s="21" t="s">
        <v>9</v>
      </c>
      <c r="D27" s="56">
        <v>5.0605595786343494E-2</v>
      </c>
      <c r="E27" s="56">
        <v>0.1627818736424588</v>
      </c>
      <c r="F27" s="56">
        <v>6.2364256109791773E-3</v>
      </c>
      <c r="G27" s="56">
        <v>8.7189079878665324E-2</v>
      </c>
      <c r="H27" s="26"/>
      <c r="I27" s="26"/>
      <c r="J27" s="26"/>
    </row>
    <row r="28" spans="1:54" x14ac:dyDescent="0.2">
      <c r="C28" s="39" t="s">
        <v>70</v>
      </c>
      <c r="D28" s="40"/>
      <c r="E28" s="26"/>
      <c r="F28" s="26"/>
      <c r="G28" s="37"/>
      <c r="H28" s="26"/>
      <c r="I28" s="26"/>
      <c r="J28" s="26"/>
    </row>
    <row r="29" spans="1:54" x14ac:dyDescent="0.2">
      <c r="C29" s="39" t="s">
        <v>71</v>
      </c>
      <c r="D29" s="109">
        <v>374000</v>
      </c>
      <c r="E29" s="109">
        <v>252000</v>
      </c>
      <c r="F29" s="109">
        <v>66300</v>
      </c>
      <c r="G29" s="50"/>
      <c r="H29" s="26"/>
      <c r="I29" s="26"/>
      <c r="J29" s="26"/>
    </row>
    <row r="31" spans="1:54" ht="15.75" x14ac:dyDescent="0.25">
      <c r="A31" s="22" t="s">
        <v>5</v>
      </c>
      <c r="B31" s="23" t="s">
        <v>73</v>
      </c>
      <c r="AH31" s="5"/>
      <c r="BB31"/>
    </row>
    <row r="32" spans="1:54" x14ac:dyDescent="0.2">
      <c r="C32" s="81"/>
      <c r="D32" s="82"/>
      <c r="E32" s="82"/>
      <c r="F32" s="82"/>
      <c r="G32" s="82"/>
    </row>
    <row r="33" spans="1:10" x14ac:dyDescent="0.2">
      <c r="A33" s="44"/>
      <c r="B33" s="44" t="s">
        <v>75</v>
      </c>
      <c r="C33" s="36"/>
      <c r="E33" s="15" t="s">
        <v>77</v>
      </c>
      <c r="F33" s="42" t="s">
        <v>79</v>
      </c>
      <c r="G33" s="15" t="s">
        <v>78</v>
      </c>
      <c r="H33" s="42" t="s">
        <v>79</v>
      </c>
    </row>
    <row r="34" spans="1:10" ht="38.25" x14ac:dyDescent="0.2">
      <c r="D34" s="110" t="s">
        <v>76</v>
      </c>
      <c r="E34" s="15" t="s">
        <v>80</v>
      </c>
      <c r="F34" s="42" t="s">
        <v>85</v>
      </c>
      <c r="G34" s="15" t="s">
        <v>81</v>
      </c>
      <c r="H34" s="42" t="s">
        <v>86</v>
      </c>
    </row>
    <row r="35" spans="1:10" x14ac:dyDescent="0.2">
      <c r="C35" s="8" t="s">
        <v>46</v>
      </c>
      <c r="D35" s="99"/>
      <c r="E35" s="99"/>
      <c r="F35" s="97"/>
      <c r="G35" s="99"/>
      <c r="H35" s="97"/>
      <c r="I35" s="99"/>
      <c r="J35" s="67"/>
    </row>
    <row r="36" spans="1:10" x14ac:dyDescent="0.2">
      <c r="C36" s="8" t="s">
        <v>82</v>
      </c>
      <c r="D36" s="99"/>
      <c r="E36" s="99"/>
      <c r="F36" s="97"/>
      <c r="G36" s="99"/>
      <c r="H36" s="97"/>
      <c r="I36" s="99"/>
      <c r="J36" s="67"/>
    </row>
    <row r="37" spans="1:10" x14ac:dyDescent="0.2">
      <c r="C37" s="8" t="s">
        <v>21</v>
      </c>
      <c r="D37" s="99"/>
      <c r="E37" s="99"/>
      <c r="F37" s="97"/>
      <c r="G37" s="99"/>
      <c r="H37" s="97"/>
      <c r="I37" s="99"/>
      <c r="J37" s="67"/>
    </row>
    <row r="38" spans="1:10" x14ac:dyDescent="0.2">
      <c r="C38" s="8" t="s">
        <v>83</v>
      </c>
      <c r="D38" s="99"/>
      <c r="E38" s="99"/>
      <c r="F38" s="97"/>
      <c r="G38" s="111"/>
      <c r="H38" s="97"/>
      <c r="I38" s="111"/>
      <c r="J38" s="68"/>
    </row>
    <row r="39" spans="1:10" x14ac:dyDescent="0.2">
      <c r="C39" s="36" t="s">
        <v>84</v>
      </c>
      <c r="D39" s="112"/>
      <c r="E39" s="112"/>
      <c r="F39" s="112"/>
      <c r="G39" s="112"/>
      <c r="H39" s="112"/>
      <c r="I39" s="112"/>
      <c r="J39" s="69"/>
    </row>
    <row r="40" spans="1:10" x14ac:dyDescent="0.2">
      <c r="D40" s="70"/>
      <c r="E40" s="127"/>
      <c r="F40" s="70"/>
      <c r="G40" s="129"/>
      <c r="H40" s="26"/>
      <c r="I40" s="26"/>
      <c r="J40" s="26"/>
    </row>
    <row r="41" spans="1:10" x14ac:dyDescent="0.2">
      <c r="B41" s="21"/>
      <c r="C41"/>
      <c r="D41" s="83"/>
      <c r="E41" s="84"/>
      <c r="F41" s="83"/>
      <c r="G41" s="85"/>
    </row>
    <row r="42" spans="1:10" ht="25.5" x14ac:dyDescent="0.2">
      <c r="C42" s="33"/>
      <c r="D42" s="92" t="s">
        <v>48</v>
      </c>
      <c r="E42" s="93" t="s">
        <v>49</v>
      </c>
      <c r="F42" s="93" t="s">
        <v>50</v>
      </c>
      <c r="G42" s="35" t="s">
        <v>36</v>
      </c>
      <c r="H42" s="58" t="s">
        <v>51</v>
      </c>
      <c r="I42" s="58"/>
      <c r="J42" s="58"/>
    </row>
    <row r="43" spans="1:10" x14ac:dyDescent="0.2">
      <c r="C43" s="36" t="s">
        <v>57</v>
      </c>
      <c r="D43" s="113"/>
      <c r="E43" s="113"/>
      <c r="F43" s="113"/>
      <c r="G43" s="98"/>
      <c r="H43" s="26"/>
      <c r="I43" s="26"/>
      <c r="J43" s="26"/>
    </row>
    <row r="44" spans="1:10" x14ac:dyDescent="0.2">
      <c r="C44" s="21" t="s">
        <v>58</v>
      </c>
      <c r="D44" s="114"/>
      <c r="E44" s="114"/>
      <c r="F44" s="114"/>
      <c r="G44" s="100"/>
      <c r="H44" s="26"/>
      <c r="I44" s="130"/>
      <c r="J44" s="52"/>
    </row>
    <row r="45" spans="1:10" x14ac:dyDescent="0.2">
      <c r="C45" s="12" t="s">
        <v>59</v>
      </c>
      <c r="D45" s="114"/>
      <c r="E45" s="114"/>
      <c r="F45" s="115"/>
      <c r="G45" s="100"/>
      <c r="H45" s="26"/>
      <c r="I45" s="59"/>
      <c r="J45" s="52"/>
    </row>
    <row r="46" spans="1:10" x14ac:dyDescent="0.2">
      <c r="C46" s="12" t="s">
        <v>60</v>
      </c>
      <c r="D46" s="114"/>
      <c r="E46" s="114"/>
      <c r="F46" s="115"/>
      <c r="G46" s="100"/>
      <c r="H46" s="26"/>
      <c r="I46" s="38"/>
      <c r="J46" s="26"/>
    </row>
    <row r="47" spans="1:10" x14ac:dyDescent="0.2">
      <c r="C47" s="12" t="s">
        <v>61</v>
      </c>
      <c r="D47" s="114"/>
      <c r="E47" s="114"/>
      <c r="F47" s="114"/>
      <c r="G47" s="100"/>
      <c r="H47" s="26"/>
      <c r="I47" s="38"/>
      <c r="J47" s="26"/>
    </row>
    <row r="48" spans="1:10" x14ac:dyDescent="0.2">
      <c r="C48" s="36" t="s">
        <v>62</v>
      </c>
      <c r="D48" s="113"/>
      <c r="E48" s="113"/>
      <c r="F48" s="113"/>
      <c r="G48" s="98"/>
      <c r="H48" s="26"/>
      <c r="I48" s="26"/>
      <c r="J48" s="26"/>
    </row>
    <row r="49" spans="3:10" x14ac:dyDescent="0.2">
      <c r="C49" s="36" t="s">
        <v>63</v>
      </c>
      <c r="D49" s="113"/>
      <c r="E49" s="113"/>
      <c r="F49" s="113"/>
      <c r="G49" s="98"/>
      <c r="H49" s="26"/>
      <c r="I49" s="26"/>
      <c r="J49" s="26"/>
    </row>
    <row r="50" spans="3:10" x14ac:dyDescent="0.2">
      <c r="C50" s="36" t="s">
        <v>64</v>
      </c>
      <c r="D50" s="113"/>
      <c r="E50" s="113"/>
      <c r="F50" s="113"/>
      <c r="G50" s="98"/>
      <c r="H50" s="26"/>
      <c r="I50" s="26"/>
      <c r="J50" s="26"/>
    </row>
    <row r="51" spans="3:10" x14ac:dyDescent="0.2">
      <c r="C51" s="21" t="s">
        <v>65</v>
      </c>
      <c r="D51" s="114"/>
      <c r="E51" s="114"/>
      <c r="F51" s="114"/>
      <c r="G51" s="107"/>
      <c r="H51" s="26"/>
      <c r="I51" s="26"/>
      <c r="J51" s="26"/>
    </row>
    <row r="52" spans="3:10" x14ac:dyDescent="0.2">
      <c r="C52" s="21" t="s">
        <v>9</v>
      </c>
      <c r="D52" s="56"/>
      <c r="E52" s="56"/>
      <c r="F52" s="56"/>
      <c r="G52" s="56"/>
      <c r="H52" s="26"/>
      <c r="I52" s="26"/>
      <c r="J52" s="26"/>
    </row>
    <row r="53" spans="3:10" x14ac:dyDescent="0.2">
      <c r="C53" s="81"/>
      <c r="D53" s="82"/>
      <c r="E53" s="82"/>
      <c r="F53" s="82"/>
      <c r="G53" s="82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1143E-06C5-4F73-ABEE-68A46BEC98CC}">
  <dimension ref="A1:BB53"/>
  <sheetViews>
    <sheetView workbookViewId="0">
      <selection activeCell="G55" sqref="G55"/>
    </sheetView>
  </sheetViews>
  <sheetFormatPr defaultColWidth="9.140625" defaultRowHeight="12.75" x14ac:dyDescent="0.2"/>
  <cols>
    <col min="1" max="1" width="3.5703125" customWidth="1"/>
    <col min="2" max="2" width="3.7109375" style="18" bestFit="1" customWidth="1"/>
    <col min="3" max="3" width="49.28515625" style="21" customWidth="1"/>
    <col min="4" max="4" width="17.7109375" style="27" bestFit="1" customWidth="1"/>
    <col min="5" max="5" width="20.28515625" style="15" bestFit="1" customWidth="1"/>
    <col min="6" max="6" width="18.42578125" style="15" customWidth="1"/>
    <col min="7" max="7" width="23.5703125" style="15" customWidth="1"/>
    <col min="8" max="8" width="18.7109375" style="15" customWidth="1"/>
    <col min="9" max="9" width="15.28515625" style="15" bestFit="1" customWidth="1"/>
    <col min="10" max="10" width="12.28515625" style="15" customWidth="1"/>
    <col min="11" max="11" width="16.85546875" style="15" bestFit="1" customWidth="1"/>
    <col min="12" max="17" width="12.28515625" style="15" customWidth="1"/>
    <col min="18" max="34" width="6.28515625" style="15" customWidth="1"/>
    <col min="35" max="54" width="9.140625" style="5"/>
  </cols>
  <sheetData>
    <row r="1" spans="1:54" ht="26.25" x14ac:dyDescent="0.4">
      <c r="A1" s="2" t="s">
        <v>30</v>
      </c>
      <c r="B1" s="16"/>
      <c r="C1" s="19"/>
      <c r="D1" s="28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</row>
    <row r="2" spans="1:54" s="1" customFormat="1" ht="7.15" customHeight="1" x14ac:dyDescent="0.2">
      <c r="A2" s="3"/>
      <c r="B2" s="17"/>
      <c r="C2" s="20"/>
      <c r="D2" s="29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 s="1" customFormat="1" ht="15.75" x14ac:dyDescent="0.25">
      <c r="A3" s="22" t="s">
        <v>1</v>
      </c>
      <c r="B3" s="23" t="s">
        <v>31</v>
      </c>
      <c r="C3" s="24"/>
      <c r="D3" s="30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4" x14ac:dyDescent="0.2">
      <c r="C4" s="33"/>
      <c r="D4" s="34" t="s">
        <v>33</v>
      </c>
      <c r="E4" s="35" t="s">
        <v>34</v>
      </c>
      <c r="F4" s="35" t="s">
        <v>35</v>
      </c>
      <c r="G4" s="35" t="s">
        <v>36</v>
      </c>
    </row>
    <row r="5" spans="1:54" x14ac:dyDescent="0.2">
      <c r="C5" s="21" t="s">
        <v>37</v>
      </c>
      <c r="D5" s="90">
        <v>340</v>
      </c>
      <c r="E5" s="90">
        <v>120</v>
      </c>
      <c r="F5" s="91">
        <v>3400</v>
      </c>
      <c r="G5" s="41" t="s">
        <v>8</v>
      </c>
    </row>
    <row r="6" spans="1:54" x14ac:dyDescent="0.2">
      <c r="C6" s="21" t="s">
        <v>38</v>
      </c>
      <c r="D6" s="48">
        <v>420</v>
      </c>
      <c r="E6" s="49">
        <v>351</v>
      </c>
      <c r="F6" s="49">
        <v>286</v>
      </c>
      <c r="G6" s="51">
        <f>+SUM(D6:F6)</f>
        <v>1057</v>
      </c>
    </row>
    <row r="7" spans="1:54" x14ac:dyDescent="0.2">
      <c r="C7" s="21" t="s">
        <v>39</v>
      </c>
      <c r="D7" s="94">
        <v>1100</v>
      </c>
      <c r="E7" s="94">
        <f>42000/20</f>
        <v>2100</v>
      </c>
      <c r="F7" s="95">
        <v>19.5</v>
      </c>
      <c r="G7" s="15" t="s">
        <v>8</v>
      </c>
    </row>
    <row r="8" spans="1:54" x14ac:dyDescent="0.2">
      <c r="B8" s="44" t="s">
        <v>40</v>
      </c>
      <c r="C8"/>
      <c r="D8" s="31"/>
      <c r="E8" s="32"/>
      <c r="F8" s="32"/>
      <c r="G8" s="101">
        <f>+SUM(G9:G14)</f>
        <v>631939</v>
      </c>
      <c r="H8" s="65" t="s">
        <v>52</v>
      </c>
      <c r="K8" s="43"/>
      <c r="L8" s="46"/>
    </row>
    <row r="9" spans="1:54" x14ac:dyDescent="0.2">
      <c r="C9" s="21" t="s">
        <v>41</v>
      </c>
      <c r="D9" s="96">
        <f>5384580/20</f>
        <v>269229</v>
      </c>
      <c r="E9" s="96">
        <f>2982000/20</f>
        <v>149100</v>
      </c>
      <c r="F9" s="96" t="s">
        <v>8</v>
      </c>
      <c r="G9" s="102">
        <f>+SUM(D9:F9)</f>
        <v>418329</v>
      </c>
      <c r="H9" s="47" t="s">
        <v>53</v>
      </c>
      <c r="K9" s="43"/>
    </row>
    <row r="10" spans="1:54" x14ac:dyDescent="0.2">
      <c r="C10" s="18" t="s">
        <v>42</v>
      </c>
      <c r="D10" s="96" t="s">
        <v>8</v>
      </c>
      <c r="E10" s="96" t="s">
        <v>8</v>
      </c>
      <c r="F10" s="96">
        <f>762200/20</f>
        <v>38110</v>
      </c>
      <c r="G10" s="102">
        <f>+SUM(D10:F10)</f>
        <v>38110</v>
      </c>
      <c r="H10" s="47" t="s">
        <v>54</v>
      </c>
    </row>
    <row r="11" spans="1:54" x14ac:dyDescent="0.2">
      <c r="C11" s="12" t="s">
        <v>43</v>
      </c>
      <c r="D11" s="96" t="s">
        <v>8</v>
      </c>
      <c r="E11" s="96" t="s">
        <v>8</v>
      </c>
      <c r="F11" s="96" t="s">
        <v>8</v>
      </c>
      <c r="G11" s="102">
        <f>1255000/20</f>
        <v>62750</v>
      </c>
      <c r="H11" s="47" t="s">
        <v>55</v>
      </c>
    </row>
    <row r="12" spans="1:54" x14ac:dyDescent="0.2">
      <c r="C12" s="12" t="s">
        <v>44</v>
      </c>
      <c r="D12" s="96" t="s">
        <v>8</v>
      </c>
      <c r="E12" s="96" t="s">
        <v>8</v>
      </c>
      <c r="F12" s="96" t="s">
        <v>8</v>
      </c>
      <c r="G12" s="102">
        <f>870000/20</f>
        <v>43500</v>
      </c>
      <c r="H12" s="47" t="s">
        <v>56</v>
      </c>
    </row>
    <row r="13" spans="1:54" x14ac:dyDescent="0.2">
      <c r="C13" s="12" t="s">
        <v>47</v>
      </c>
      <c r="D13" s="96" t="s">
        <v>8</v>
      </c>
      <c r="E13" s="96" t="s">
        <v>8</v>
      </c>
      <c r="F13" s="96" t="s">
        <v>8</v>
      </c>
      <c r="G13" s="102">
        <f>645000/20</f>
        <v>32250</v>
      </c>
      <c r="H13" s="47" t="s">
        <v>56</v>
      </c>
    </row>
    <row r="14" spans="1:54" x14ac:dyDescent="0.2">
      <c r="C14" s="12" t="s">
        <v>45</v>
      </c>
      <c r="D14" s="96" t="s">
        <v>8</v>
      </c>
      <c r="E14" s="96" t="s">
        <v>8</v>
      </c>
      <c r="F14" s="96" t="s">
        <v>8</v>
      </c>
      <c r="G14" s="102">
        <f>740000/20</f>
        <v>37000</v>
      </c>
      <c r="H14" s="47" t="s">
        <v>56</v>
      </c>
    </row>
    <row r="15" spans="1:54" x14ac:dyDescent="0.2">
      <c r="D15" s="46"/>
      <c r="E15" s="46"/>
      <c r="F15" s="46"/>
      <c r="G15" s="46"/>
    </row>
    <row r="16" spans="1:54" ht="15.75" x14ac:dyDescent="0.25">
      <c r="A16" s="22" t="s">
        <v>4</v>
      </c>
      <c r="B16" s="23" t="s">
        <v>32</v>
      </c>
    </row>
    <row r="17" spans="1:54" ht="25.5" x14ac:dyDescent="0.2">
      <c r="C17" s="33"/>
      <c r="D17" s="92" t="s">
        <v>48</v>
      </c>
      <c r="E17" s="93" t="s">
        <v>49</v>
      </c>
      <c r="F17" s="93" t="s">
        <v>50</v>
      </c>
      <c r="G17" s="35" t="s">
        <v>36</v>
      </c>
      <c r="H17" s="58" t="s">
        <v>51</v>
      </c>
      <c r="I17" s="58"/>
      <c r="J17" s="58"/>
    </row>
    <row r="18" spans="1:54" x14ac:dyDescent="0.2">
      <c r="C18" s="36" t="s">
        <v>57</v>
      </c>
      <c r="D18" s="113">
        <f>D9/D5</f>
        <v>791.85</v>
      </c>
      <c r="E18" s="113">
        <f t="shared" ref="E18" si="0">E9/E5</f>
        <v>1242.5</v>
      </c>
      <c r="F18" s="113">
        <f>F10/F5</f>
        <v>11.208823529411765</v>
      </c>
      <c r="G18" s="107">
        <f>G9+G10</f>
        <v>456439</v>
      </c>
      <c r="H18" s="26"/>
      <c r="I18" s="26"/>
      <c r="J18" s="26"/>
    </row>
    <row r="19" spans="1:54" x14ac:dyDescent="0.2">
      <c r="C19" s="21" t="s">
        <v>58</v>
      </c>
      <c r="D19" s="114">
        <f>$I$19*D6/D5</f>
        <v>73.334631865991426</v>
      </c>
      <c r="E19" s="114">
        <f t="shared" ref="E19:F19" si="1">$I$19*E6/E5</f>
        <v>173.64593188268685</v>
      </c>
      <c r="F19" s="114">
        <f t="shared" si="1"/>
        <v>4.9937392175413207</v>
      </c>
      <c r="G19" s="108">
        <f>G11</f>
        <v>62750</v>
      </c>
      <c r="H19" s="26" t="s">
        <v>69</v>
      </c>
      <c r="I19" s="59">
        <f>G11/G6</f>
        <v>59.366130558183535</v>
      </c>
      <c r="J19" s="52" t="s">
        <v>66</v>
      </c>
    </row>
    <row r="20" spans="1:54" x14ac:dyDescent="0.2">
      <c r="C20" s="12" t="s">
        <v>59</v>
      </c>
      <c r="D20" s="114">
        <f>$I$20*D7</f>
        <v>69.117434638162649</v>
      </c>
      <c r="E20" s="114">
        <f t="shared" ref="E20:F20" si="2">$I$20*E7</f>
        <v>131.95146612740143</v>
      </c>
      <c r="F20" s="114">
        <f t="shared" si="2"/>
        <v>1.225263614040156</v>
      </c>
      <c r="G20" s="108">
        <f t="shared" ref="G20:G22" si="3">G12</f>
        <v>43500</v>
      </c>
      <c r="H20" s="26" t="s">
        <v>67</v>
      </c>
      <c r="I20" s="38">
        <f>G20/$G$26</f>
        <v>6.2834031489238773E-2</v>
      </c>
      <c r="J20" s="52"/>
    </row>
    <row r="21" spans="1:54" x14ac:dyDescent="0.2">
      <c r="C21" s="12" t="s">
        <v>60</v>
      </c>
      <c r="D21" s="114">
        <f>$I$21*D7</f>
        <v>51.242236024844715</v>
      </c>
      <c r="E21" s="114">
        <f t="shared" ref="E21:F21" si="4">$I$21*E7</f>
        <v>97.826086956521735</v>
      </c>
      <c r="F21" s="114">
        <f t="shared" si="4"/>
        <v>0.90838509316770177</v>
      </c>
      <c r="G21" s="108">
        <f t="shared" si="3"/>
        <v>32250</v>
      </c>
      <c r="H21" s="26" t="s">
        <v>68</v>
      </c>
      <c r="I21" s="38">
        <f t="shared" ref="I21:I22" si="5">G21/$G$26</f>
        <v>4.6583850931677016E-2</v>
      </c>
      <c r="J21" s="26"/>
    </row>
    <row r="22" spans="1:54" s="53" customFormat="1" x14ac:dyDescent="0.2">
      <c r="B22" s="54"/>
      <c r="C22" s="12" t="s">
        <v>61</v>
      </c>
      <c r="D22" s="114">
        <f>$I$22*D7</f>
        <v>58.789542106023404</v>
      </c>
      <c r="E22" s="114">
        <f t="shared" ref="E22:F22" si="6">$I$22*E7</f>
        <v>112.23458038422649</v>
      </c>
      <c r="F22" s="114">
        <f t="shared" si="6"/>
        <v>1.0421782464249603</v>
      </c>
      <c r="G22" s="108">
        <f t="shared" si="3"/>
        <v>37000</v>
      </c>
      <c r="H22" s="26" t="s">
        <v>12</v>
      </c>
      <c r="I22" s="38">
        <f t="shared" si="5"/>
        <v>5.3445038278203093E-2</v>
      </c>
      <c r="J22" s="57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</row>
    <row r="23" spans="1:54" x14ac:dyDescent="0.2">
      <c r="C23" s="36" t="s">
        <v>62</v>
      </c>
      <c r="D23" s="113">
        <f>SUM(D19:D22)</f>
        <v>252.48384463502219</v>
      </c>
      <c r="E23" s="113">
        <f t="shared" ref="E23:F23" si="7">SUM(E19:E22)</f>
        <v>515.65806535083652</v>
      </c>
      <c r="F23" s="113">
        <f t="shared" si="7"/>
        <v>8.1695661711741394</v>
      </c>
      <c r="G23" s="107">
        <f>SUM(G19:G22)</f>
        <v>175500</v>
      </c>
      <c r="H23" s="26"/>
      <c r="I23" s="26"/>
      <c r="J23" s="26"/>
    </row>
    <row r="24" spans="1:54" x14ac:dyDescent="0.2">
      <c r="C24" s="36" t="s">
        <v>63</v>
      </c>
      <c r="D24" s="113">
        <f>D18+D23</f>
        <v>1044.3338446350222</v>
      </c>
      <c r="E24" s="113">
        <f t="shared" ref="E24:F24" si="8">E18+E23</f>
        <v>1758.1580653508365</v>
      </c>
      <c r="F24" s="113">
        <f t="shared" si="8"/>
        <v>19.378389700585906</v>
      </c>
      <c r="G24" s="107">
        <f>G18+G23</f>
        <v>631939</v>
      </c>
      <c r="H24" s="26"/>
      <c r="I24" s="26"/>
      <c r="J24" s="26"/>
    </row>
    <row r="25" spans="1:54" x14ac:dyDescent="0.2">
      <c r="C25" s="36" t="s">
        <v>64</v>
      </c>
      <c r="D25" s="113">
        <f>D26-D24</f>
        <v>55.66615536497784</v>
      </c>
      <c r="E25" s="113">
        <f t="shared" ref="E25:F25" si="9">E26-E24</f>
        <v>341.84193464916348</v>
      </c>
      <c r="F25" s="113">
        <f t="shared" si="9"/>
        <v>0.12161029941409396</v>
      </c>
      <c r="G25" s="107">
        <f>G26-G24</f>
        <v>60361</v>
      </c>
      <c r="H25" s="26"/>
      <c r="I25" s="26"/>
      <c r="J25" s="26"/>
    </row>
    <row r="26" spans="1:54" x14ac:dyDescent="0.2">
      <c r="C26" s="21" t="s">
        <v>65</v>
      </c>
      <c r="D26" s="114">
        <f>D7</f>
        <v>1100</v>
      </c>
      <c r="E26" s="114">
        <f t="shared" ref="E26:F26" si="10">E7</f>
        <v>2100</v>
      </c>
      <c r="F26" s="114">
        <f t="shared" si="10"/>
        <v>19.5</v>
      </c>
      <c r="G26" s="107">
        <f>D29+E29+F29</f>
        <v>692300</v>
      </c>
      <c r="H26" s="26"/>
      <c r="I26" s="26"/>
      <c r="J26" s="26"/>
    </row>
    <row r="27" spans="1:54" x14ac:dyDescent="0.2">
      <c r="C27" s="21" t="s">
        <v>9</v>
      </c>
      <c r="D27" s="56">
        <f>D25/D26</f>
        <v>5.0605595786343494E-2</v>
      </c>
      <c r="E27" s="56">
        <f t="shared" ref="E27:G27" si="11">E25/E26</f>
        <v>0.1627818736424588</v>
      </c>
      <c r="F27" s="56">
        <f t="shared" si="11"/>
        <v>6.2364256109791773E-3</v>
      </c>
      <c r="G27" s="56">
        <f t="shared" si="11"/>
        <v>8.7189079878665324E-2</v>
      </c>
      <c r="H27" s="26"/>
      <c r="I27" s="26"/>
      <c r="J27" s="26"/>
    </row>
    <row r="28" spans="1:54" x14ac:dyDescent="0.2">
      <c r="C28" s="39" t="s">
        <v>70</v>
      </c>
      <c r="D28" s="40"/>
      <c r="E28" s="26"/>
      <c r="F28" s="26"/>
      <c r="G28" s="37"/>
      <c r="H28" s="26"/>
      <c r="I28" s="26"/>
      <c r="J28" s="26"/>
    </row>
    <row r="29" spans="1:54" x14ac:dyDescent="0.2">
      <c r="C29" s="39" t="s">
        <v>71</v>
      </c>
      <c r="D29" s="109">
        <f>D5*D7</f>
        <v>374000</v>
      </c>
      <c r="E29" s="109">
        <f t="shared" ref="E29:F29" si="12">E5*E7</f>
        <v>252000</v>
      </c>
      <c r="F29" s="109">
        <f t="shared" si="12"/>
        <v>66300</v>
      </c>
      <c r="G29" s="50"/>
      <c r="H29" s="26"/>
      <c r="I29" s="26"/>
      <c r="J29" s="26"/>
    </row>
    <row r="31" spans="1:54" ht="15.75" x14ac:dyDescent="0.25">
      <c r="A31" s="22" t="s">
        <v>5</v>
      </c>
      <c r="B31" s="23" t="s">
        <v>73</v>
      </c>
      <c r="AH31" s="5"/>
      <c r="BB31"/>
    </row>
    <row r="32" spans="1:54" x14ac:dyDescent="0.2">
      <c r="C32" s="81"/>
      <c r="D32" s="82"/>
      <c r="E32" s="82"/>
      <c r="F32" s="82"/>
      <c r="G32" s="82"/>
    </row>
    <row r="33" spans="1:10" x14ac:dyDescent="0.2">
      <c r="A33" s="44"/>
      <c r="B33" s="44" t="s">
        <v>75</v>
      </c>
      <c r="C33" s="36"/>
      <c r="E33" s="15" t="s">
        <v>77</v>
      </c>
      <c r="F33" s="42" t="s">
        <v>79</v>
      </c>
      <c r="G33" s="15" t="s">
        <v>78</v>
      </c>
      <c r="H33" s="42" t="s">
        <v>79</v>
      </c>
    </row>
    <row r="34" spans="1:10" ht="38.25" x14ac:dyDescent="0.2">
      <c r="D34" s="110" t="s">
        <v>76</v>
      </c>
      <c r="E34" s="15" t="s">
        <v>80</v>
      </c>
      <c r="F34" s="42" t="s">
        <v>85</v>
      </c>
      <c r="G34" s="15" t="s">
        <v>81</v>
      </c>
      <c r="H34" s="42" t="s">
        <v>86</v>
      </c>
    </row>
    <row r="35" spans="1:10" x14ac:dyDescent="0.2">
      <c r="C35" s="8" t="s">
        <v>46</v>
      </c>
      <c r="D35" s="99">
        <f>G19</f>
        <v>62750</v>
      </c>
      <c r="E35" s="99">
        <f>E40*Specification!D17</f>
        <v>27000</v>
      </c>
      <c r="F35" s="97">
        <f>D35+E35</f>
        <v>89750</v>
      </c>
      <c r="G35" s="99">
        <f>+G40*Specification!E17</f>
        <v>33750</v>
      </c>
      <c r="H35" s="97">
        <f>F35+G35</f>
        <v>123500</v>
      </c>
      <c r="I35" s="99"/>
      <c r="J35" s="67"/>
    </row>
    <row r="36" spans="1:10" x14ac:dyDescent="0.2">
      <c r="C36" s="8" t="s">
        <v>82</v>
      </c>
      <c r="D36" s="99">
        <f t="shared" ref="D36:D38" si="13">G20</f>
        <v>43500</v>
      </c>
      <c r="E36" s="99">
        <f>-D36</f>
        <v>-43500</v>
      </c>
      <c r="F36" s="97">
        <f>D36+E36</f>
        <v>0</v>
      </c>
      <c r="G36" s="99">
        <v>0</v>
      </c>
      <c r="H36" s="97">
        <f t="shared" ref="H36:H38" si="14">F36+G36</f>
        <v>0</v>
      </c>
      <c r="I36" s="99"/>
      <c r="J36" s="67"/>
    </row>
    <row r="37" spans="1:10" x14ac:dyDescent="0.2">
      <c r="C37" s="8" t="s">
        <v>21</v>
      </c>
      <c r="D37" s="99">
        <f t="shared" si="13"/>
        <v>32250</v>
      </c>
      <c r="E37" s="99">
        <f>E40*Specification!D19</f>
        <v>12750</v>
      </c>
      <c r="F37" s="97">
        <f>D37+E37</f>
        <v>45000</v>
      </c>
      <c r="G37" s="99">
        <f>-F37</f>
        <v>-45000</v>
      </c>
      <c r="H37" s="97">
        <f t="shared" si="14"/>
        <v>0</v>
      </c>
      <c r="I37" s="99"/>
      <c r="J37" s="67"/>
    </row>
    <row r="38" spans="1:10" x14ac:dyDescent="0.2">
      <c r="C38" s="8" t="s">
        <v>83</v>
      </c>
      <c r="D38" s="99">
        <f t="shared" si="13"/>
        <v>37000</v>
      </c>
      <c r="E38" s="111">
        <f>E40*Specification!D20</f>
        <v>3750</v>
      </c>
      <c r="F38" s="97">
        <f>D38+E38</f>
        <v>40750</v>
      </c>
      <c r="G38" s="111">
        <f>G40*Specification!E20</f>
        <v>11250</v>
      </c>
      <c r="H38" s="97">
        <f t="shared" si="14"/>
        <v>52000</v>
      </c>
      <c r="I38" s="111"/>
      <c r="J38" s="68"/>
    </row>
    <row r="39" spans="1:10" x14ac:dyDescent="0.2">
      <c r="C39" s="36" t="s">
        <v>84</v>
      </c>
      <c r="D39" s="112"/>
      <c r="E39" s="112"/>
      <c r="F39" s="112"/>
      <c r="G39" s="112"/>
      <c r="H39" s="112"/>
      <c r="I39" s="112"/>
      <c r="J39" s="69"/>
    </row>
    <row r="40" spans="1:10" x14ac:dyDescent="0.2">
      <c r="D40" s="70" t="s">
        <v>118</v>
      </c>
      <c r="E40" s="127">
        <f>D36/Specification!D21</f>
        <v>750</v>
      </c>
      <c r="F40" s="70" t="s">
        <v>118</v>
      </c>
      <c r="G40" s="129">
        <f>F37/Specification!E21</f>
        <v>2250</v>
      </c>
      <c r="H40" s="100">
        <f>H35+H38</f>
        <v>175500</v>
      </c>
      <c r="I40" s="26"/>
      <c r="J40" s="26"/>
    </row>
    <row r="41" spans="1:10" x14ac:dyDescent="0.2">
      <c r="B41" s="21"/>
      <c r="C41"/>
      <c r="D41" s="83"/>
      <c r="E41" s="84"/>
      <c r="F41" s="83"/>
      <c r="G41" s="85"/>
    </row>
    <row r="42" spans="1:10" ht="25.5" x14ac:dyDescent="0.2">
      <c r="C42" s="33"/>
      <c r="D42" s="92" t="s">
        <v>48</v>
      </c>
      <c r="E42" s="93" t="s">
        <v>49</v>
      </c>
      <c r="F42" s="93" t="s">
        <v>50</v>
      </c>
      <c r="G42" s="35" t="s">
        <v>36</v>
      </c>
      <c r="H42" s="58" t="s">
        <v>51</v>
      </c>
      <c r="I42" s="58"/>
      <c r="J42" s="58"/>
    </row>
    <row r="43" spans="1:10" x14ac:dyDescent="0.2">
      <c r="C43" s="36" t="s">
        <v>57</v>
      </c>
      <c r="D43" s="113">
        <f>D18</f>
        <v>791.85</v>
      </c>
      <c r="E43" s="113">
        <f t="shared" ref="E43:G43" si="15">E18</f>
        <v>1242.5</v>
      </c>
      <c r="F43" s="113">
        <f t="shared" si="15"/>
        <v>11.208823529411765</v>
      </c>
      <c r="G43" s="107">
        <f t="shared" si="15"/>
        <v>456439</v>
      </c>
      <c r="H43" s="26"/>
      <c r="I43" s="26"/>
      <c r="J43" s="26"/>
    </row>
    <row r="44" spans="1:10" x14ac:dyDescent="0.2">
      <c r="C44" s="21" t="s">
        <v>58</v>
      </c>
      <c r="D44" s="114">
        <f>$I$44*D6/D5</f>
        <v>144.33190494740944</v>
      </c>
      <c r="E44" s="114">
        <f t="shared" ref="E44:F44" si="16">$I$44*E6/E5</f>
        <v>341.75733207190166</v>
      </c>
      <c r="F44" s="114">
        <f t="shared" si="16"/>
        <v>9.8283154321331185</v>
      </c>
      <c r="G44" s="100">
        <f>H35</f>
        <v>123500</v>
      </c>
      <c r="H44" s="100" t="s">
        <v>118</v>
      </c>
      <c r="I44" s="130">
        <f>+G44/G6</f>
        <v>116.84011352885526</v>
      </c>
      <c r="J44" s="52"/>
    </row>
    <row r="45" spans="1:10" x14ac:dyDescent="0.2">
      <c r="C45" s="12" t="s">
        <v>59</v>
      </c>
      <c r="D45" s="114">
        <v>0</v>
      </c>
      <c r="E45" s="114">
        <v>0</v>
      </c>
      <c r="F45" s="114">
        <v>0</v>
      </c>
      <c r="G45" s="100">
        <v>0</v>
      </c>
      <c r="H45" s="26"/>
      <c r="I45" s="59"/>
      <c r="J45" s="52"/>
    </row>
    <row r="46" spans="1:10" x14ac:dyDescent="0.2">
      <c r="C46" s="12" t="s">
        <v>60</v>
      </c>
      <c r="D46" s="114">
        <v>0</v>
      </c>
      <c r="E46" s="114">
        <v>0</v>
      </c>
      <c r="F46" s="114">
        <v>0</v>
      </c>
      <c r="G46" s="100">
        <v>0</v>
      </c>
      <c r="H46" s="26"/>
      <c r="I46" s="38"/>
      <c r="J46" s="26"/>
    </row>
    <row r="47" spans="1:10" x14ac:dyDescent="0.2">
      <c r="C47" s="12" t="s">
        <v>61</v>
      </c>
      <c r="D47" s="114">
        <f>$I$47*D26</f>
        <v>82.623140257113974</v>
      </c>
      <c r="E47" s="114">
        <f t="shared" ref="E47:F47" si="17">$I$47*E26</f>
        <v>157.73508594539939</v>
      </c>
      <c r="F47" s="114">
        <f t="shared" si="17"/>
        <v>1.4646829409215658</v>
      </c>
      <c r="G47" s="100">
        <f>H38</f>
        <v>52000</v>
      </c>
      <c r="H47" s="26" t="s">
        <v>118</v>
      </c>
      <c r="I47" s="131">
        <f>G47/G26</f>
        <v>7.5111945688285428E-2</v>
      </c>
      <c r="J47" s="26"/>
    </row>
    <row r="48" spans="1:10" x14ac:dyDescent="0.2">
      <c r="C48" s="36" t="s">
        <v>62</v>
      </c>
      <c r="D48" s="113">
        <f>D44+D47</f>
        <v>226.9550452045234</v>
      </c>
      <c r="E48" s="113">
        <f t="shared" ref="E48:F48" si="18">E44+E47</f>
        <v>499.49241801730102</v>
      </c>
      <c r="F48" s="113">
        <f t="shared" si="18"/>
        <v>11.292998373054685</v>
      </c>
      <c r="G48" s="98">
        <f>G44+G47</f>
        <v>175500</v>
      </c>
      <c r="H48" s="26"/>
      <c r="I48" s="26"/>
      <c r="J48" s="26"/>
    </row>
    <row r="49" spans="3:10" x14ac:dyDescent="0.2">
      <c r="C49" s="36" t="s">
        <v>63</v>
      </c>
      <c r="D49" s="113">
        <f>D43+D48</f>
        <v>1018.8050452045234</v>
      </c>
      <c r="E49" s="113">
        <f t="shared" ref="E49:F49" si="19">E43+E48</f>
        <v>1741.9924180173011</v>
      </c>
      <c r="F49" s="113">
        <f t="shared" si="19"/>
        <v>22.50182190246645</v>
      </c>
      <c r="G49" s="98">
        <f>+G48+G43</f>
        <v>631939</v>
      </c>
      <c r="H49" s="26"/>
      <c r="I49" s="26"/>
      <c r="J49" s="26"/>
    </row>
    <row r="50" spans="3:10" x14ac:dyDescent="0.2">
      <c r="C50" s="36" t="s">
        <v>64</v>
      </c>
      <c r="D50" s="113">
        <f>D51-D49</f>
        <v>81.194954795476633</v>
      </c>
      <c r="E50" s="113">
        <f t="shared" ref="E50:F50" si="20">E51-E49</f>
        <v>358.00758198269887</v>
      </c>
      <c r="F50" s="113">
        <f t="shared" si="20"/>
        <v>-3.0018219024664496</v>
      </c>
      <c r="G50" s="98">
        <f>G25</f>
        <v>60361</v>
      </c>
      <c r="H50" s="26"/>
      <c r="I50" s="26"/>
      <c r="J50" s="26"/>
    </row>
    <row r="51" spans="3:10" x14ac:dyDescent="0.2">
      <c r="C51" s="21" t="s">
        <v>65</v>
      </c>
      <c r="D51" s="114">
        <f>D26</f>
        <v>1100</v>
      </c>
      <c r="E51" s="114">
        <f t="shared" ref="E51:F51" si="21">E26</f>
        <v>2100</v>
      </c>
      <c r="F51" s="114">
        <f t="shared" si="21"/>
        <v>19.5</v>
      </c>
      <c r="G51" s="98">
        <f>G26</f>
        <v>692300</v>
      </c>
      <c r="H51" s="26"/>
      <c r="I51" s="26"/>
      <c r="J51" s="26"/>
    </row>
    <row r="52" spans="3:10" x14ac:dyDescent="0.2">
      <c r="C52" s="21" t="s">
        <v>9</v>
      </c>
      <c r="D52" s="56">
        <f>D50/D51</f>
        <v>7.3813595268615126E-2</v>
      </c>
      <c r="E52" s="56">
        <f t="shared" ref="E52:G52" si="22">E50/E51</f>
        <v>0.17047980094414231</v>
      </c>
      <c r="F52" s="56">
        <f t="shared" si="22"/>
        <v>-0.15393958474186922</v>
      </c>
      <c r="G52" s="56">
        <f t="shared" si="22"/>
        <v>8.7189079878665324E-2</v>
      </c>
      <c r="H52" s="26"/>
      <c r="I52" s="26"/>
      <c r="J52" s="26"/>
    </row>
    <row r="53" spans="3:10" x14ac:dyDescent="0.2">
      <c r="C53" s="81"/>
      <c r="D53" s="82"/>
      <c r="E53" s="82"/>
      <c r="F53" s="82"/>
      <c r="G53" s="82"/>
    </row>
  </sheetData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BA46"/>
  <sheetViews>
    <sheetView showGridLines="0" zoomScale="90" zoomScaleNormal="90" workbookViewId="0">
      <pane ySplit="1" topLeftCell="A2" activePane="bottomLeft" state="frozen"/>
      <selection sqref="A1:IV65536"/>
      <selection pane="bottomLeft" activeCell="E29" sqref="E29"/>
    </sheetView>
  </sheetViews>
  <sheetFormatPr defaultColWidth="9.140625" defaultRowHeight="12.75" x14ac:dyDescent="0.2"/>
  <cols>
    <col min="1" max="1" width="3.5703125" customWidth="1"/>
    <col min="2" max="2" width="3.7109375" style="18" bestFit="1" customWidth="1"/>
    <col min="3" max="3" width="49.28515625" style="21" customWidth="1"/>
    <col min="4" max="4" width="15.140625" style="27" bestFit="1" customWidth="1"/>
    <col min="5" max="5" width="20" style="15" bestFit="1" customWidth="1"/>
    <col min="6" max="6" width="15" style="15" bestFit="1" customWidth="1"/>
    <col min="7" max="7" width="16.7109375" style="15" bestFit="1" customWidth="1"/>
    <col min="8" max="8" width="15.28515625" style="15" customWidth="1"/>
    <col min="9" max="9" width="9.140625" style="15" bestFit="1" customWidth="1"/>
    <col min="10" max="10" width="16.85546875" style="15" bestFit="1" customWidth="1"/>
    <col min="11" max="16" width="12.28515625" style="15" customWidth="1"/>
    <col min="17" max="33" width="6.28515625" style="15" customWidth="1"/>
    <col min="34" max="53" width="9.140625" style="5"/>
  </cols>
  <sheetData>
    <row r="1" spans="1:53" ht="26.25" x14ac:dyDescent="0.4">
      <c r="A1" s="2" t="s">
        <v>6</v>
      </c>
      <c r="B1" s="16"/>
      <c r="C1" s="19"/>
      <c r="D1" s="28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</row>
    <row r="2" spans="1:53" s="1" customFormat="1" ht="7.15" customHeight="1" x14ac:dyDescent="0.2">
      <c r="A2" s="3"/>
      <c r="B2" s="17"/>
      <c r="C2" s="20"/>
      <c r="D2" s="29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</row>
    <row r="3" spans="1:53" s="1" customFormat="1" ht="15.75" x14ac:dyDescent="0.25">
      <c r="A3" s="22" t="s">
        <v>1</v>
      </c>
      <c r="B3" s="23" t="s">
        <v>31</v>
      </c>
      <c r="C3" s="24"/>
      <c r="D3" s="30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</row>
    <row r="4" spans="1:53" x14ac:dyDescent="0.2">
      <c r="C4" s="33"/>
      <c r="D4" s="34" t="s">
        <v>7</v>
      </c>
      <c r="E4" s="35" t="s">
        <v>101</v>
      </c>
      <c r="F4" s="35" t="s">
        <v>36</v>
      </c>
      <c r="G4" s="42"/>
    </row>
    <row r="5" spans="1:53" x14ac:dyDescent="0.2">
      <c r="C5" s="21" t="s">
        <v>87</v>
      </c>
      <c r="D5" s="116">
        <f>1280</f>
        <v>1280</v>
      </c>
      <c r="E5" s="116">
        <v>560</v>
      </c>
      <c r="F5" s="117">
        <f>+SUM(D5:E5)</f>
        <v>1840</v>
      </c>
      <c r="G5" s="41"/>
    </row>
    <row r="6" spans="1:53" x14ac:dyDescent="0.2">
      <c r="C6" s="21" t="s">
        <v>88</v>
      </c>
      <c r="D6" s="95">
        <v>62.5</v>
      </c>
      <c r="E6" s="95">
        <v>75</v>
      </c>
      <c r="F6" s="15" t="s">
        <v>8</v>
      </c>
      <c r="G6" s="71"/>
    </row>
    <row r="7" spans="1:53" x14ac:dyDescent="0.2">
      <c r="C7" s="21" t="s">
        <v>57</v>
      </c>
      <c r="D7" s="95">
        <f>574.8/20</f>
        <v>28.74</v>
      </c>
      <c r="E7" s="95">
        <v>40.450000000000003</v>
      </c>
      <c r="F7" s="15" t="s">
        <v>8</v>
      </c>
    </row>
    <row r="8" spans="1:53" x14ac:dyDescent="0.2">
      <c r="B8" s="44" t="s">
        <v>89</v>
      </c>
      <c r="C8"/>
      <c r="D8" s="31"/>
      <c r="E8" s="32"/>
      <c r="G8" s="65" t="s">
        <v>52</v>
      </c>
      <c r="J8" s="43"/>
      <c r="K8" s="46"/>
    </row>
    <row r="9" spans="1:53" x14ac:dyDescent="0.2">
      <c r="C9" s="12" t="s">
        <v>90</v>
      </c>
      <c r="D9" s="45" t="s">
        <v>8</v>
      </c>
      <c r="E9" s="45" t="s">
        <v>8</v>
      </c>
      <c r="F9" s="118">
        <f>120000/20</f>
        <v>6000</v>
      </c>
      <c r="G9" s="47" t="s">
        <v>102</v>
      </c>
      <c r="H9"/>
    </row>
    <row r="10" spans="1:53" x14ac:dyDescent="0.2">
      <c r="C10" s="12" t="s">
        <v>91</v>
      </c>
      <c r="D10" s="45" t="s">
        <v>8</v>
      </c>
      <c r="E10" s="45" t="s">
        <v>8</v>
      </c>
      <c r="F10" s="118">
        <f>330000/20</f>
        <v>16500</v>
      </c>
      <c r="G10" s="47" t="s">
        <v>102</v>
      </c>
      <c r="H10"/>
    </row>
    <row r="11" spans="1:53" x14ac:dyDescent="0.2">
      <c r="C11" s="12" t="s">
        <v>92</v>
      </c>
      <c r="D11" s="45" t="s">
        <v>8</v>
      </c>
      <c r="E11" s="45" t="s">
        <v>8</v>
      </c>
      <c r="F11" s="118">
        <f>430000/20</f>
        <v>21500</v>
      </c>
      <c r="G11" s="47" t="s">
        <v>103</v>
      </c>
      <c r="H11"/>
    </row>
    <row r="12" spans="1:53" x14ac:dyDescent="0.2">
      <c r="C12" s="12" t="s">
        <v>93</v>
      </c>
      <c r="D12" s="45" t="s">
        <v>8</v>
      </c>
      <c r="E12" s="45" t="s">
        <v>8</v>
      </c>
      <c r="F12" s="118">
        <v>140000</v>
      </c>
      <c r="G12" s="47" t="s">
        <v>46</v>
      </c>
      <c r="H12"/>
    </row>
    <row r="13" spans="1:53" x14ac:dyDescent="0.2">
      <c r="D13" s="46"/>
      <c r="E13" s="72" t="s">
        <v>104</v>
      </c>
      <c r="F13" s="119">
        <f>F9+F10+F11+F12</f>
        <v>184000</v>
      </c>
      <c r="G13" s="46"/>
    </row>
    <row r="14" spans="1:53" ht="15.75" x14ac:dyDescent="0.25">
      <c r="A14" s="22" t="s">
        <v>4</v>
      </c>
      <c r="B14" s="23" t="s">
        <v>94</v>
      </c>
    </row>
    <row r="15" spans="1:53" x14ac:dyDescent="0.2">
      <c r="C15" s="33"/>
      <c r="D15" s="34" t="s">
        <v>120</v>
      </c>
      <c r="E15" s="35" t="s">
        <v>121</v>
      </c>
      <c r="F15" s="35" t="s">
        <v>36</v>
      </c>
      <c r="G15" s="58" t="s">
        <v>51</v>
      </c>
      <c r="H15" s="58"/>
      <c r="I15" s="58"/>
    </row>
    <row r="16" spans="1:53" x14ac:dyDescent="0.2">
      <c r="C16" s="36" t="s">
        <v>57</v>
      </c>
      <c r="D16" s="120"/>
      <c r="E16" s="120"/>
      <c r="F16" s="122"/>
      <c r="G16" s="26"/>
      <c r="H16" s="26"/>
      <c r="I16" s="26"/>
    </row>
    <row r="17" spans="1:53" x14ac:dyDescent="0.2">
      <c r="C17" s="12" t="s">
        <v>95</v>
      </c>
      <c r="D17" s="121"/>
      <c r="E17" s="121"/>
      <c r="F17" s="123"/>
      <c r="G17" s="26"/>
      <c r="H17" s="73"/>
      <c r="I17" s="52"/>
    </row>
    <row r="18" spans="1:53" x14ac:dyDescent="0.2">
      <c r="C18" s="12" t="s">
        <v>96</v>
      </c>
      <c r="D18" s="121"/>
      <c r="E18" s="121"/>
      <c r="F18" s="123"/>
      <c r="G18" s="26"/>
      <c r="H18" s="73"/>
      <c r="I18" s="52"/>
    </row>
    <row r="19" spans="1:53" x14ac:dyDescent="0.2">
      <c r="C19" s="12" t="s">
        <v>97</v>
      </c>
      <c r="D19" s="121"/>
      <c r="E19" s="121"/>
      <c r="F19" s="123"/>
      <c r="G19" s="26"/>
      <c r="H19" s="75"/>
      <c r="I19" s="26"/>
    </row>
    <row r="20" spans="1:53" x14ac:dyDescent="0.2">
      <c r="C20" s="12" t="s">
        <v>98</v>
      </c>
      <c r="D20" s="121"/>
      <c r="E20" s="121"/>
      <c r="F20" s="123"/>
      <c r="G20" s="26"/>
      <c r="H20" s="38"/>
      <c r="I20" s="26"/>
    </row>
    <row r="21" spans="1:53" x14ac:dyDescent="0.2">
      <c r="C21" s="36" t="s">
        <v>62</v>
      </c>
      <c r="D21" s="120"/>
      <c r="E21" s="120"/>
      <c r="F21" s="122"/>
      <c r="G21" s="26"/>
      <c r="H21" s="26"/>
      <c r="I21" s="26"/>
    </row>
    <row r="22" spans="1:53" x14ac:dyDescent="0.2">
      <c r="C22" s="36" t="s">
        <v>63</v>
      </c>
      <c r="D22" s="121"/>
      <c r="E22" s="121"/>
      <c r="F22" s="123"/>
      <c r="G22" s="26"/>
      <c r="H22" s="26"/>
      <c r="I22" s="26"/>
    </row>
    <row r="23" spans="1:53" x14ac:dyDescent="0.2">
      <c r="C23" s="36" t="s">
        <v>64</v>
      </c>
      <c r="D23" s="120"/>
      <c r="E23" s="120"/>
      <c r="F23" s="122"/>
      <c r="G23" s="26"/>
      <c r="H23" s="26"/>
      <c r="I23" s="26"/>
    </row>
    <row r="24" spans="1:53" x14ac:dyDescent="0.2">
      <c r="C24" s="21" t="s">
        <v>65</v>
      </c>
      <c r="D24" s="121"/>
      <c r="E24" s="121"/>
      <c r="F24" s="122"/>
      <c r="G24" s="26"/>
      <c r="H24" s="26"/>
      <c r="I24" s="26"/>
    </row>
    <row r="25" spans="1:53" x14ac:dyDescent="0.2">
      <c r="C25" s="21" t="s">
        <v>9</v>
      </c>
      <c r="D25" s="86"/>
      <c r="E25" s="74"/>
      <c r="F25" s="56">
        <v>0.04</v>
      </c>
      <c r="G25" s="26"/>
      <c r="H25" s="26"/>
      <c r="I25" s="26"/>
    </row>
    <row r="27" spans="1:53" ht="15.75" x14ac:dyDescent="0.25">
      <c r="A27" s="22" t="s">
        <v>5</v>
      </c>
      <c r="B27" s="23" t="s">
        <v>72</v>
      </c>
    </row>
    <row r="28" spans="1:53" x14ac:dyDescent="0.2">
      <c r="C28" s="36" t="s">
        <v>74</v>
      </c>
      <c r="E28" s="15" t="s">
        <v>106</v>
      </c>
      <c r="F28" s="42" t="s">
        <v>79</v>
      </c>
      <c r="G28" s="15" t="s">
        <v>107</v>
      </c>
      <c r="H28" s="42" t="s">
        <v>79</v>
      </c>
    </row>
    <row r="29" spans="1:53" ht="25.5" x14ac:dyDescent="0.2">
      <c r="D29" s="110" t="s">
        <v>105</v>
      </c>
      <c r="E29" s="15" t="s">
        <v>122</v>
      </c>
      <c r="F29" s="42" t="s">
        <v>108</v>
      </c>
      <c r="G29" s="15" t="s">
        <v>110</v>
      </c>
      <c r="H29" s="42" t="s">
        <v>109</v>
      </c>
    </row>
    <row r="30" spans="1:53" s="15" customFormat="1" x14ac:dyDescent="0.2">
      <c r="A30"/>
      <c r="B30" s="18"/>
      <c r="C30" s="8" t="s">
        <v>113</v>
      </c>
      <c r="D30" s="99"/>
      <c r="E30" s="99"/>
      <c r="F30" s="97"/>
      <c r="G30" s="99"/>
      <c r="H30" s="97"/>
      <c r="I30" s="99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</row>
    <row r="31" spans="1:53" s="15" customFormat="1" x14ac:dyDescent="0.2">
      <c r="A31"/>
      <c r="B31" s="18"/>
      <c r="C31" s="8" t="s">
        <v>10</v>
      </c>
      <c r="D31" s="99"/>
      <c r="E31" s="99"/>
      <c r="F31" s="97"/>
      <c r="G31" s="99"/>
      <c r="H31" s="97"/>
      <c r="I31" s="99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</row>
    <row r="32" spans="1:53" s="15" customFormat="1" x14ac:dyDescent="0.2">
      <c r="A32"/>
      <c r="B32" s="18"/>
      <c r="C32" s="8" t="s">
        <v>99</v>
      </c>
      <c r="D32" s="99"/>
      <c r="E32" s="99"/>
      <c r="F32" s="97"/>
      <c r="G32" s="99"/>
      <c r="H32" s="97"/>
      <c r="I32" s="99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</row>
    <row r="33" spans="1:53" s="15" customFormat="1" x14ac:dyDescent="0.2">
      <c r="A33"/>
      <c r="B33" s="18"/>
      <c r="C33" s="8" t="s">
        <v>11</v>
      </c>
      <c r="D33" s="99"/>
      <c r="E33" s="99"/>
      <c r="F33" s="112"/>
      <c r="G33" s="99"/>
      <c r="H33" s="97"/>
      <c r="I33" s="111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</row>
    <row r="34" spans="1:53" s="15" customFormat="1" x14ac:dyDescent="0.2">
      <c r="A34"/>
      <c r="B34" s="18"/>
      <c r="C34" s="36" t="s">
        <v>100</v>
      </c>
      <c r="D34" s="112"/>
      <c r="E34" s="112"/>
      <c r="F34" s="112"/>
      <c r="G34" s="112"/>
      <c r="H34" s="112"/>
      <c r="I34" s="112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</row>
    <row r="35" spans="1:53" x14ac:dyDescent="0.2">
      <c r="C35" s="33"/>
      <c r="D35" s="34" t="s">
        <v>111</v>
      </c>
      <c r="E35" s="35" t="s">
        <v>119</v>
      </c>
      <c r="F35" s="35" t="s">
        <v>36</v>
      </c>
      <c r="G35" s="58" t="s">
        <v>112</v>
      </c>
      <c r="H35" s="58"/>
      <c r="I35" s="58"/>
    </row>
    <row r="36" spans="1:53" x14ac:dyDescent="0.2">
      <c r="C36" s="36" t="s">
        <v>57</v>
      </c>
      <c r="D36" s="120"/>
      <c r="E36" s="120"/>
      <c r="F36" s="122"/>
      <c r="G36" s="26"/>
      <c r="H36" s="100"/>
      <c r="I36" s="26"/>
    </row>
    <row r="37" spans="1:53" x14ac:dyDescent="0.2">
      <c r="C37" s="12" t="s">
        <v>95</v>
      </c>
      <c r="D37" s="121"/>
      <c r="E37" s="121"/>
      <c r="F37" s="123"/>
      <c r="G37" s="26"/>
      <c r="H37" s="132"/>
      <c r="I37" s="52"/>
    </row>
    <row r="38" spans="1:53" x14ac:dyDescent="0.2">
      <c r="C38" s="12" t="s">
        <v>96</v>
      </c>
      <c r="D38" s="121"/>
      <c r="E38" s="121"/>
      <c r="F38" s="123"/>
      <c r="G38" s="26"/>
      <c r="H38" s="132"/>
      <c r="I38" s="52"/>
    </row>
    <row r="39" spans="1:53" x14ac:dyDescent="0.2">
      <c r="C39" s="12" t="s">
        <v>97</v>
      </c>
      <c r="D39" s="121"/>
      <c r="E39" s="121"/>
      <c r="F39" s="123"/>
      <c r="G39" s="26"/>
      <c r="H39" s="133"/>
      <c r="I39" s="26"/>
    </row>
    <row r="40" spans="1:53" x14ac:dyDescent="0.2">
      <c r="C40" s="12" t="s">
        <v>98</v>
      </c>
      <c r="D40" s="121"/>
      <c r="E40" s="121"/>
      <c r="F40" s="123"/>
      <c r="G40" s="26"/>
      <c r="H40" s="134"/>
      <c r="I40" s="26"/>
    </row>
    <row r="41" spans="1:53" x14ac:dyDescent="0.2">
      <c r="C41" s="36" t="s">
        <v>62</v>
      </c>
      <c r="D41" s="120"/>
      <c r="E41" s="120"/>
      <c r="F41" s="122"/>
      <c r="G41" s="26"/>
      <c r="H41" s="100"/>
      <c r="I41" s="26"/>
    </row>
    <row r="42" spans="1:53" x14ac:dyDescent="0.2">
      <c r="C42" s="36" t="s">
        <v>63</v>
      </c>
      <c r="D42" s="121"/>
      <c r="E42" s="121"/>
      <c r="F42" s="123"/>
      <c r="G42" s="26"/>
      <c r="H42" s="100"/>
      <c r="I42" s="26"/>
    </row>
    <row r="43" spans="1:53" x14ac:dyDescent="0.2">
      <c r="C43" s="36" t="s">
        <v>64</v>
      </c>
      <c r="D43" s="120"/>
      <c r="E43" s="120"/>
      <c r="F43" s="122"/>
      <c r="G43" s="26"/>
      <c r="H43" s="100"/>
      <c r="I43" s="26"/>
    </row>
    <row r="44" spans="1:53" x14ac:dyDescent="0.2">
      <c r="C44" s="21" t="s">
        <v>65</v>
      </c>
      <c r="D44" s="121"/>
      <c r="E44" s="121"/>
      <c r="F44" s="122"/>
      <c r="G44" s="26"/>
      <c r="H44" s="100"/>
      <c r="I44" s="26"/>
    </row>
    <row r="45" spans="1:53" x14ac:dyDescent="0.2">
      <c r="C45" s="21" t="s">
        <v>9</v>
      </c>
      <c r="D45" s="74"/>
      <c r="E45" s="74"/>
      <c r="F45" s="56"/>
      <c r="G45" s="26"/>
      <c r="H45" s="26"/>
      <c r="I45" s="26"/>
    </row>
    <row r="46" spans="1:53" x14ac:dyDescent="0.2">
      <c r="D46" s="87"/>
      <c r="E46" s="87"/>
      <c r="F46" s="88"/>
    </row>
  </sheetData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Specification</vt:lpstr>
      <vt:lpstr>Gardener</vt:lpstr>
      <vt:lpstr>Gardener-solution</vt:lpstr>
      <vt:lpstr>Separately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Šiška</dc:creator>
  <cp:lastModifiedBy>Kubatova Eva</cp:lastModifiedBy>
  <cp:lastPrinted>2024-10-09T09:03:55Z</cp:lastPrinted>
  <dcterms:created xsi:type="dcterms:W3CDTF">2007-09-23T08:22:23Z</dcterms:created>
  <dcterms:modified xsi:type="dcterms:W3CDTF">2024-10-09T09:49:57Z</dcterms:modified>
</cp:coreProperties>
</file>