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end\Dropbox\Academic\Masaryk University\Brno lecture course\Modelling\Models\April 2021\Examples\"/>
    </mc:Choice>
  </mc:AlternateContent>
  <xr:revisionPtr revIDLastSave="0" documentId="13_ncr:1_{95D06BBF-992E-41E5-94CF-93FDA7A28A11}" xr6:coauthVersionLast="46" xr6:coauthVersionMax="46" xr10:uidLastSave="{00000000-0000-0000-0000-000000000000}"/>
  <bookViews>
    <workbookView xWindow="225" yWindow="105" windowWidth="14520" windowHeight="15195" xr2:uid="{D1B86B56-8365-46E7-8887-6DCEF78B60E7}"/>
  </bookViews>
  <sheets>
    <sheet name="Model" sheetId="1" r:id="rId1"/>
    <sheet name="WACC" sheetId="2" r:id="rId2"/>
    <sheet name="Costs" sheetId="3" r:id="rId3"/>
    <sheet name="Carbon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" i="1" l="1"/>
  <c r="M5" i="1"/>
  <c r="K5" i="1"/>
  <c r="J5" i="1"/>
  <c r="M6" i="1"/>
  <c r="N6" i="1"/>
  <c r="M7" i="1"/>
  <c r="N7" i="1"/>
  <c r="M8" i="1"/>
  <c r="N8" i="1"/>
  <c r="J6" i="1"/>
  <c r="K6" i="1"/>
  <c r="J7" i="1"/>
  <c r="K7" i="1"/>
  <c r="J8" i="1"/>
  <c r="K8" i="1"/>
  <c r="N4" i="1"/>
  <c r="M4" i="1"/>
  <c r="K4" i="1"/>
  <c r="J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F44" i="1"/>
  <c r="B75" i="1"/>
  <c r="F38" i="1" l="1"/>
  <c r="G38" i="1" s="1"/>
  <c r="H38" i="1" s="1"/>
  <c r="I38" i="1" l="1"/>
  <c r="B9" i="2"/>
  <c r="J38" i="1" l="1"/>
  <c r="K38" i="1" l="1"/>
  <c r="F36" i="1"/>
  <c r="C8" i="5"/>
  <c r="D8" i="5" s="1"/>
  <c r="C7" i="5"/>
  <c r="D7" i="5" s="1"/>
  <c r="C6" i="5"/>
  <c r="D6" i="5" s="1"/>
  <c r="C5" i="5"/>
  <c r="D5" i="5" s="1"/>
  <c r="D4" i="5"/>
  <c r="C24" i="1" s="1"/>
  <c r="C4" i="5"/>
  <c r="L38" i="1" l="1"/>
  <c r="C15" i="1"/>
  <c r="C7" i="1"/>
  <c r="M38" i="1" l="1"/>
  <c r="B55" i="1"/>
  <c r="B19" i="2"/>
  <c r="B14" i="2"/>
  <c r="E20" i="1"/>
  <c r="H20" i="1" s="1"/>
  <c r="G36" i="1"/>
  <c r="H36" i="1" s="1"/>
  <c r="I36" i="1" s="1"/>
  <c r="F34" i="1"/>
  <c r="G34" i="1" s="1"/>
  <c r="G35" i="1" s="1"/>
  <c r="G46" i="1" l="1"/>
  <c r="G43" i="1"/>
  <c r="N38" i="1"/>
  <c r="F35" i="1"/>
  <c r="G37" i="1"/>
  <c r="B16" i="2"/>
  <c r="B64" i="1" s="1"/>
  <c r="C65" i="1" s="1"/>
  <c r="D65" i="1" s="1"/>
  <c r="E65" i="1" s="1"/>
  <c r="H34" i="1"/>
  <c r="J36" i="1"/>
  <c r="E19" i="1"/>
  <c r="C22" i="1"/>
  <c r="G45" i="1" s="1"/>
  <c r="H19" i="1" l="1"/>
  <c r="C40" i="1"/>
  <c r="F43" i="1"/>
  <c r="F45" i="1"/>
  <c r="O38" i="1"/>
  <c r="G47" i="1"/>
  <c r="F37" i="1"/>
  <c r="F46" i="1"/>
  <c r="F65" i="1"/>
  <c r="H35" i="1"/>
  <c r="I34" i="1"/>
  <c r="K36" i="1"/>
  <c r="C5" i="1"/>
  <c r="C6" i="1" s="1"/>
  <c r="E21" i="1" s="1"/>
  <c r="H21" i="1" s="1"/>
  <c r="D40" i="1" l="1"/>
  <c r="C61" i="1"/>
  <c r="H43" i="1"/>
  <c r="H46" i="1"/>
  <c r="H45" i="1"/>
  <c r="G49" i="1"/>
  <c r="P38" i="1"/>
  <c r="F47" i="1"/>
  <c r="H37" i="1"/>
  <c r="G65" i="1"/>
  <c r="J34" i="1"/>
  <c r="I35" i="1"/>
  <c r="C13" i="1"/>
  <c r="E22" i="1" s="1"/>
  <c r="H22" i="1" s="1"/>
  <c r="L36" i="1"/>
  <c r="C62" i="1" l="1"/>
  <c r="C67" i="1"/>
  <c r="E40" i="1"/>
  <c r="D61" i="1"/>
  <c r="I43" i="1"/>
  <c r="I46" i="1"/>
  <c r="I45" i="1"/>
  <c r="F49" i="1"/>
  <c r="Q38" i="1"/>
  <c r="H47" i="1"/>
  <c r="H49" i="1" s="1"/>
  <c r="I37" i="1"/>
  <c r="H65" i="1"/>
  <c r="J35" i="1"/>
  <c r="K34" i="1"/>
  <c r="M36" i="1"/>
  <c r="E61" i="1" l="1"/>
  <c r="E67" i="1" s="1"/>
  <c r="C41" i="1"/>
  <c r="D62" i="1"/>
  <c r="E62" i="1" s="1"/>
  <c r="D67" i="1"/>
  <c r="J45" i="1"/>
  <c r="J43" i="1"/>
  <c r="J46" i="1"/>
  <c r="R38" i="1"/>
  <c r="I47" i="1"/>
  <c r="I49" i="1" s="1"/>
  <c r="J37" i="1"/>
  <c r="I65" i="1"/>
  <c r="L34" i="1"/>
  <c r="K35" i="1"/>
  <c r="N36" i="1"/>
  <c r="L51" i="1" l="1"/>
  <c r="X51" i="1"/>
  <c r="Q51" i="1"/>
  <c r="N51" i="1"/>
  <c r="F51" i="1"/>
  <c r="F53" i="1" s="1"/>
  <c r="S51" i="1"/>
  <c r="H51" i="1"/>
  <c r="H53" i="1" s="1"/>
  <c r="P51" i="1"/>
  <c r="U51" i="1"/>
  <c r="R51" i="1"/>
  <c r="G51" i="1"/>
  <c r="G53" i="1" s="1"/>
  <c r="T51" i="1"/>
  <c r="J51" i="1"/>
  <c r="Y51" i="1"/>
  <c r="K51" i="1"/>
  <c r="I51" i="1"/>
  <c r="I53" i="1" s="1"/>
  <c r="V51" i="1"/>
  <c r="O51" i="1"/>
  <c r="W51" i="1"/>
  <c r="M51" i="1"/>
  <c r="K46" i="1"/>
  <c r="K45" i="1"/>
  <c r="K43" i="1"/>
  <c r="S38" i="1"/>
  <c r="J47" i="1"/>
  <c r="J49" i="1" s="1"/>
  <c r="J53" i="1" s="1"/>
  <c r="J55" i="1" s="1"/>
  <c r="J59" i="1" s="1"/>
  <c r="J61" i="1" s="1"/>
  <c r="K37" i="1"/>
  <c r="J65" i="1"/>
  <c r="M34" i="1"/>
  <c r="L35" i="1"/>
  <c r="O36" i="1"/>
  <c r="I55" i="1" l="1"/>
  <c r="I59" i="1" s="1"/>
  <c r="I61" i="1" s="1"/>
  <c r="I57" i="1"/>
  <c r="H55" i="1"/>
  <c r="H59" i="1" s="1"/>
  <c r="H61" i="1" s="1"/>
  <c r="H67" i="1" s="1"/>
  <c r="F55" i="1"/>
  <c r="F59" i="1" s="1"/>
  <c r="F61" i="1" s="1"/>
  <c r="G55" i="1"/>
  <c r="G59" i="1" s="1"/>
  <c r="G61" i="1" s="1"/>
  <c r="G67" i="1" s="1"/>
  <c r="L43" i="1"/>
  <c r="L46" i="1"/>
  <c r="L45" i="1"/>
  <c r="T38" i="1"/>
  <c r="K47" i="1"/>
  <c r="J57" i="1"/>
  <c r="L37" i="1"/>
  <c r="K65" i="1"/>
  <c r="J67" i="1"/>
  <c r="N34" i="1"/>
  <c r="M35" i="1"/>
  <c r="P36" i="1"/>
  <c r="F57" i="1" l="1"/>
  <c r="G57" i="1"/>
  <c r="F67" i="1"/>
  <c r="F62" i="1"/>
  <c r="G62" i="1" s="1"/>
  <c r="H62" i="1" s="1"/>
  <c r="I62" i="1" s="1"/>
  <c r="J62" i="1" s="1"/>
  <c r="H57" i="1"/>
  <c r="I67" i="1"/>
  <c r="M43" i="1"/>
  <c r="M46" i="1"/>
  <c r="M45" i="1"/>
  <c r="L47" i="1"/>
  <c r="L49" i="1" s="1"/>
  <c r="L53" i="1" s="1"/>
  <c r="L55" i="1" s="1"/>
  <c r="L59" i="1" s="1"/>
  <c r="L61" i="1" s="1"/>
  <c r="K49" i="1"/>
  <c r="K53" i="1" s="1"/>
  <c r="K55" i="1" s="1"/>
  <c r="K59" i="1" s="1"/>
  <c r="K61" i="1" s="1"/>
  <c r="U38" i="1"/>
  <c r="M37" i="1"/>
  <c r="L65" i="1"/>
  <c r="O34" i="1"/>
  <c r="N35" i="1"/>
  <c r="Q36" i="1"/>
  <c r="N45" i="1" l="1"/>
  <c r="N43" i="1"/>
  <c r="N46" i="1"/>
  <c r="V38" i="1"/>
  <c r="M47" i="1"/>
  <c r="M49" i="1" s="1"/>
  <c r="M53" i="1" s="1"/>
  <c r="M55" i="1" s="1"/>
  <c r="M59" i="1" s="1"/>
  <c r="M61" i="1" s="1"/>
  <c r="K67" i="1"/>
  <c r="K62" i="1"/>
  <c r="L62" i="1" s="1"/>
  <c r="K57" i="1"/>
  <c r="N37" i="1"/>
  <c r="L57" i="1"/>
  <c r="M65" i="1"/>
  <c r="L67" i="1"/>
  <c r="P34" i="1"/>
  <c r="O35" i="1"/>
  <c r="R36" i="1"/>
  <c r="N47" i="1" l="1"/>
  <c r="N49" i="1" s="1"/>
  <c r="N53" i="1" s="1"/>
  <c r="O43" i="1"/>
  <c r="O46" i="1"/>
  <c r="O45" i="1"/>
  <c r="W38" i="1"/>
  <c r="M62" i="1"/>
  <c r="O37" i="1"/>
  <c r="M57" i="1"/>
  <c r="N65" i="1"/>
  <c r="M67" i="1"/>
  <c r="Q34" i="1"/>
  <c r="P35" i="1"/>
  <c r="S36" i="1"/>
  <c r="P43" i="1" l="1"/>
  <c r="P46" i="1"/>
  <c r="P45" i="1"/>
  <c r="O47" i="1"/>
  <c r="O49" i="1" s="1"/>
  <c r="O53" i="1" s="1"/>
  <c r="O55" i="1" s="1"/>
  <c r="O59" i="1" s="1"/>
  <c r="O61" i="1" s="1"/>
  <c r="X38" i="1"/>
  <c r="P37" i="1"/>
  <c r="N55" i="1"/>
  <c r="N59" i="1" s="1"/>
  <c r="N61" i="1" s="1"/>
  <c r="N67" i="1" s="1"/>
  <c r="O65" i="1"/>
  <c r="R34" i="1"/>
  <c r="Q35" i="1"/>
  <c r="T36" i="1"/>
  <c r="Q43" i="1" l="1"/>
  <c r="Q46" i="1"/>
  <c r="Q45" i="1"/>
  <c r="P47" i="1"/>
  <c r="P49" i="1" s="1"/>
  <c r="P53" i="1" s="1"/>
  <c r="Y38" i="1"/>
  <c r="N62" i="1"/>
  <c r="O62" i="1" s="1"/>
  <c r="N57" i="1"/>
  <c r="Q37" i="1"/>
  <c r="O57" i="1"/>
  <c r="P65" i="1"/>
  <c r="O67" i="1"/>
  <c r="S34" i="1"/>
  <c r="R35" i="1"/>
  <c r="U36" i="1"/>
  <c r="R46" i="1" l="1"/>
  <c r="R45" i="1"/>
  <c r="R43" i="1"/>
  <c r="Q47" i="1"/>
  <c r="Q49" i="1" s="1"/>
  <c r="Q53" i="1" s="1"/>
  <c r="Q55" i="1" s="1"/>
  <c r="Q59" i="1" s="1"/>
  <c r="Q61" i="1" s="1"/>
  <c r="R37" i="1"/>
  <c r="P55" i="1"/>
  <c r="P59" i="1" s="1"/>
  <c r="P61" i="1" s="1"/>
  <c r="P67" i="1" s="1"/>
  <c r="Q65" i="1"/>
  <c r="T34" i="1"/>
  <c r="S35" i="1"/>
  <c r="V36" i="1"/>
  <c r="S46" i="1" l="1"/>
  <c r="S45" i="1"/>
  <c r="S43" i="1"/>
  <c r="R47" i="1"/>
  <c r="R49" i="1" s="1"/>
  <c r="R53" i="1" s="1"/>
  <c r="P62" i="1"/>
  <c r="Q62" i="1" s="1"/>
  <c r="S37" i="1"/>
  <c r="P57" i="1"/>
  <c r="Q57" i="1"/>
  <c r="R65" i="1"/>
  <c r="Q67" i="1"/>
  <c r="U34" i="1"/>
  <c r="T35" i="1"/>
  <c r="W36" i="1"/>
  <c r="T43" i="1" l="1"/>
  <c r="T46" i="1"/>
  <c r="T45" i="1"/>
  <c r="S47" i="1"/>
  <c r="S49" i="1" s="1"/>
  <c r="S53" i="1" s="1"/>
  <c r="S55" i="1" s="1"/>
  <c r="S59" i="1" s="1"/>
  <c r="S61" i="1" s="1"/>
  <c r="T37" i="1"/>
  <c r="R55" i="1"/>
  <c r="R59" i="1" s="1"/>
  <c r="R61" i="1" s="1"/>
  <c r="R67" i="1" s="1"/>
  <c r="S65" i="1"/>
  <c r="V34" i="1"/>
  <c r="U35" i="1"/>
  <c r="X36" i="1"/>
  <c r="U43" i="1" l="1"/>
  <c r="U46" i="1"/>
  <c r="U45" i="1"/>
  <c r="T47" i="1"/>
  <c r="T49" i="1" s="1"/>
  <c r="T53" i="1" s="1"/>
  <c r="R62" i="1"/>
  <c r="S62" i="1" s="1"/>
  <c r="R57" i="1"/>
  <c r="U37" i="1"/>
  <c r="S57" i="1"/>
  <c r="T65" i="1"/>
  <c r="S67" i="1"/>
  <c r="W34" i="1"/>
  <c r="V35" i="1"/>
  <c r="Y36" i="1"/>
  <c r="V45" i="1" l="1"/>
  <c r="V43" i="1"/>
  <c r="V46" i="1"/>
  <c r="U47" i="1"/>
  <c r="U49" i="1" s="1"/>
  <c r="U53" i="1" s="1"/>
  <c r="U55" i="1" s="1"/>
  <c r="U59" i="1" s="1"/>
  <c r="U61" i="1" s="1"/>
  <c r="V37" i="1"/>
  <c r="T55" i="1"/>
  <c r="T59" i="1" s="1"/>
  <c r="T61" i="1" s="1"/>
  <c r="T67" i="1" s="1"/>
  <c r="U65" i="1"/>
  <c r="X34" i="1"/>
  <c r="W35" i="1"/>
  <c r="W46" i="1" l="1"/>
  <c r="W45" i="1"/>
  <c r="W43" i="1"/>
  <c r="V47" i="1"/>
  <c r="V49" i="1" s="1"/>
  <c r="V53" i="1" s="1"/>
  <c r="T62" i="1"/>
  <c r="U62" i="1" s="1"/>
  <c r="T57" i="1"/>
  <c r="W37" i="1"/>
  <c r="U57" i="1"/>
  <c r="V65" i="1"/>
  <c r="U67" i="1"/>
  <c r="Y34" i="1"/>
  <c r="Y35" i="1" s="1"/>
  <c r="X35" i="1"/>
  <c r="X43" i="1" l="1"/>
  <c r="X46" i="1"/>
  <c r="X45" i="1"/>
  <c r="Y43" i="1"/>
  <c r="Y46" i="1"/>
  <c r="Y45" i="1"/>
  <c r="W47" i="1"/>
  <c r="W49" i="1" s="1"/>
  <c r="W53" i="1" s="1"/>
  <c r="W55" i="1" s="1"/>
  <c r="W59" i="1" s="1"/>
  <c r="W61" i="1" s="1"/>
  <c r="Y37" i="1"/>
  <c r="X37" i="1"/>
  <c r="V55" i="1"/>
  <c r="V59" i="1" s="1"/>
  <c r="V61" i="1" s="1"/>
  <c r="V67" i="1" s="1"/>
  <c r="W65" i="1"/>
  <c r="Y47" i="1" l="1"/>
  <c r="Y49" i="1" s="1"/>
  <c r="Y53" i="1" s="1"/>
  <c r="X47" i="1"/>
  <c r="V62" i="1"/>
  <c r="W62" i="1" s="1"/>
  <c r="V57" i="1"/>
  <c r="W57" i="1"/>
  <c r="X65" i="1"/>
  <c r="W67" i="1"/>
  <c r="X49" i="1" l="1"/>
  <c r="X53" i="1" s="1"/>
  <c r="Y55" i="1"/>
  <c r="Y59" i="1" s="1"/>
  <c r="Y61" i="1" s="1"/>
  <c r="Y65" i="1"/>
  <c r="X55" i="1" l="1"/>
  <c r="X59" i="1" s="1"/>
  <c r="X61" i="1" s="1"/>
  <c r="C70" i="1" s="1"/>
  <c r="Y67" i="1"/>
  <c r="Y57" i="1"/>
  <c r="X57" i="1" l="1"/>
  <c r="X67" i="1"/>
  <c r="C69" i="1" s="1"/>
  <c r="G13" i="1" s="1"/>
  <c r="X62" i="1"/>
  <c r="Y62" i="1" s="1"/>
</calcChain>
</file>

<file path=xl/sharedStrings.xml><?xml version="1.0" encoding="utf-8"?>
<sst xmlns="http://schemas.openxmlformats.org/spreadsheetml/2006/main" count="161" uniqueCount="107">
  <si>
    <t>CCGT Economics</t>
  </si>
  <si>
    <t>Capacity</t>
  </si>
  <si>
    <t>MW</t>
  </si>
  <si>
    <t>Load Factor</t>
  </si>
  <si>
    <t>%</t>
  </si>
  <si>
    <t>Annual output</t>
  </si>
  <si>
    <t>MWh</t>
  </si>
  <si>
    <t>TWh</t>
  </si>
  <si>
    <t>Construction time</t>
  </si>
  <si>
    <t>years</t>
  </si>
  <si>
    <t>Project life</t>
  </si>
  <si>
    <t>Fuel</t>
  </si>
  <si>
    <t>Efficiency</t>
  </si>
  <si>
    <t>Gas cost</t>
  </si>
  <si>
    <t>US$/mmbtu</t>
  </si>
  <si>
    <t>US$/MWh</t>
  </si>
  <si>
    <t>WACC</t>
  </si>
  <si>
    <t>Capital Cost</t>
  </si>
  <si>
    <t>Variable Costs</t>
  </si>
  <si>
    <t>Fuel consumed</t>
  </si>
  <si>
    <t>Project Economics</t>
  </si>
  <si>
    <t>Output</t>
  </si>
  <si>
    <t>Price</t>
  </si>
  <si>
    <t>Revenues</t>
  </si>
  <si>
    <t>€mm</t>
  </si>
  <si>
    <t>Utilisation</t>
  </si>
  <si>
    <t>Capex</t>
  </si>
  <si>
    <t>Total</t>
  </si>
  <si>
    <t>US$mm</t>
  </si>
  <si>
    <t>Fixed Cost</t>
  </si>
  <si>
    <t>EIA Estimates</t>
  </si>
  <si>
    <t>Gas Cost</t>
  </si>
  <si>
    <t>Variable Cost</t>
  </si>
  <si>
    <t>Fuel Cost</t>
  </si>
  <si>
    <t>Total Costs</t>
  </si>
  <si>
    <t>Operating Cashflow</t>
  </si>
  <si>
    <t>Depreciation</t>
  </si>
  <si>
    <t>Pre-tax profit</t>
  </si>
  <si>
    <t>Corporation Tax</t>
  </si>
  <si>
    <t>Net Income</t>
  </si>
  <si>
    <t>Net Cashflow</t>
  </si>
  <si>
    <t>Post-tax Cashflow</t>
  </si>
  <si>
    <t>Discount Rate</t>
  </si>
  <si>
    <t>Discount Factor</t>
  </si>
  <si>
    <t>Discounted Cashflow</t>
  </si>
  <si>
    <t>NPV</t>
  </si>
  <si>
    <t>IRR</t>
  </si>
  <si>
    <t>Cost of Equity</t>
  </si>
  <si>
    <t>Risk Free Rate</t>
  </si>
  <si>
    <t>Beta</t>
  </si>
  <si>
    <t>Interest Rate</t>
  </si>
  <si>
    <t xml:space="preserve">Cost of Debt </t>
  </si>
  <si>
    <t>% Debt</t>
  </si>
  <si>
    <t>% Equity</t>
  </si>
  <si>
    <t>20-year return</t>
  </si>
  <si>
    <t>Tax Rate</t>
  </si>
  <si>
    <t>Corporate Tax Rate</t>
  </si>
  <si>
    <t>Coal (USC)</t>
  </si>
  <si>
    <t>US$/kW</t>
  </si>
  <si>
    <t>Gas CCGT</t>
  </si>
  <si>
    <t>Nuclear</t>
  </si>
  <si>
    <t>Biomass</t>
  </si>
  <si>
    <t>Onshore Wind</t>
  </si>
  <si>
    <t>Offshore Wind</t>
  </si>
  <si>
    <t>Solar PV</t>
  </si>
  <si>
    <t>Waste</t>
  </si>
  <si>
    <t>Hydro</t>
  </si>
  <si>
    <t>Capital Costs</t>
  </si>
  <si>
    <t>Operating Costs</t>
  </si>
  <si>
    <t>Variable (RHS)</t>
  </si>
  <si>
    <t>Fixed (LHS)</t>
  </si>
  <si>
    <t>kW</t>
  </si>
  <si>
    <t>Convert mmbtu to MWh</t>
  </si>
  <si>
    <t>Payback (Years)</t>
  </si>
  <si>
    <t>Cumulative Net Cashflow</t>
  </si>
  <si>
    <t>US$=€1</t>
  </si>
  <si>
    <t>Electricity Price</t>
  </si>
  <si>
    <t>Pounds per mmBtu</t>
  </si>
  <si>
    <t>Coal</t>
  </si>
  <si>
    <t>Gas</t>
  </si>
  <si>
    <t>Diesel</t>
  </si>
  <si>
    <t>Gasoline</t>
  </si>
  <si>
    <t>Lignite</t>
  </si>
  <si>
    <t>Tonnes per mmbtu</t>
  </si>
  <si>
    <t>Tonnes per MWh</t>
  </si>
  <si>
    <t>Carbon output per MWh</t>
  </si>
  <si>
    <t>Tonnes</t>
  </si>
  <si>
    <t>Carbon price</t>
  </si>
  <si>
    <t>Cost of Carbon</t>
  </si>
  <si>
    <t>Capacity Payment</t>
  </si>
  <si>
    <t>Breakeven Utilisation</t>
  </si>
  <si>
    <t>Breakeven Gas Price</t>
  </si>
  <si>
    <t>Breakeven Electricity Price</t>
  </si>
  <si>
    <t>Breakeven Carbon Price</t>
  </si>
  <si>
    <t>US$/t</t>
  </si>
  <si>
    <t>$/MWh</t>
  </si>
  <si>
    <t>$mm</t>
  </si>
  <si>
    <t>Load Factor (Utilisation)</t>
  </si>
  <si>
    <t>Upside 30</t>
  </si>
  <si>
    <t>Upside 15</t>
  </si>
  <si>
    <t>Down 15</t>
  </si>
  <si>
    <t>Down 30</t>
  </si>
  <si>
    <t>Base</t>
  </si>
  <si>
    <t>Electricity</t>
  </si>
  <si>
    <t>Carbon</t>
  </si>
  <si>
    <t>Var Opex</t>
  </si>
  <si>
    <t>Sensitivity Assumptions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</si>
</sst>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2" fontId="0" fillId="0" borderId="0" xfId="0" applyNumberFormat="1"/>
    <xf numFmtId="9" fontId="0" fillId="0" borderId="0" xfId="0" applyNumberFormat="1"/>
    <xf numFmtId="1" fontId="0" fillId="0" borderId="0" xfId="0" applyNumberFormat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0" fontId="0" fillId="0" borderId="0" xfId="0" applyNumberFormat="1"/>
    <xf numFmtId="10" fontId="0" fillId="0" borderId="0" xfId="1" applyNumberFormat="1" applyFont="1"/>
    <xf numFmtId="0" fontId="3" fillId="0" borderId="0" xfId="0" applyFont="1"/>
    <xf numFmtId="166" fontId="0" fillId="0" borderId="0" xfId="0" applyNumberFormat="1"/>
    <xf numFmtId="0" fontId="4" fillId="0" borderId="0" xfId="0" applyFont="1"/>
    <xf numFmtId="9" fontId="4" fillId="0" borderId="0" xfId="1" applyFont="1"/>
    <xf numFmtId="9" fontId="4" fillId="0" borderId="0" xfId="0" applyNumberFormat="1" applyFont="1"/>
    <xf numFmtId="2" fontId="4" fillId="0" borderId="0" xfId="0" applyNumberFormat="1" applyFont="1"/>
    <xf numFmtId="1" fontId="4" fillId="0" borderId="0" xfId="0" applyNumberFormat="1" applyFont="1"/>
    <xf numFmtId="0" fontId="0" fillId="2" borderId="0" xfId="0" applyFill="1"/>
    <xf numFmtId="164" fontId="0" fillId="2" borderId="0" xfId="0" applyNumberFormat="1" applyFill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Model!$A$81</c:f>
              <c:strCache>
                <c:ptCount val="1"/>
                <c:pt idx="0">
                  <c:v>Capacity Payment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Model!$B$80:$H$80</c:f>
              <c:numCache>
                <c:formatCode>0%</c:formatCode>
                <c:ptCount val="7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</c:numCache>
            </c:numRef>
          </c:cat>
          <c:val>
            <c:numRef>
              <c:f>Model!$B$81:$H$81</c:f>
              <c:numCache>
                <c:formatCode>General</c:formatCode>
                <c:ptCount val="7"/>
                <c:pt idx="0">
                  <c:v>59.27</c:v>
                </c:pt>
                <c:pt idx="1">
                  <c:v>48.85</c:v>
                </c:pt>
                <c:pt idx="2">
                  <c:v>38.43</c:v>
                </c:pt>
                <c:pt idx="3">
                  <c:v>28.01</c:v>
                </c:pt>
                <c:pt idx="4">
                  <c:v>17.59</c:v>
                </c:pt>
                <c:pt idx="5">
                  <c:v>7.17</c:v>
                </c:pt>
                <c:pt idx="6">
                  <c:v>-3.25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28-4E45-8DB6-B43E4DACD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3463912"/>
        <c:axId val="333464896"/>
      </c:barChart>
      <c:catAx>
        <c:axId val="333463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Load Factor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464896"/>
        <c:crosses val="autoZero"/>
        <c:auto val="1"/>
        <c:lblAlgn val="ctr"/>
        <c:lblOffset val="100"/>
        <c:noMultiLvlLbl val="0"/>
      </c:catAx>
      <c:valAx>
        <c:axId val="33346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463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Model!$Q$4</c:f>
              <c:strCache>
                <c:ptCount val="1"/>
                <c:pt idx="0">
                  <c:v>Gas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Model!$R$3:$V$3</c:f>
              <c:strCache>
                <c:ptCount val="5"/>
                <c:pt idx="0">
                  <c:v>Upside 30</c:v>
                </c:pt>
                <c:pt idx="1">
                  <c:v>Upside 15</c:v>
                </c:pt>
                <c:pt idx="2">
                  <c:v>Base</c:v>
                </c:pt>
                <c:pt idx="3">
                  <c:v>Down 15</c:v>
                </c:pt>
                <c:pt idx="4">
                  <c:v>Down 30</c:v>
                </c:pt>
              </c:strCache>
            </c:strRef>
          </c:cat>
          <c:val>
            <c:numRef>
              <c:f>Model!$R$4:$V$4</c:f>
              <c:numCache>
                <c:formatCode>General</c:formatCode>
                <c:ptCount val="5"/>
                <c:pt idx="2">
                  <c:v>285.10000000000002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28-4E91-A8DD-6AC3F06A5797}"/>
            </c:ext>
          </c:extLst>
        </c:ser>
        <c:ser>
          <c:idx val="1"/>
          <c:order val="1"/>
          <c:tx>
            <c:strRef>
              <c:f>Model!$Q$5</c:f>
              <c:strCache>
                <c:ptCount val="1"/>
                <c:pt idx="0">
                  <c:v>Electricity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Model!$R$3:$V$3</c:f>
              <c:strCache>
                <c:ptCount val="5"/>
                <c:pt idx="0">
                  <c:v>Upside 30</c:v>
                </c:pt>
                <c:pt idx="1">
                  <c:v>Upside 15</c:v>
                </c:pt>
                <c:pt idx="2">
                  <c:v>Base</c:v>
                </c:pt>
                <c:pt idx="3">
                  <c:v>Down 15</c:v>
                </c:pt>
                <c:pt idx="4">
                  <c:v>Down 30</c:v>
                </c:pt>
              </c:strCache>
            </c:strRef>
          </c:cat>
          <c:val>
            <c:numRef>
              <c:f>Model!$R$5:$V$5</c:f>
              <c:numCache>
                <c:formatCode>General</c:formatCode>
                <c:ptCount val="5"/>
                <c:pt idx="2">
                  <c:v>285.10000000000002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28-4E91-A8DD-6AC3F06A5797}"/>
            </c:ext>
          </c:extLst>
        </c:ser>
        <c:ser>
          <c:idx val="2"/>
          <c:order val="2"/>
          <c:tx>
            <c:strRef>
              <c:f>Model!$Q$6</c:f>
              <c:strCache>
                <c:ptCount val="1"/>
                <c:pt idx="0">
                  <c:v>Carbon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Model!$R$3:$V$3</c:f>
              <c:strCache>
                <c:ptCount val="5"/>
                <c:pt idx="0">
                  <c:v>Upside 30</c:v>
                </c:pt>
                <c:pt idx="1">
                  <c:v>Upside 15</c:v>
                </c:pt>
                <c:pt idx="2">
                  <c:v>Base</c:v>
                </c:pt>
                <c:pt idx="3">
                  <c:v>Down 15</c:v>
                </c:pt>
                <c:pt idx="4">
                  <c:v>Down 30</c:v>
                </c:pt>
              </c:strCache>
            </c:strRef>
          </c:cat>
          <c:val>
            <c:numRef>
              <c:f>Model!$R$6:$V$6</c:f>
              <c:numCache>
                <c:formatCode>General</c:formatCode>
                <c:ptCount val="5"/>
                <c:pt idx="2">
                  <c:v>285.10000000000002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28-4E91-A8DD-6AC3F06A5797}"/>
            </c:ext>
          </c:extLst>
        </c:ser>
        <c:ser>
          <c:idx val="3"/>
          <c:order val="3"/>
          <c:tx>
            <c:strRef>
              <c:f>Model!$Q$7</c:f>
              <c:strCache>
                <c:ptCount val="1"/>
                <c:pt idx="0">
                  <c:v>Capex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Model!$R$3:$V$3</c:f>
              <c:strCache>
                <c:ptCount val="5"/>
                <c:pt idx="0">
                  <c:v>Upside 30</c:v>
                </c:pt>
                <c:pt idx="1">
                  <c:v>Upside 15</c:v>
                </c:pt>
                <c:pt idx="2">
                  <c:v>Base</c:v>
                </c:pt>
                <c:pt idx="3">
                  <c:v>Down 15</c:v>
                </c:pt>
                <c:pt idx="4">
                  <c:v>Down 30</c:v>
                </c:pt>
              </c:strCache>
            </c:strRef>
          </c:cat>
          <c:val>
            <c:numRef>
              <c:f>Model!$R$7:$V$7</c:f>
              <c:numCache>
                <c:formatCode>General</c:formatCode>
                <c:ptCount val="5"/>
                <c:pt idx="2">
                  <c:v>285.10000000000002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28-4E91-A8DD-6AC3F06A5797}"/>
            </c:ext>
          </c:extLst>
        </c:ser>
        <c:ser>
          <c:idx val="4"/>
          <c:order val="4"/>
          <c:tx>
            <c:strRef>
              <c:f>Model!$Q$8</c:f>
              <c:strCache>
                <c:ptCount val="1"/>
                <c:pt idx="0">
                  <c:v>Var Opex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Model!$R$3:$V$3</c:f>
              <c:strCache>
                <c:ptCount val="5"/>
                <c:pt idx="0">
                  <c:v>Upside 30</c:v>
                </c:pt>
                <c:pt idx="1">
                  <c:v>Upside 15</c:v>
                </c:pt>
                <c:pt idx="2">
                  <c:v>Base</c:v>
                </c:pt>
                <c:pt idx="3">
                  <c:v>Down 15</c:v>
                </c:pt>
                <c:pt idx="4">
                  <c:v>Down 30</c:v>
                </c:pt>
              </c:strCache>
            </c:strRef>
          </c:cat>
          <c:val>
            <c:numRef>
              <c:f>Model!$R$8:$V$8</c:f>
              <c:numCache>
                <c:formatCode>General</c:formatCode>
                <c:ptCount val="5"/>
                <c:pt idx="2">
                  <c:v>285.10000000000002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928-4E91-A8DD-6AC3F06A5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523520"/>
        <c:axId val="447524352"/>
      </c:lineChart>
      <c:catAx>
        <c:axId val="44752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524352"/>
        <c:crosses val="autoZero"/>
        <c:auto val="1"/>
        <c:lblAlgn val="ctr"/>
        <c:lblOffset val="100"/>
        <c:noMultiLvlLbl val="0"/>
      </c:catAx>
      <c:valAx>
        <c:axId val="447524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NPV (US$mm)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52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Costs!$B$3</c:f>
              <c:strCache>
                <c:ptCount val="1"/>
                <c:pt idx="0">
                  <c:v>US$/kW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Costs!$A$4:$A$12</c:f>
              <c:strCache>
                <c:ptCount val="9"/>
                <c:pt idx="0">
                  <c:v>Gas CCGT</c:v>
                </c:pt>
                <c:pt idx="1">
                  <c:v>Onshore Wind</c:v>
                </c:pt>
                <c:pt idx="2">
                  <c:v>Solar PV</c:v>
                </c:pt>
                <c:pt idx="3">
                  <c:v>Hydro</c:v>
                </c:pt>
                <c:pt idx="4">
                  <c:v>Coal (USC)</c:v>
                </c:pt>
                <c:pt idx="5">
                  <c:v>Biomass</c:v>
                </c:pt>
                <c:pt idx="6">
                  <c:v>Nuclear</c:v>
                </c:pt>
                <c:pt idx="7">
                  <c:v>Offshore Wind</c:v>
                </c:pt>
                <c:pt idx="8">
                  <c:v>Waste</c:v>
                </c:pt>
              </c:strCache>
            </c:strRef>
          </c:cat>
          <c:val>
            <c:numRef>
              <c:f>Costs!$B$4:$B$12</c:f>
              <c:numCache>
                <c:formatCode>General</c:formatCode>
                <c:ptCount val="9"/>
                <c:pt idx="0">
                  <c:v>978</c:v>
                </c:pt>
                <c:pt idx="1">
                  <c:v>1877</c:v>
                </c:pt>
                <c:pt idx="2">
                  <c:v>2534</c:v>
                </c:pt>
                <c:pt idx="3">
                  <c:v>3123</c:v>
                </c:pt>
                <c:pt idx="4">
                  <c:v>3636</c:v>
                </c:pt>
                <c:pt idx="5">
                  <c:v>4985</c:v>
                </c:pt>
                <c:pt idx="6">
                  <c:v>5945</c:v>
                </c:pt>
                <c:pt idx="7">
                  <c:v>6628</c:v>
                </c:pt>
                <c:pt idx="8">
                  <c:v>8843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DB-4481-A9C9-987D3BC33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2963272"/>
        <c:axId val="412964256"/>
      </c:barChart>
      <c:catAx>
        <c:axId val="412963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964256"/>
        <c:crosses val="autoZero"/>
        <c:auto val="1"/>
        <c:lblAlgn val="ctr"/>
        <c:lblOffset val="100"/>
        <c:noMultiLvlLbl val="0"/>
      </c:catAx>
      <c:valAx>
        <c:axId val="41296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963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Costs!$B$19</c:f>
              <c:strCache>
                <c:ptCount val="1"/>
                <c:pt idx="0">
                  <c:v>Fixed (LHS)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Costs!$A$20:$A$26</c:f>
              <c:strCache>
                <c:ptCount val="7"/>
                <c:pt idx="0">
                  <c:v>Gas CCGT</c:v>
                </c:pt>
                <c:pt idx="1">
                  <c:v>Solar PV</c:v>
                </c:pt>
                <c:pt idx="2">
                  <c:v>Onshore Wind</c:v>
                </c:pt>
                <c:pt idx="3">
                  <c:v>Coal (USC)</c:v>
                </c:pt>
                <c:pt idx="4">
                  <c:v>Offshore Wind</c:v>
                </c:pt>
                <c:pt idx="5">
                  <c:v>Nuclear</c:v>
                </c:pt>
                <c:pt idx="6">
                  <c:v>Biomass</c:v>
                </c:pt>
              </c:strCache>
            </c:strRef>
          </c:cat>
          <c:val>
            <c:numRef>
              <c:f>Costs!$B$20:$B$26</c:f>
              <c:numCache>
                <c:formatCode>General</c:formatCode>
                <c:ptCount val="7"/>
                <c:pt idx="0">
                  <c:v>11</c:v>
                </c:pt>
                <c:pt idx="1">
                  <c:v>23.4</c:v>
                </c:pt>
                <c:pt idx="2">
                  <c:v>39.700000000000003</c:v>
                </c:pt>
                <c:pt idx="3">
                  <c:v>42.1</c:v>
                </c:pt>
                <c:pt idx="4">
                  <c:v>54</c:v>
                </c:pt>
                <c:pt idx="5">
                  <c:v>100.3</c:v>
                </c:pt>
                <c:pt idx="6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C-46FA-9DA6-BA547E259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2501184"/>
        <c:axId val="322503152"/>
      </c:barChart>
      <c:lineChart>
        <c:grouping val="standard"/>
        <c:varyColors val="0"/>
        <c:ser>
          <c:idx val="1"/>
          <c:order val="1"/>
          <c:tx>
            <c:strRef>
              <c:f>Costs!$C$19</c:f>
              <c:strCache>
                <c:ptCount val="1"/>
                <c:pt idx="0">
                  <c:v>Variable (RHS)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19050">
                <a:solidFill>
                  <a:schemeClr val="tx1">
                    <a:alpha val="86000"/>
                  </a:schemeClr>
                </a:solidFill>
              </a:ln>
              <a:effectLst/>
            </c:spPr>
          </c:marker>
          <c:cat>
            <c:strRef>
              <c:f>Costs!$A$20:$A$26</c:f>
              <c:strCache>
                <c:ptCount val="7"/>
                <c:pt idx="0">
                  <c:v>Gas CCGT</c:v>
                </c:pt>
                <c:pt idx="1">
                  <c:v>Solar PV</c:v>
                </c:pt>
                <c:pt idx="2">
                  <c:v>Onshore Wind</c:v>
                </c:pt>
                <c:pt idx="3">
                  <c:v>Coal (USC)</c:v>
                </c:pt>
                <c:pt idx="4">
                  <c:v>Offshore Wind</c:v>
                </c:pt>
                <c:pt idx="5">
                  <c:v>Nuclear</c:v>
                </c:pt>
                <c:pt idx="6">
                  <c:v>Biomass</c:v>
                </c:pt>
              </c:strCache>
            </c:strRef>
          </c:cat>
          <c:val>
            <c:numRef>
              <c:f>Costs!$C$20:$C$26</c:f>
              <c:numCache>
                <c:formatCode>General</c:formatCode>
                <c:ptCount val="7"/>
                <c:pt idx="0">
                  <c:v>3.5</c:v>
                </c:pt>
                <c:pt idx="1">
                  <c:v>0</c:v>
                </c:pt>
                <c:pt idx="2">
                  <c:v>0</c:v>
                </c:pt>
                <c:pt idx="3">
                  <c:v>4.5999999999999996</c:v>
                </c:pt>
                <c:pt idx="4">
                  <c:v>0</c:v>
                </c:pt>
                <c:pt idx="5">
                  <c:v>2.2999999999999998</c:v>
                </c:pt>
                <c:pt idx="6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7C-46FA-9DA6-BA547E259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086568"/>
        <c:axId val="320080992"/>
      </c:lineChart>
      <c:catAx>
        <c:axId val="32250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503152"/>
        <c:crosses val="autoZero"/>
        <c:auto val="1"/>
        <c:lblAlgn val="ctr"/>
        <c:lblOffset val="100"/>
        <c:noMultiLvlLbl val="0"/>
      </c:catAx>
      <c:valAx>
        <c:axId val="32250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US$/kW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501184"/>
        <c:crosses val="autoZero"/>
        <c:crossBetween val="between"/>
      </c:valAx>
      <c:valAx>
        <c:axId val="32008099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US$/MWh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086568"/>
        <c:crosses val="max"/>
        <c:crossBetween val="between"/>
      </c:valAx>
      <c:catAx>
        <c:axId val="320086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0080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Carbon!$B$3</c:f>
              <c:strCache>
                <c:ptCount val="1"/>
                <c:pt idx="0">
                  <c:v>Pounds per mmBtu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Carbon!$A$4:$A$8</c:f>
              <c:strCache>
                <c:ptCount val="5"/>
                <c:pt idx="0">
                  <c:v>Gas</c:v>
                </c:pt>
                <c:pt idx="1">
                  <c:v>Gasoline</c:v>
                </c:pt>
                <c:pt idx="2">
                  <c:v>Diesel</c:v>
                </c:pt>
                <c:pt idx="3">
                  <c:v>Lignite</c:v>
                </c:pt>
                <c:pt idx="4">
                  <c:v>Coal</c:v>
                </c:pt>
              </c:strCache>
            </c:strRef>
          </c:cat>
          <c:val>
            <c:numRef>
              <c:f>Carbon!$B$4:$B$8</c:f>
              <c:numCache>
                <c:formatCode>General</c:formatCode>
                <c:ptCount val="5"/>
                <c:pt idx="0" formatCode="0.0">
                  <c:v>117</c:v>
                </c:pt>
                <c:pt idx="1">
                  <c:v>157.19999999999999</c:v>
                </c:pt>
                <c:pt idx="2">
                  <c:v>161.30000000000001</c:v>
                </c:pt>
                <c:pt idx="3">
                  <c:v>215.4</c:v>
                </c:pt>
                <c:pt idx="4">
                  <c:v>228.6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FC-41FF-9F3F-81831761A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827616"/>
        <c:axId val="408827288"/>
      </c:barChart>
      <c:catAx>
        <c:axId val="40882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827288"/>
        <c:crosses val="autoZero"/>
        <c:auto val="1"/>
        <c:lblAlgn val="ctr"/>
        <c:lblOffset val="100"/>
        <c:noMultiLvlLbl val="0"/>
      </c:catAx>
      <c:valAx>
        <c:axId val="40882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Pounds/mmBtu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827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612775</xdr:colOff>
      <xdr:row>82</xdr:row>
      <xdr:rowOff>60325</xdr:rowOff>
    </xdr:from>
    <xdr:to>
      <xdr:col>10</xdr:col>
      <xdr:colOff>53975</xdr:colOff>
      <xdr:row>97</xdr:row>
      <xdr:rowOff>41275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34E702C-DC7C-4DAC-95C9-C86A6E366F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28575</xdr:colOff>
      <xdr:row>11</xdr:row>
      <xdr:rowOff>90487</xdr:rowOff>
    </xdr:from>
    <xdr:to>
      <xdr:col>23</xdr:col>
      <xdr:colOff>466725</xdr:colOff>
      <xdr:row>25</xdr:row>
      <xdr:rowOff>166687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AC4D50E-168D-4489-8C8B-6985255F04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34925</xdr:colOff>
      <xdr:row>0</xdr:row>
      <xdr:rowOff>130175</xdr:rowOff>
    </xdr:from>
    <xdr:to>
      <xdr:col>10</xdr:col>
      <xdr:colOff>339725</xdr:colOff>
      <xdr:row>15</xdr:row>
      <xdr:rowOff>111125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08A63A-5450-4116-90C7-EF2067F75C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180975</xdr:colOff>
      <xdr:row>18</xdr:row>
      <xdr:rowOff>9525</xdr:rowOff>
    </xdr:from>
    <xdr:to>
      <xdr:col>11</xdr:col>
      <xdr:colOff>485775</xdr:colOff>
      <xdr:row>32</xdr:row>
      <xdr:rowOff>174625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0152EA2-DBD9-4723-8395-B05B6E6F3B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536575</xdr:colOff>
      <xdr:row>2</xdr:row>
      <xdr:rowOff>73025</xdr:rowOff>
    </xdr:from>
    <xdr:to>
      <xdr:col>13</xdr:col>
      <xdr:colOff>231775</xdr:colOff>
      <xdr:row>17</xdr:row>
      <xdr:rowOff>53975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38C592-E48F-4965-9A7B-96DE7CDAFE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AE890-3B58-4971-BA5A-FCF1134D8FB2}">
  <dimension ref="A1:AB81"/>
  <sheetViews>
    <sheetView tabSelected="1" workbookViewId="0">
      <selection activeCell="C30" sqref="C30"/>
    </sheetView>
  </sheetViews>
  <sheetFormatPr defaultRowHeight="15" x14ac:dyDescent="0.25"/>
  <cols>
    <col min="1" max="1" width="23.7109375" customWidth="1"/>
    <col min="2" max="2" width="11.28515625" customWidth="1"/>
    <col min="3" max="3" width="11.42578125" bestFit="1" customWidth="1"/>
    <col min="4" max="5" width="9" bestFit="1" customWidth="1"/>
    <col min="6" max="25" width="8.85546875" bestFit="1" customWidth="1"/>
  </cols>
  <sheetData>
    <row r="1" spans="1:22" x14ac:dyDescent="0.25">
      <c r="A1" s="5" t="s">
        <v>0</v>
      </c>
    </row>
    <row r="2" spans="1:22" x14ac:dyDescent="0.25">
      <c r="I2" s="5" t="s">
        <v>106</v>
      </c>
    </row>
    <row r="3" spans="1:22" x14ac:dyDescent="0.25">
      <c r="A3" t="s">
        <v>1</v>
      </c>
      <c r="B3" t="s">
        <v>2</v>
      </c>
      <c r="C3" s="11">
        <v>750</v>
      </c>
      <c r="J3" s="20" t="s">
        <v>98</v>
      </c>
      <c r="K3" s="20" t="s">
        <v>99</v>
      </c>
      <c r="L3" s="20" t="s">
        <v>102</v>
      </c>
      <c r="M3" s="20" t="s">
        <v>100</v>
      </c>
      <c r="N3" s="20" t="s">
        <v>101</v>
      </c>
      <c r="R3" s="20" t="s">
        <v>98</v>
      </c>
      <c r="S3" s="20" t="s">
        <v>99</v>
      </c>
      <c r="T3" s="20" t="s">
        <v>102</v>
      </c>
      <c r="U3" s="20" t="s">
        <v>100</v>
      </c>
      <c r="V3" s="20" t="s">
        <v>101</v>
      </c>
    </row>
    <row r="4" spans="1:22" x14ac:dyDescent="0.25">
      <c r="A4" t="s">
        <v>97</v>
      </c>
      <c r="B4" t="s">
        <v>4</v>
      </c>
      <c r="C4" s="12">
        <v>0.85</v>
      </c>
      <c r="I4" t="s">
        <v>79</v>
      </c>
      <c r="J4" s="21">
        <f>L4*0.7</f>
        <v>0</v>
      </c>
      <c r="K4" s="21">
        <f>L4*0.85</f>
        <v>0</v>
      </c>
      <c r="L4" s="18">
        <v>0</v>
      </c>
      <c r="M4" s="21">
        <f>L4*1.15</f>
        <v>0</v>
      </c>
      <c r="N4" s="21">
        <f>L4*1.3</f>
        <v>0</v>
      </c>
      <c r="Q4" t="s">
        <v>79</v>
      </c>
      <c r="R4" s="18"/>
      <c r="S4" s="18"/>
      <c r="T4" s="18">
        <v>285.10000000000002</v>
      </c>
      <c r="U4" s="18"/>
      <c r="V4" s="18"/>
    </row>
    <row r="5" spans="1:22" x14ac:dyDescent="0.25">
      <c r="A5" t="s">
        <v>5</v>
      </c>
      <c r="B5" t="s">
        <v>7</v>
      </c>
      <c r="C5" s="1">
        <f>C3*365*24*C4/1000000</f>
        <v>5.5845000000000002</v>
      </c>
      <c r="I5" t="s">
        <v>103</v>
      </c>
      <c r="J5" s="21">
        <f>L5*1.3</f>
        <v>0</v>
      </c>
      <c r="K5" s="21">
        <f>L5*1.15</f>
        <v>0</v>
      </c>
      <c r="L5" s="18">
        <v>0</v>
      </c>
      <c r="M5" s="21">
        <f>L5*0.85</f>
        <v>0</v>
      </c>
      <c r="N5" s="21">
        <f>L5*0.7</f>
        <v>0</v>
      </c>
      <c r="Q5" t="s">
        <v>103</v>
      </c>
      <c r="R5" s="18"/>
      <c r="S5" s="18"/>
      <c r="T5" s="18">
        <v>285.10000000000002</v>
      </c>
      <c r="U5" s="18"/>
      <c r="V5" s="18"/>
    </row>
    <row r="6" spans="1:22" x14ac:dyDescent="0.25">
      <c r="B6" t="s">
        <v>6</v>
      </c>
      <c r="C6">
        <f>C5*1000000</f>
        <v>5584500</v>
      </c>
      <c r="I6" t="s">
        <v>104</v>
      </c>
      <c r="J6" s="21">
        <f t="shared" ref="J5:J8" si="0">L6*0.7</f>
        <v>0</v>
      </c>
      <c r="K6" s="21">
        <f t="shared" ref="K5:K8" si="1">L6*0.85</f>
        <v>0</v>
      </c>
      <c r="L6" s="18">
        <v>0</v>
      </c>
      <c r="M6" s="21">
        <f t="shared" ref="M5:M8" si="2">L6*1.15</f>
        <v>0</v>
      </c>
      <c r="N6" s="21">
        <f t="shared" ref="N5:N8" si="3">L6*1.3</f>
        <v>0</v>
      </c>
      <c r="Q6" t="s">
        <v>104</v>
      </c>
      <c r="R6" s="18"/>
      <c r="S6" s="18"/>
      <c r="T6" s="18">
        <v>285.10000000000002</v>
      </c>
      <c r="U6" s="18"/>
      <c r="V6" s="18"/>
    </row>
    <row r="7" spans="1:22" x14ac:dyDescent="0.25">
      <c r="B7" t="s">
        <v>71</v>
      </c>
      <c r="C7">
        <f>C3*1000</f>
        <v>750000</v>
      </c>
      <c r="I7" t="s">
        <v>26</v>
      </c>
      <c r="J7" s="21">
        <f t="shared" si="0"/>
        <v>0</v>
      </c>
      <c r="K7" s="21">
        <f t="shared" si="1"/>
        <v>0</v>
      </c>
      <c r="L7" s="18">
        <v>0</v>
      </c>
      <c r="M7" s="21">
        <f t="shared" si="2"/>
        <v>0</v>
      </c>
      <c r="N7" s="21">
        <f t="shared" si="3"/>
        <v>0</v>
      </c>
      <c r="Q7" t="s">
        <v>26</v>
      </c>
      <c r="R7" s="18"/>
      <c r="S7" s="18"/>
      <c r="T7" s="18">
        <v>285.10000000000002</v>
      </c>
      <c r="U7" s="18"/>
      <c r="V7" s="18"/>
    </row>
    <row r="8" spans="1:22" x14ac:dyDescent="0.25">
      <c r="A8" t="s">
        <v>8</v>
      </c>
      <c r="B8" t="s">
        <v>9</v>
      </c>
      <c r="C8" s="11">
        <v>3</v>
      </c>
      <c r="I8" t="s">
        <v>105</v>
      </c>
      <c r="J8" s="21">
        <f t="shared" si="0"/>
        <v>0</v>
      </c>
      <c r="K8" s="21">
        <f t="shared" si="1"/>
        <v>0</v>
      </c>
      <c r="L8" s="18">
        <v>0</v>
      </c>
      <c r="M8" s="21">
        <f t="shared" si="2"/>
        <v>0</v>
      </c>
      <c r="N8" s="21">
        <f t="shared" si="3"/>
        <v>0</v>
      </c>
      <c r="Q8" t="s">
        <v>105</v>
      </c>
      <c r="R8" s="18"/>
      <c r="S8" s="18"/>
      <c r="T8" s="18">
        <v>285.10000000000002</v>
      </c>
      <c r="U8" s="18"/>
      <c r="V8" s="18"/>
    </row>
    <row r="9" spans="1:22" x14ac:dyDescent="0.25">
      <c r="A9" t="s">
        <v>10</v>
      </c>
      <c r="B9" t="s">
        <v>9</v>
      </c>
      <c r="C9" s="11">
        <v>20</v>
      </c>
    </row>
    <row r="11" spans="1:22" x14ac:dyDescent="0.25">
      <c r="A11" s="5" t="s">
        <v>11</v>
      </c>
    </row>
    <row r="12" spans="1:22" x14ac:dyDescent="0.25">
      <c r="A12" t="s">
        <v>12</v>
      </c>
      <c r="C12" s="13">
        <v>0.54</v>
      </c>
    </row>
    <row r="13" spans="1:22" x14ac:dyDescent="0.25">
      <c r="A13" t="s">
        <v>19</v>
      </c>
      <c r="B13" t="s">
        <v>6</v>
      </c>
      <c r="C13" s="3">
        <f>C6/C12</f>
        <v>10341666.666666666</v>
      </c>
      <c r="F13" s="16" t="s">
        <v>45</v>
      </c>
      <c r="G13" s="17">
        <f>C69</f>
        <v>110.09247008360931</v>
      </c>
    </row>
    <row r="14" spans="1:22" x14ac:dyDescent="0.25">
      <c r="A14" t="s">
        <v>13</v>
      </c>
      <c r="B14" s="11" t="s">
        <v>14</v>
      </c>
      <c r="C14" s="14">
        <v>2.8</v>
      </c>
    </row>
    <row r="15" spans="1:22" x14ac:dyDescent="0.25">
      <c r="B15" t="s">
        <v>15</v>
      </c>
      <c r="C15" s="1">
        <f>C14*B16</f>
        <v>9.5563999999999982</v>
      </c>
    </row>
    <row r="16" spans="1:22" x14ac:dyDescent="0.25">
      <c r="A16" s="9" t="s">
        <v>72</v>
      </c>
      <c r="B16" s="9">
        <v>3.4129999999999998</v>
      </c>
    </row>
    <row r="17" spans="1:8" x14ac:dyDescent="0.25">
      <c r="G17" t="s">
        <v>75</v>
      </c>
      <c r="H17">
        <v>1.1299999999999999</v>
      </c>
    </row>
    <row r="18" spans="1:8" x14ac:dyDescent="0.25">
      <c r="A18" s="5" t="s">
        <v>30</v>
      </c>
      <c r="H18" s="18" t="s">
        <v>24</v>
      </c>
    </row>
    <row r="19" spans="1:8" x14ac:dyDescent="0.25">
      <c r="A19" t="s">
        <v>17</v>
      </c>
      <c r="B19" t="s">
        <v>58</v>
      </c>
      <c r="C19" s="11">
        <v>978</v>
      </c>
      <c r="E19">
        <f>C19*C3/1000</f>
        <v>733.5</v>
      </c>
      <c r="F19" t="s">
        <v>28</v>
      </c>
      <c r="H19" s="19">
        <f>E19/$H$17</f>
        <v>649.11504424778764</v>
      </c>
    </row>
    <row r="20" spans="1:8" x14ac:dyDescent="0.25">
      <c r="A20" t="s">
        <v>29</v>
      </c>
      <c r="B20" t="s">
        <v>58</v>
      </c>
      <c r="C20" s="11">
        <v>11</v>
      </c>
      <c r="E20" s="1">
        <f>C20*C3/1000</f>
        <v>8.25</v>
      </c>
      <c r="F20" t="s">
        <v>28</v>
      </c>
      <c r="H20" s="19">
        <f t="shared" ref="H20:H22" si="4">E20/$H$17</f>
        <v>7.3008849557522133</v>
      </c>
    </row>
    <row r="21" spans="1:8" x14ac:dyDescent="0.25">
      <c r="A21" t="s">
        <v>18</v>
      </c>
      <c r="B21" t="s">
        <v>15</v>
      </c>
      <c r="C21" s="11">
        <v>3.5</v>
      </c>
      <c r="E21" s="1">
        <f>C21*C6/1000000</f>
        <v>19.545750000000002</v>
      </c>
      <c r="F21" t="s">
        <v>28</v>
      </c>
      <c r="H21" s="19">
        <f t="shared" si="4"/>
        <v>17.297123893805313</v>
      </c>
    </row>
    <row r="22" spans="1:8" x14ac:dyDescent="0.25">
      <c r="A22" t="s">
        <v>31</v>
      </c>
      <c r="B22" t="s">
        <v>15</v>
      </c>
      <c r="C22" s="1">
        <f>C15</f>
        <v>9.5563999999999982</v>
      </c>
      <c r="E22" s="4">
        <f>C22*C13/1000000</f>
        <v>98.829103333333308</v>
      </c>
      <c r="F22" t="s">
        <v>28</v>
      </c>
      <c r="H22" s="19">
        <f t="shared" si="4"/>
        <v>87.459383480825949</v>
      </c>
    </row>
    <row r="23" spans="1:8" x14ac:dyDescent="0.25">
      <c r="C23" s="1"/>
      <c r="E23" s="4"/>
      <c r="H23" s="3"/>
    </row>
    <row r="24" spans="1:8" x14ac:dyDescent="0.25">
      <c r="A24" t="s">
        <v>85</v>
      </c>
      <c r="B24" t="s">
        <v>86</v>
      </c>
      <c r="C24" s="1">
        <f>Carbon!D4</f>
        <v>0.18109795918367344</v>
      </c>
      <c r="E24" s="4"/>
      <c r="H24" s="3"/>
    </row>
    <row r="25" spans="1:8" x14ac:dyDescent="0.25">
      <c r="A25" t="s">
        <v>87</v>
      </c>
      <c r="B25" t="s">
        <v>94</v>
      </c>
      <c r="C25" s="14">
        <v>40</v>
      </c>
      <c r="E25" s="4"/>
      <c r="H25" s="3"/>
    </row>
    <row r="27" spans="1:8" x14ac:dyDescent="0.25">
      <c r="A27" t="s">
        <v>56</v>
      </c>
      <c r="C27" s="13">
        <v>0.2</v>
      </c>
      <c r="E27" s="3"/>
    </row>
    <row r="28" spans="1:8" x14ac:dyDescent="0.25">
      <c r="C28" s="2"/>
      <c r="E28" s="3"/>
    </row>
    <row r="29" spans="1:8" x14ac:dyDescent="0.25">
      <c r="A29" t="s">
        <v>76</v>
      </c>
      <c r="B29" t="s">
        <v>15</v>
      </c>
      <c r="C29" s="15">
        <v>50</v>
      </c>
      <c r="E29" s="3"/>
    </row>
    <row r="30" spans="1:8" x14ac:dyDescent="0.25">
      <c r="A30" t="s">
        <v>89</v>
      </c>
      <c r="B30" t="s">
        <v>58</v>
      </c>
      <c r="C30" s="14">
        <v>0</v>
      </c>
    </row>
    <row r="31" spans="1:8" x14ac:dyDescent="0.25">
      <c r="C31" s="11"/>
    </row>
    <row r="32" spans="1:8" x14ac:dyDescent="0.25">
      <c r="A32" s="5" t="s">
        <v>20</v>
      </c>
    </row>
    <row r="33" spans="1:28" x14ac:dyDescent="0.25">
      <c r="C33">
        <v>2020</v>
      </c>
      <c r="D33">
        <v>2021</v>
      </c>
      <c r="E33">
        <v>2022</v>
      </c>
      <c r="F33">
        <v>2023</v>
      </c>
      <c r="G33">
        <v>2024</v>
      </c>
      <c r="H33">
        <v>2025</v>
      </c>
      <c r="I33">
        <v>2026</v>
      </c>
      <c r="J33">
        <v>2027</v>
      </c>
      <c r="K33">
        <v>2028</v>
      </c>
      <c r="L33">
        <v>2029</v>
      </c>
      <c r="M33">
        <v>2030</v>
      </c>
      <c r="N33">
        <v>2031</v>
      </c>
      <c r="O33">
        <v>2032</v>
      </c>
      <c r="P33">
        <v>2033</v>
      </c>
      <c r="Q33">
        <v>2034</v>
      </c>
      <c r="R33">
        <v>2035</v>
      </c>
      <c r="S33">
        <v>2036</v>
      </c>
      <c r="T33">
        <v>2037</v>
      </c>
      <c r="U33">
        <v>2038</v>
      </c>
      <c r="V33">
        <v>2039</v>
      </c>
      <c r="W33">
        <v>2040</v>
      </c>
      <c r="X33">
        <v>2041</v>
      </c>
      <c r="Y33">
        <v>2042</v>
      </c>
    </row>
    <row r="34" spans="1:28" x14ac:dyDescent="0.25">
      <c r="A34" t="s">
        <v>25</v>
      </c>
      <c r="F34" s="2">
        <f>C4</f>
        <v>0.85</v>
      </c>
      <c r="G34" s="2">
        <f>F34</f>
        <v>0.85</v>
      </c>
      <c r="H34" s="2">
        <f t="shared" ref="H34:Y34" si="5">G34</f>
        <v>0.85</v>
      </c>
      <c r="I34" s="2">
        <f t="shared" si="5"/>
        <v>0.85</v>
      </c>
      <c r="J34" s="2">
        <f t="shared" si="5"/>
        <v>0.85</v>
      </c>
      <c r="K34" s="2">
        <f t="shared" si="5"/>
        <v>0.85</v>
      </c>
      <c r="L34" s="2">
        <f t="shared" si="5"/>
        <v>0.85</v>
      </c>
      <c r="M34" s="2">
        <f t="shared" si="5"/>
        <v>0.85</v>
      </c>
      <c r="N34" s="2">
        <f t="shared" si="5"/>
        <v>0.85</v>
      </c>
      <c r="O34" s="2">
        <f t="shared" si="5"/>
        <v>0.85</v>
      </c>
      <c r="P34" s="2">
        <f t="shared" si="5"/>
        <v>0.85</v>
      </c>
      <c r="Q34" s="2">
        <f t="shared" si="5"/>
        <v>0.85</v>
      </c>
      <c r="R34" s="2">
        <f t="shared" si="5"/>
        <v>0.85</v>
      </c>
      <c r="S34" s="2">
        <f t="shared" si="5"/>
        <v>0.85</v>
      </c>
      <c r="T34" s="2">
        <f t="shared" si="5"/>
        <v>0.85</v>
      </c>
      <c r="U34" s="2">
        <f t="shared" si="5"/>
        <v>0.85</v>
      </c>
      <c r="V34" s="2">
        <f t="shared" si="5"/>
        <v>0.85</v>
      </c>
      <c r="W34" s="2">
        <f t="shared" si="5"/>
        <v>0.85</v>
      </c>
      <c r="X34" s="2">
        <f t="shared" si="5"/>
        <v>0.85</v>
      </c>
      <c r="Y34" s="2">
        <f t="shared" si="5"/>
        <v>0.85</v>
      </c>
    </row>
    <row r="35" spans="1:28" x14ac:dyDescent="0.25">
      <c r="A35" t="s">
        <v>21</v>
      </c>
      <c r="B35" t="s">
        <v>6</v>
      </c>
      <c r="F35">
        <f t="shared" ref="F35:Y35" si="6">$C$3*365*24*F$34</f>
        <v>5584500</v>
      </c>
      <c r="G35">
        <f t="shared" si="6"/>
        <v>5584500</v>
      </c>
      <c r="H35">
        <f t="shared" si="6"/>
        <v>5584500</v>
      </c>
      <c r="I35">
        <f t="shared" si="6"/>
        <v>5584500</v>
      </c>
      <c r="J35">
        <f t="shared" si="6"/>
        <v>5584500</v>
      </c>
      <c r="K35">
        <f t="shared" si="6"/>
        <v>5584500</v>
      </c>
      <c r="L35">
        <f t="shared" si="6"/>
        <v>5584500</v>
      </c>
      <c r="M35">
        <f t="shared" si="6"/>
        <v>5584500</v>
      </c>
      <c r="N35">
        <f t="shared" si="6"/>
        <v>5584500</v>
      </c>
      <c r="O35">
        <f t="shared" si="6"/>
        <v>5584500</v>
      </c>
      <c r="P35">
        <f t="shared" si="6"/>
        <v>5584500</v>
      </c>
      <c r="Q35">
        <f t="shared" si="6"/>
        <v>5584500</v>
      </c>
      <c r="R35">
        <f t="shared" si="6"/>
        <v>5584500</v>
      </c>
      <c r="S35">
        <f t="shared" si="6"/>
        <v>5584500</v>
      </c>
      <c r="T35">
        <f t="shared" si="6"/>
        <v>5584500</v>
      </c>
      <c r="U35">
        <f t="shared" si="6"/>
        <v>5584500</v>
      </c>
      <c r="V35">
        <f t="shared" si="6"/>
        <v>5584500</v>
      </c>
      <c r="W35">
        <f t="shared" si="6"/>
        <v>5584500</v>
      </c>
      <c r="X35">
        <f t="shared" si="6"/>
        <v>5584500</v>
      </c>
      <c r="Y35">
        <f t="shared" si="6"/>
        <v>5584500</v>
      </c>
    </row>
    <row r="36" spans="1:28" x14ac:dyDescent="0.25">
      <c r="A36" t="s">
        <v>22</v>
      </c>
      <c r="B36" t="s">
        <v>95</v>
      </c>
      <c r="F36" s="3">
        <f>C29</f>
        <v>50</v>
      </c>
      <c r="G36">
        <f>F36</f>
        <v>50</v>
      </c>
      <c r="H36">
        <f t="shared" ref="H36:Y36" si="7">G36</f>
        <v>50</v>
      </c>
      <c r="I36">
        <f t="shared" si="7"/>
        <v>50</v>
      </c>
      <c r="J36">
        <f t="shared" si="7"/>
        <v>50</v>
      </c>
      <c r="K36">
        <f t="shared" si="7"/>
        <v>50</v>
      </c>
      <c r="L36">
        <f t="shared" si="7"/>
        <v>50</v>
      </c>
      <c r="M36">
        <f t="shared" si="7"/>
        <v>50</v>
      </c>
      <c r="N36">
        <f t="shared" si="7"/>
        <v>50</v>
      </c>
      <c r="O36">
        <f t="shared" si="7"/>
        <v>50</v>
      </c>
      <c r="P36">
        <f t="shared" si="7"/>
        <v>50</v>
      </c>
      <c r="Q36">
        <f t="shared" si="7"/>
        <v>50</v>
      </c>
      <c r="R36">
        <f t="shared" si="7"/>
        <v>50</v>
      </c>
      <c r="S36">
        <f t="shared" si="7"/>
        <v>50</v>
      </c>
      <c r="T36">
        <f t="shared" si="7"/>
        <v>50</v>
      </c>
      <c r="U36">
        <f t="shared" si="7"/>
        <v>50</v>
      </c>
      <c r="V36">
        <f t="shared" si="7"/>
        <v>50</v>
      </c>
      <c r="W36">
        <f t="shared" si="7"/>
        <v>50</v>
      </c>
      <c r="X36">
        <f t="shared" si="7"/>
        <v>50</v>
      </c>
      <c r="Y36">
        <f t="shared" si="7"/>
        <v>50</v>
      </c>
    </row>
    <row r="37" spans="1:28" x14ac:dyDescent="0.25">
      <c r="A37" t="s">
        <v>23</v>
      </c>
      <c r="B37" t="s">
        <v>96</v>
      </c>
      <c r="F37" s="4">
        <f>F35*F36/1000000</f>
        <v>279.22500000000002</v>
      </c>
      <c r="G37" s="4">
        <f t="shared" ref="G37:Y37" si="8">G35*G36/1000000</f>
        <v>279.22500000000002</v>
      </c>
      <c r="H37" s="4">
        <f t="shared" si="8"/>
        <v>279.22500000000002</v>
      </c>
      <c r="I37" s="4">
        <f t="shared" si="8"/>
        <v>279.22500000000002</v>
      </c>
      <c r="J37" s="4">
        <f t="shared" si="8"/>
        <v>279.22500000000002</v>
      </c>
      <c r="K37" s="4">
        <f t="shared" si="8"/>
        <v>279.22500000000002</v>
      </c>
      <c r="L37" s="4">
        <f t="shared" si="8"/>
        <v>279.22500000000002</v>
      </c>
      <c r="M37" s="4">
        <f t="shared" si="8"/>
        <v>279.22500000000002</v>
      </c>
      <c r="N37" s="4">
        <f t="shared" si="8"/>
        <v>279.22500000000002</v>
      </c>
      <c r="O37" s="4">
        <f t="shared" si="8"/>
        <v>279.22500000000002</v>
      </c>
      <c r="P37" s="4">
        <f t="shared" si="8"/>
        <v>279.22500000000002</v>
      </c>
      <c r="Q37" s="4">
        <f t="shared" si="8"/>
        <v>279.22500000000002</v>
      </c>
      <c r="R37" s="4">
        <f t="shared" si="8"/>
        <v>279.22500000000002</v>
      </c>
      <c r="S37" s="4">
        <f t="shared" si="8"/>
        <v>279.22500000000002</v>
      </c>
      <c r="T37" s="4">
        <f t="shared" si="8"/>
        <v>279.22500000000002</v>
      </c>
      <c r="U37" s="4">
        <f t="shared" si="8"/>
        <v>279.22500000000002</v>
      </c>
      <c r="V37" s="4">
        <f t="shared" si="8"/>
        <v>279.22500000000002</v>
      </c>
      <c r="W37" s="4">
        <f t="shared" si="8"/>
        <v>279.22500000000002</v>
      </c>
      <c r="X37" s="4">
        <f t="shared" si="8"/>
        <v>279.22500000000002</v>
      </c>
      <c r="Y37" s="4">
        <f t="shared" si="8"/>
        <v>279.22500000000002</v>
      </c>
    </row>
    <row r="38" spans="1:28" x14ac:dyDescent="0.25">
      <c r="A38" t="s">
        <v>89</v>
      </c>
      <c r="B38" t="s">
        <v>96</v>
      </c>
      <c r="F38" s="4">
        <f>C30*C3/1000</f>
        <v>0</v>
      </c>
      <c r="G38" s="4">
        <f>F38</f>
        <v>0</v>
      </c>
      <c r="H38" s="4">
        <f t="shared" ref="H38:Y38" si="9">G38</f>
        <v>0</v>
      </c>
      <c r="I38" s="4">
        <f t="shared" si="9"/>
        <v>0</v>
      </c>
      <c r="J38" s="4">
        <f t="shared" si="9"/>
        <v>0</v>
      </c>
      <c r="K38" s="4">
        <f t="shared" si="9"/>
        <v>0</v>
      </c>
      <c r="L38" s="4">
        <f t="shared" si="9"/>
        <v>0</v>
      </c>
      <c r="M38" s="4">
        <f t="shared" si="9"/>
        <v>0</v>
      </c>
      <c r="N38" s="4">
        <f t="shared" si="9"/>
        <v>0</v>
      </c>
      <c r="O38" s="4">
        <f t="shared" si="9"/>
        <v>0</v>
      </c>
      <c r="P38" s="4">
        <f t="shared" si="9"/>
        <v>0</v>
      </c>
      <c r="Q38" s="4">
        <f t="shared" si="9"/>
        <v>0</v>
      </c>
      <c r="R38" s="4">
        <f t="shared" si="9"/>
        <v>0</v>
      </c>
      <c r="S38" s="4">
        <f t="shared" si="9"/>
        <v>0</v>
      </c>
      <c r="T38" s="4">
        <f t="shared" si="9"/>
        <v>0</v>
      </c>
      <c r="U38" s="4">
        <f t="shared" si="9"/>
        <v>0</v>
      </c>
      <c r="V38" s="4">
        <f t="shared" si="9"/>
        <v>0</v>
      </c>
      <c r="W38" s="4">
        <f t="shared" si="9"/>
        <v>0</v>
      </c>
      <c r="X38" s="4">
        <f t="shared" si="9"/>
        <v>0</v>
      </c>
      <c r="Y38" s="4">
        <f t="shared" si="9"/>
        <v>0</v>
      </c>
    </row>
    <row r="39" spans="1:28" x14ac:dyDescent="0.25"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8" x14ac:dyDescent="0.25">
      <c r="A40" t="s">
        <v>26</v>
      </c>
      <c r="B40" t="s">
        <v>96</v>
      </c>
      <c r="C40">
        <f>-E19/3</f>
        <v>-244.5</v>
      </c>
      <c r="D40">
        <f>C40</f>
        <v>-244.5</v>
      </c>
      <c r="E40">
        <f>D40</f>
        <v>-244.5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8" x14ac:dyDescent="0.25">
      <c r="A41" t="s">
        <v>27</v>
      </c>
      <c r="B41" t="s">
        <v>96</v>
      </c>
      <c r="C41">
        <f>C40+D40+E40</f>
        <v>-733.5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8" x14ac:dyDescent="0.25"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8" x14ac:dyDescent="0.25">
      <c r="A43" t="s">
        <v>32</v>
      </c>
      <c r="B43" t="s">
        <v>96</v>
      </c>
      <c r="F43" s="4">
        <f>F35*$C$21/1000000*-1</f>
        <v>-19.545750000000002</v>
      </c>
      <c r="G43" s="4">
        <f t="shared" ref="G43:Y43" si="10">G35*$C$21/1000000*-1</f>
        <v>-19.545750000000002</v>
      </c>
      <c r="H43" s="4">
        <f t="shared" si="10"/>
        <v>-19.545750000000002</v>
      </c>
      <c r="I43" s="4">
        <f t="shared" si="10"/>
        <v>-19.545750000000002</v>
      </c>
      <c r="J43" s="4">
        <f t="shared" si="10"/>
        <v>-19.545750000000002</v>
      </c>
      <c r="K43" s="4">
        <f t="shared" si="10"/>
        <v>-19.545750000000002</v>
      </c>
      <c r="L43" s="4">
        <f t="shared" si="10"/>
        <v>-19.545750000000002</v>
      </c>
      <c r="M43" s="4">
        <f t="shared" si="10"/>
        <v>-19.545750000000002</v>
      </c>
      <c r="N43" s="4">
        <f t="shared" si="10"/>
        <v>-19.545750000000002</v>
      </c>
      <c r="O43" s="4">
        <f t="shared" si="10"/>
        <v>-19.545750000000002</v>
      </c>
      <c r="P43" s="4">
        <f t="shared" si="10"/>
        <v>-19.545750000000002</v>
      </c>
      <c r="Q43" s="4">
        <f t="shared" si="10"/>
        <v>-19.545750000000002</v>
      </c>
      <c r="R43" s="4">
        <f t="shared" si="10"/>
        <v>-19.545750000000002</v>
      </c>
      <c r="S43" s="4">
        <f t="shared" si="10"/>
        <v>-19.545750000000002</v>
      </c>
      <c r="T43" s="4">
        <f t="shared" si="10"/>
        <v>-19.545750000000002</v>
      </c>
      <c r="U43" s="4">
        <f t="shared" si="10"/>
        <v>-19.545750000000002</v>
      </c>
      <c r="V43" s="4">
        <f t="shared" si="10"/>
        <v>-19.545750000000002</v>
      </c>
      <c r="W43" s="4">
        <f t="shared" si="10"/>
        <v>-19.545750000000002</v>
      </c>
      <c r="X43" s="4">
        <f t="shared" si="10"/>
        <v>-19.545750000000002</v>
      </c>
      <c r="Y43" s="4">
        <f t="shared" si="10"/>
        <v>-19.545750000000002</v>
      </c>
      <c r="Z43" s="3"/>
      <c r="AA43" s="3"/>
      <c r="AB43" s="3"/>
    </row>
    <row r="44" spans="1:28" x14ac:dyDescent="0.25">
      <c r="A44" t="s">
        <v>29</v>
      </c>
      <c r="B44" t="s">
        <v>96</v>
      </c>
      <c r="F44" s="4">
        <f>$C$20*$C$3/1000*-1</f>
        <v>-8.25</v>
      </c>
      <c r="G44" s="4">
        <f t="shared" ref="G44:Y44" si="11">$C$20*$C$3/1000*-1</f>
        <v>-8.25</v>
      </c>
      <c r="H44" s="4">
        <f t="shared" si="11"/>
        <v>-8.25</v>
      </c>
      <c r="I44" s="4">
        <f t="shared" si="11"/>
        <v>-8.25</v>
      </c>
      <c r="J44" s="4">
        <f t="shared" si="11"/>
        <v>-8.25</v>
      </c>
      <c r="K44" s="4">
        <f t="shared" si="11"/>
        <v>-8.25</v>
      </c>
      <c r="L44" s="4">
        <f t="shared" si="11"/>
        <v>-8.25</v>
      </c>
      <c r="M44" s="4">
        <f t="shared" si="11"/>
        <v>-8.25</v>
      </c>
      <c r="N44" s="4">
        <f t="shared" si="11"/>
        <v>-8.25</v>
      </c>
      <c r="O44" s="4">
        <f t="shared" si="11"/>
        <v>-8.25</v>
      </c>
      <c r="P44" s="4">
        <f t="shared" si="11"/>
        <v>-8.25</v>
      </c>
      <c r="Q44" s="4">
        <f t="shared" si="11"/>
        <v>-8.25</v>
      </c>
      <c r="R44" s="4">
        <f t="shared" si="11"/>
        <v>-8.25</v>
      </c>
      <c r="S44" s="4">
        <f t="shared" si="11"/>
        <v>-8.25</v>
      </c>
      <c r="T44" s="4">
        <f t="shared" si="11"/>
        <v>-8.25</v>
      </c>
      <c r="U44" s="4">
        <f t="shared" si="11"/>
        <v>-8.25</v>
      </c>
      <c r="V44" s="4">
        <f t="shared" si="11"/>
        <v>-8.25</v>
      </c>
      <c r="W44" s="4">
        <f t="shared" si="11"/>
        <v>-8.25</v>
      </c>
      <c r="X44" s="4">
        <f t="shared" si="11"/>
        <v>-8.25</v>
      </c>
      <c r="Y44" s="4">
        <f t="shared" si="11"/>
        <v>-8.25</v>
      </c>
      <c r="Z44" s="3"/>
      <c r="AA44" s="3"/>
      <c r="AB44" s="3"/>
    </row>
    <row r="45" spans="1:28" x14ac:dyDescent="0.25">
      <c r="A45" t="s">
        <v>33</v>
      </c>
      <c r="B45" t="s">
        <v>96</v>
      </c>
      <c r="F45" s="4">
        <f>$C$22*(F35/$C$12)/1000000*-1</f>
        <v>-98.829103333333308</v>
      </c>
      <c r="G45" s="4">
        <f t="shared" ref="G45:Y45" si="12">$C$22*(G35/$C$12)/1000000*-1</f>
        <v>-98.829103333333308</v>
      </c>
      <c r="H45" s="4">
        <f t="shared" si="12"/>
        <v>-98.829103333333308</v>
      </c>
      <c r="I45" s="4">
        <f t="shared" si="12"/>
        <v>-98.829103333333308</v>
      </c>
      <c r="J45" s="4">
        <f t="shared" si="12"/>
        <v>-98.829103333333308</v>
      </c>
      <c r="K45" s="4">
        <f t="shared" si="12"/>
        <v>-98.829103333333308</v>
      </c>
      <c r="L45" s="4">
        <f t="shared" si="12"/>
        <v>-98.829103333333308</v>
      </c>
      <c r="M45" s="4">
        <f t="shared" si="12"/>
        <v>-98.829103333333308</v>
      </c>
      <c r="N45" s="4">
        <f t="shared" si="12"/>
        <v>-98.829103333333308</v>
      </c>
      <c r="O45" s="4">
        <f t="shared" si="12"/>
        <v>-98.829103333333308</v>
      </c>
      <c r="P45" s="4">
        <f t="shared" si="12"/>
        <v>-98.829103333333308</v>
      </c>
      <c r="Q45" s="4">
        <f t="shared" si="12"/>
        <v>-98.829103333333308</v>
      </c>
      <c r="R45" s="4">
        <f t="shared" si="12"/>
        <v>-98.829103333333308</v>
      </c>
      <c r="S45" s="4">
        <f t="shared" si="12"/>
        <v>-98.829103333333308</v>
      </c>
      <c r="T45" s="4">
        <f t="shared" si="12"/>
        <v>-98.829103333333308</v>
      </c>
      <c r="U45" s="4">
        <f t="shared" si="12"/>
        <v>-98.829103333333308</v>
      </c>
      <c r="V45" s="4">
        <f t="shared" si="12"/>
        <v>-98.829103333333308</v>
      </c>
      <c r="W45" s="4">
        <f t="shared" si="12"/>
        <v>-98.829103333333308</v>
      </c>
      <c r="X45" s="4">
        <f t="shared" si="12"/>
        <v>-98.829103333333308</v>
      </c>
      <c r="Y45" s="4">
        <f t="shared" si="12"/>
        <v>-98.829103333333308</v>
      </c>
      <c r="Z45" s="3"/>
      <c r="AA45" s="3"/>
      <c r="AB45" s="3"/>
    </row>
    <row r="46" spans="1:28" x14ac:dyDescent="0.25">
      <c r="A46" t="s">
        <v>88</v>
      </c>
      <c r="B46" t="s">
        <v>96</v>
      </c>
      <c r="F46" s="4">
        <f>(F35/$C$12)*$C$25*$C$24/1000000*-1</f>
        <v>-74.914189115646238</v>
      </c>
      <c r="G46" s="4">
        <f t="shared" ref="G46:Y46" si="13">(G35/$C$12)*$C$25*$C$24/1000000*-1</f>
        <v>-74.914189115646238</v>
      </c>
      <c r="H46" s="4">
        <f t="shared" si="13"/>
        <v>-74.914189115646238</v>
      </c>
      <c r="I46" s="4">
        <f t="shared" si="13"/>
        <v>-74.914189115646238</v>
      </c>
      <c r="J46" s="4">
        <f t="shared" si="13"/>
        <v>-74.914189115646238</v>
      </c>
      <c r="K46" s="4">
        <f t="shared" si="13"/>
        <v>-74.914189115646238</v>
      </c>
      <c r="L46" s="4">
        <f t="shared" si="13"/>
        <v>-74.914189115646238</v>
      </c>
      <c r="M46" s="4">
        <f t="shared" si="13"/>
        <v>-74.914189115646238</v>
      </c>
      <c r="N46" s="4">
        <f t="shared" si="13"/>
        <v>-74.914189115646238</v>
      </c>
      <c r="O46" s="4">
        <f t="shared" si="13"/>
        <v>-74.914189115646238</v>
      </c>
      <c r="P46" s="4">
        <f t="shared" si="13"/>
        <v>-74.914189115646238</v>
      </c>
      <c r="Q46" s="4">
        <f t="shared" si="13"/>
        <v>-74.914189115646238</v>
      </c>
      <c r="R46" s="4">
        <f t="shared" si="13"/>
        <v>-74.914189115646238</v>
      </c>
      <c r="S46" s="4">
        <f t="shared" si="13"/>
        <v>-74.914189115646238</v>
      </c>
      <c r="T46" s="4">
        <f t="shared" si="13"/>
        <v>-74.914189115646238</v>
      </c>
      <c r="U46" s="4">
        <f t="shared" si="13"/>
        <v>-74.914189115646238</v>
      </c>
      <c r="V46" s="4">
        <f t="shared" si="13"/>
        <v>-74.914189115646238</v>
      </c>
      <c r="W46" s="4">
        <f t="shared" si="13"/>
        <v>-74.914189115646238</v>
      </c>
      <c r="X46" s="4">
        <f t="shared" si="13"/>
        <v>-74.914189115646238</v>
      </c>
      <c r="Y46" s="4">
        <f t="shared" si="13"/>
        <v>-74.914189115646238</v>
      </c>
      <c r="Z46" s="3"/>
      <c r="AA46" s="3"/>
      <c r="AB46" s="3"/>
    </row>
    <row r="47" spans="1:28" x14ac:dyDescent="0.25">
      <c r="A47" t="s">
        <v>34</v>
      </c>
      <c r="B47" t="s">
        <v>96</v>
      </c>
      <c r="F47" s="4">
        <f>SUM(F43:F46)</f>
        <v>-201.53904244897956</v>
      </c>
      <c r="G47" s="4">
        <f t="shared" ref="G47:Y47" si="14">SUM(G43:G46)</f>
        <v>-201.53904244897956</v>
      </c>
      <c r="H47" s="4">
        <f t="shared" si="14"/>
        <v>-201.53904244897956</v>
      </c>
      <c r="I47" s="4">
        <f t="shared" si="14"/>
        <v>-201.53904244897956</v>
      </c>
      <c r="J47" s="4">
        <f t="shared" si="14"/>
        <v>-201.53904244897956</v>
      </c>
      <c r="K47" s="4">
        <f t="shared" si="14"/>
        <v>-201.53904244897956</v>
      </c>
      <c r="L47" s="4">
        <f t="shared" si="14"/>
        <v>-201.53904244897956</v>
      </c>
      <c r="M47" s="4">
        <f t="shared" si="14"/>
        <v>-201.53904244897956</v>
      </c>
      <c r="N47" s="4">
        <f t="shared" si="14"/>
        <v>-201.53904244897956</v>
      </c>
      <c r="O47" s="4">
        <f t="shared" si="14"/>
        <v>-201.53904244897956</v>
      </c>
      <c r="P47" s="4">
        <f t="shared" si="14"/>
        <v>-201.53904244897956</v>
      </c>
      <c r="Q47" s="4">
        <f t="shared" si="14"/>
        <v>-201.53904244897956</v>
      </c>
      <c r="R47" s="4">
        <f t="shared" si="14"/>
        <v>-201.53904244897956</v>
      </c>
      <c r="S47" s="4">
        <f t="shared" si="14"/>
        <v>-201.53904244897956</v>
      </c>
      <c r="T47" s="4">
        <f t="shared" si="14"/>
        <v>-201.53904244897956</v>
      </c>
      <c r="U47" s="4">
        <f t="shared" si="14"/>
        <v>-201.53904244897956</v>
      </c>
      <c r="V47" s="4">
        <f t="shared" si="14"/>
        <v>-201.53904244897956</v>
      </c>
      <c r="W47" s="4">
        <f t="shared" si="14"/>
        <v>-201.53904244897956</v>
      </c>
      <c r="X47" s="4">
        <f t="shared" si="14"/>
        <v>-201.53904244897956</v>
      </c>
      <c r="Y47" s="4">
        <f t="shared" si="14"/>
        <v>-201.53904244897956</v>
      </c>
      <c r="Z47" s="3"/>
      <c r="AA47" s="3"/>
      <c r="AB47" s="3"/>
    </row>
    <row r="48" spans="1:28" x14ac:dyDescent="0.25"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8" x14ac:dyDescent="0.25">
      <c r="A49" t="s">
        <v>35</v>
      </c>
      <c r="B49" t="s">
        <v>24</v>
      </c>
      <c r="F49" s="4">
        <f>F37+F38+F47</f>
        <v>77.685957551020465</v>
      </c>
      <c r="G49" s="4">
        <f t="shared" ref="G49:Y49" si="15">G37+G38+G47</f>
        <v>77.685957551020465</v>
      </c>
      <c r="H49" s="4">
        <f t="shared" si="15"/>
        <v>77.685957551020465</v>
      </c>
      <c r="I49" s="4">
        <f t="shared" si="15"/>
        <v>77.685957551020465</v>
      </c>
      <c r="J49" s="4">
        <f t="shared" si="15"/>
        <v>77.685957551020465</v>
      </c>
      <c r="K49" s="4">
        <f t="shared" si="15"/>
        <v>77.685957551020465</v>
      </c>
      <c r="L49" s="4">
        <f t="shared" si="15"/>
        <v>77.685957551020465</v>
      </c>
      <c r="M49" s="4">
        <f t="shared" si="15"/>
        <v>77.685957551020465</v>
      </c>
      <c r="N49" s="4">
        <f t="shared" si="15"/>
        <v>77.685957551020465</v>
      </c>
      <c r="O49" s="4">
        <f t="shared" si="15"/>
        <v>77.685957551020465</v>
      </c>
      <c r="P49" s="4">
        <f t="shared" si="15"/>
        <v>77.685957551020465</v>
      </c>
      <c r="Q49" s="4">
        <f t="shared" si="15"/>
        <v>77.685957551020465</v>
      </c>
      <c r="R49" s="4">
        <f t="shared" si="15"/>
        <v>77.685957551020465</v>
      </c>
      <c r="S49" s="4">
        <f t="shared" si="15"/>
        <v>77.685957551020465</v>
      </c>
      <c r="T49" s="4">
        <f t="shared" si="15"/>
        <v>77.685957551020465</v>
      </c>
      <c r="U49" s="4">
        <f t="shared" si="15"/>
        <v>77.685957551020465</v>
      </c>
      <c r="V49" s="4">
        <f t="shared" si="15"/>
        <v>77.685957551020465</v>
      </c>
      <c r="W49" s="4">
        <f t="shared" si="15"/>
        <v>77.685957551020465</v>
      </c>
      <c r="X49" s="4">
        <f t="shared" si="15"/>
        <v>77.685957551020465</v>
      </c>
      <c r="Y49" s="4">
        <f t="shared" si="15"/>
        <v>77.685957551020465</v>
      </c>
      <c r="Z49" s="3"/>
      <c r="AA49" s="3"/>
      <c r="AB49" s="3"/>
    </row>
    <row r="50" spans="1:28" x14ac:dyDescent="0.25"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8" x14ac:dyDescent="0.25">
      <c r="A51" t="s">
        <v>36</v>
      </c>
      <c r="B51" s="11">
        <v>20</v>
      </c>
      <c r="C51" t="s">
        <v>9</v>
      </c>
      <c r="F51" s="4">
        <f>$C$41/$B$51</f>
        <v>-36.674999999999997</v>
      </c>
      <c r="G51" s="4">
        <f t="shared" ref="G51:Y51" si="16">$C$41/$B$51</f>
        <v>-36.674999999999997</v>
      </c>
      <c r="H51" s="4">
        <f t="shared" si="16"/>
        <v>-36.674999999999997</v>
      </c>
      <c r="I51" s="4">
        <f t="shared" si="16"/>
        <v>-36.674999999999997</v>
      </c>
      <c r="J51" s="4">
        <f t="shared" si="16"/>
        <v>-36.674999999999997</v>
      </c>
      <c r="K51" s="4">
        <f t="shared" si="16"/>
        <v>-36.674999999999997</v>
      </c>
      <c r="L51" s="4">
        <f t="shared" si="16"/>
        <v>-36.674999999999997</v>
      </c>
      <c r="M51" s="4">
        <f t="shared" si="16"/>
        <v>-36.674999999999997</v>
      </c>
      <c r="N51" s="4">
        <f t="shared" si="16"/>
        <v>-36.674999999999997</v>
      </c>
      <c r="O51" s="4">
        <f t="shared" si="16"/>
        <v>-36.674999999999997</v>
      </c>
      <c r="P51" s="4">
        <f t="shared" si="16"/>
        <v>-36.674999999999997</v>
      </c>
      <c r="Q51" s="4">
        <f t="shared" si="16"/>
        <v>-36.674999999999997</v>
      </c>
      <c r="R51" s="4">
        <f t="shared" si="16"/>
        <v>-36.674999999999997</v>
      </c>
      <c r="S51" s="4">
        <f t="shared" si="16"/>
        <v>-36.674999999999997</v>
      </c>
      <c r="T51" s="4">
        <f t="shared" si="16"/>
        <v>-36.674999999999997</v>
      </c>
      <c r="U51" s="4">
        <f t="shared" si="16"/>
        <v>-36.674999999999997</v>
      </c>
      <c r="V51" s="4">
        <f t="shared" si="16"/>
        <v>-36.674999999999997</v>
      </c>
      <c r="W51" s="4">
        <f t="shared" si="16"/>
        <v>-36.674999999999997</v>
      </c>
      <c r="X51" s="4">
        <f t="shared" si="16"/>
        <v>-36.674999999999997</v>
      </c>
      <c r="Y51" s="4">
        <f t="shared" si="16"/>
        <v>-36.674999999999997</v>
      </c>
      <c r="Z51" s="3"/>
      <c r="AA51" s="3"/>
      <c r="AB51" s="3"/>
    </row>
    <row r="52" spans="1:28" x14ac:dyDescent="0.25"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8" x14ac:dyDescent="0.25">
      <c r="A53" t="s">
        <v>37</v>
      </c>
      <c r="B53" t="s">
        <v>24</v>
      </c>
      <c r="F53" s="4">
        <f>F49+F51</f>
        <v>41.010957551020468</v>
      </c>
      <c r="G53" s="4">
        <f t="shared" ref="G53:W53" si="17">G49+G51</f>
        <v>41.010957551020468</v>
      </c>
      <c r="H53" s="4">
        <f t="shared" si="17"/>
        <v>41.010957551020468</v>
      </c>
      <c r="I53" s="4">
        <f t="shared" si="17"/>
        <v>41.010957551020468</v>
      </c>
      <c r="J53" s="4">
        <f t="shared" si="17"/>
        <v>41.010957551020468</v>
      </c>
      <c r="K53" s="4">
        <f t="shared" si="17"/>
        <v>41.010957551020468</v>
      </c>
      <c r="L53" s="4">
        <f t="shared" si="17"/>
        <v>41.010957551020468</v>
      </c>
      <c r="M53" s="4">
        <f t="shared" si="17"/>
        <v>41.010957551020468</v>
      </c>
      <c r="N53" s="4">
        <f t="shared" si="17"/>
        <v>41.010957551020468</v>
      </c>
      <c r="O53" s="4">
        <f t="shared" si="17"/>
        <v>41.010957551020468</v>
      </c>
      <c r="P53" s="4">
        <f t="shared" si="17"/>
        <v>41.010957551020468</v>
      </c>
      <c r="Q53" s="4">
        <f t="shared" si="17"/>
        <v>41.010957551020468</v>
      </c>
      <c r="R53" s="4">
        <f t="shared" si="17"/>
        <v>41.010957551020468</v>
      </c>
      <c r="S53" s="4">
        <f t="shared" si="17"/>
        <v>41.010957551020468</v>
      </c>
      <c r="T53" s="4">
        <f t="shared" si="17"/>
        <v>41.010957551020468</v>
      </c>
      <c r="U53" s="4">
        <f t="shared" si="17"/>
        <v>41.010957551020468</v>
      </c>
      <c r="V53" s="4">
        <f t="shared" si="17"/>
        <v>41.010957551020468</v>
      </c>
      <c r="W53" s="4">
        <f t="shared" si="17"/>
        <v>41.010957551020468</v>
      </c>
      <c r="X53" s="4">
        <f>X49+X51</f>
        <v>41.010957551020468</v>
      </c>
      <c r="Y53" s="4">
        <f t="shared" ref="Y53" si="18">Y49+Y51</f>
        <v>41.010957551020468</v>
      </c>
      <c r="Z53" s="3"/>
      <c r="AA53" s="3"/>
      <c r="AB53" s="3"/>
    </row>
    <row r="54" spans="1:28" x14ac:dyDescent="0.25"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8" x14ac:dyDescent="0.25">
      <c r="A55" t="s">
        <v>38</v>
      </c>
      <c r="B55" s="13">
        <f>C27</f>
        <v>0.2</v>
      </c>
      <c r="F55" s="4">
        <f>F53*$B$55*-1</f>
        <v>-8.2021915102040932</v>
      </c>
      <c r="G55" s="4">
        <f t="shared" ref="G55:W55" si="19">G53*$B$55*-1</f>
        <v>-8.2021915102040932</v>
      </c>
      <c r="H55" s="4">
        <f t="shared" si="19"/>
        <v>-8.2021915102040932</v>
      </c>
      <c r="I55" s="4">
        <f t="shared" si="19"/>
        <v>-8.2021915102040932</v>
      </c>
      <c r="J55" s="4">
        <f t="shared" si="19"/>
        <v>-8.2021915102040932</v>
      </c>
      <c r="K55" s="4">
        <f t="shared" si="19"/>
        <v>-8.2021915102040932</v>
      </c>
      <c r="L55" s="4">
        <f t="shared" si="19"/>
        <v>-8.2021915102040932</v>
      </c>
      <c r="M55" s="4">
        <f t="shared" si="19"/>
        <v>-8.2021915102040932</v>
      </c>
      <c r="N55" s="4">
        <f t="shared" si="19"/>
        <v>-8.2021915102040932</v>
      </c>
      <c r="O55" s="4">
        <f t="shared" si="19"/>
        <v>-8.2021915102040932</v>
      </c>
      <c r="P55" s="4">
        <f t="shared" si="19"/>
        <v>-8.2021915102040932</v>
      </c>
      <c r="Q55" s="4">
        <f t="shared" si="19"/>
        <v>-8.2021915102040932</v>
      </c>
      <c r="R55" s="4">
        <f t="shared" si="19"/>
        <v>-8.2021915102040932</v>
      </c>
      <c r="S55" s="4">
        <f t="shared" si="19"/>
        <v>-8.2021915102040932</v>
      </c>
      <c r="T55" s="4">
        <f t="shared" si="19"/>
        <v>-8.2021915102040932</v>
      </c>
      <c r="U55" s="4">
        <f t="shared" si="19"/>
        <v>-8.2021915102040932</v>
      </c>
      <c r="V55" s="4">
        <f t="shared" si="19"/>
        <v>-8.2021915102040932</v>
      </c>
      <c r="W55" s="4">
        <f t="shared" si="19"/>
        <v>-8.2021915102040932</v>
      </c>
      <c r="X55" s="4">
        <f>X53*$B$55*-1</f>
        <v>-8.2021915102040932</v>
      </c>
      <c r="Y55" s="4">
        <f t="shared" ref="Y55" si="20">Y53*$B$55*-1</f>
        <v>-8.2021915102040932</v>
      </c>
      <c r="Z55" s="3"/>
      <c r="AA55" s="3"/>
      <c r="AB55" s="3"/>
    </row>
    <row r="56" spans="1:28" x14ac:dyDescent="0.25"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8" x14ac:dyDescent="0.25">
      <c r="A57" t="s">
        <v>39</v>
      </c>
      <c r="B57" t="s">
        <v>24</v>
      </c>
      <c r="F57" s="4">
        <f>F53+F55</f>
        <v>32.808766040816373</v>
      </c>
      <c r="G57" s="4">
        <f t="shared" ref="G57:W57" si="21">G53+G55</f>
        <v>32.808766040816373</v>
      </c>
      <c r="H57" s="4">
        <f t="shared" si="21"/>
        <v>32.808766040816373</v>
      </c>
      <c r="I57" s="4">
        <f t="shared" si="21"/>
        <v>32.808766040816373</v>
      </c>
      <c r="J57" s="4">
        <f t="shared" si="21"/>
        <v>32.808766040816373</v>
      </c>
      <c r="K57" s="4">
        <f t="shared" si="21"/>
        <v>32.808766040816373</v>
      </c>
      <c r="L57" s="4">
        <f t="shared" si="21"/>
        <v>32.808766040816373</v>
      </c>
      <c r="M57" s="4">
        <f t="shared" si="21"/>
        <v>32.808766040816373</v>
      </c>
      <c r="N57" s="4">
        <f t="shared" si="21"/>
        <v>32.808766040816373</v>
      </c>
      <c r="O57" s="4">
        <f t="shared" si="21"/>
        <v>32.808766040816373</v>
      </c>
      <c r="P57" s="4">
        <f t="shared" si="21"/>
        <v>32.808766040816373</v>
      </c>
      <c r="Q57" s="4">
        <f t="shared" si="21"/>
        <v>32.808766040816373</v>
      </c>
      <c r="R57" s="4">
        <f t="shared" si="21"/>
        <v>32.808766040816373</v>
      </c>
      <c r="S57" s="4">
        <f t="shared" si="21"/>
        <v>32.808766040816373</v>
      </c>
      <c r="T57" s="4">
        <f t="shared" si="21"/>
        <v>32.808766040816373</v>
      </c>
      <c r="U57" s="4">
        <f t="shared" si="21"/>
        <v>32.808766040816373</v>
      </c>
      <c r="V57" s="4">
        <f t="shared" si="21"/>
        <v>32.808766040816373</v>
      </c>
      <c r="W57" s="4">
        <f t="shared" si="21"/>
        <v>32.808766040816373</v>
      </c>
      <c r="X57" s="4">
        <f>X53+X55</f>
        <v>32.808766040816373</v>
      </c>
      <c r="Y57" s="4">
        <f t="shared" ref="Y57" si="22">Y53+Y55</f>
        <v>32.808766040816373</v>
      </c>
      <c r="Z57" s="3"/>
      <c r="AA57" s="3"/>
      <c r="AB57" s="3"/>
    </row>
    <row r="58" spans="1:28" x14ac:dyDescent="0.25"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8" x14ac:dyDescent="0.25">
      <c r="A59" t="s">
        <v>41</v>
      </c>
      <c r="B59" t="s">
        <v>24</v>
      </c>
      <c r="F59" s="4">
        <f>F49+F55</f>
        <v>69.483766040816377</v>
      </c>
      <c r="G59" s="4">
        <f t="shared" ref="G59:W59" si="23">G49+G55</f>
        <v>69.483766040816377</v>
      </c>
      <c r="H59" s="4">
        <f t="shared" si="23"/>
        <v>69.483766040816377</v>
      </c>
      <c r="I59" s="4">
        <f t="shared" si="23"/>
        <v>69.483766040816377</v>
      </c>
      <c r="J59" s="4">
        <f t="shared" si="23"/>
        <v>69.483766040816377</v>
      </c>
      <c r="K59" s="4">
        <f t="shared" si="23"/>
        <v>69.483766040816377</v>
      </c>
      <c r="L59" s="4">
        <f t="shared" si="23"/>
        <v>69.483766040816377</v>
      </c>
      <c r="M59" s="4">
        <f t="shared" si="23"/>
        <v>69.483766040816377</v>
      </c>
      <c r="N59" s="4">
        <f t="shared" si="23"/>
        <v>69.483766040816377</v>
      </c>
      <c r="O59" s="4">
        <f t="shared" si="23"/>
        <v>69.483766040816377</v>
      </c>
      <c r="P59" s="4">
        <f t="shared" si="23"/>
        <v>69.483766040816377</v>
      </c>
      <c r="Q59" s="4">
        <f t="shared" si="23"/>
        <v>69.483766040816377</v>
      </c>
      <c r="R59" s="4">
        <f t="shared" si="23"/>
        <v>69.483766040816377</v>
      </c>
      <c r="S59" s="4">
        <f t="shared" si="23"/>
        <v>69.483766040816377</v>
      </c>
      <c r="T59" s="4">
        <f t="shared" si="23"/>
        <v>69.483766040816377</v>
      </c>
      <c r="U59" s="4">
        <f t="shared" si="23"/>
        <v>69.483766040816377</v>
      </c>
      <c r="V59" s="4">
        <f t="shared" si="23"/>
        <v>69.483766040816377</v>
      </c>
      <c r="W59" s="4">
        <f t="shared" si="23"/>
        <v>69.483766040816377</v>
      </c>
      <c r="X59" s="4">
        <f>X49+X55</f>
        <v>69.483766040816377</v>
      </c>
      <c r="Y59" s="4">
        <f t="shared" ref="Y59" si="24">Y49+Y55</f>
        <v>69.483766040816377</v>
      </c>
      <c r="Z59" s="3"/>
      <c r="AA59" s="3"/>
      <c r="AB59" s="3"/>
    </row>
    <row r="60" spans="1:28" x14ac:dyDescent="0.25">
      <c r="F60" s="4"/>
    </row>
    <row r="61" spans="1:28" x14ac:dyDescent="0.25">
      <c r="A61" t="s">
        <v>40</v>
      </c>
      <c r="B61" t="s">
        <v>24</v>
      </c>
      <c r="C61" s="4">
        <f>C40+C59</f>
        <v>-244.5</v>
      </c>
      <c r="D61" s="4">
        <f t="shared" ref="D61:X61" si="25">D40+D59</f>
        <v>-244.5</v>
      </c>
      <c r="E61" s="4">
        <f t="shared" si="25"/>
        <v>-244.5</v>
      </c>
      <c r="F61" s="4">
        <f t="shared" si="25"/>
        <v>69.483766040816377</v>
      </c>
      <c r="G61" s="4">
        <f t="shared" si="25"/>
        <v>69.483766040816377</v>
      </c>
      <c r="H61" s="4">
        <f t="shared" si="25"/>
        <v>69.483766040816377</v>
      </c>
      <c r="I61" s="4">
        <f t="shared" si="25"/>
        <v>69.483766040816377</v>
      </c>
      <c r="J61" s="4">
        <f t="shared" si="25"/>
        <v>69.483766040816377</v>
      </c>
      <c r="K61" s="4">
        <f t="shared" si="25"/>
        <v>69.483766040816377</v>
      </c>
      <c r="L61" s="4">
        <f t="shared" si="25"/>
        <v>69.483766040816377</v>
      </c>
      <c r="M61" s="4">
        <f t="shared" si="25"/>
        <v>69.483766040816377</v>
      </c>
      <c r="N61" s="4">
        <f t="shared" si="25"/>
        <v>69.483766040816377</v>
      </c>
      <c r="O61" s="4">
        <f t="shared" si="25"/>
        <v>69.483766040816377</v>
      </c>
      <c r="P61" s="4">
        <f t="shared" si="25"/>
        <v>69.483766040816377</v>
      </c>
      <c r="Q61" s="4">
        <f t="shared" si="25"/>
        <v>69.483766040816377</v>
      </c>
      <c r="R61" s="4">
        <f t="shared" si="25"/>
        <v>69.483766040816377</v>
      </c>
      <c r="S61" s="4">
        <f t="shared" si="25"/>
        <v>69.483766040816377</v>
      </c>
      <c r="T61" s="4">
        <f t="shared" si="25"/>
        <v>69.483766040816377</v>
      </c>
      <c r="U61" s="4">
        <f t="shared" si="25"/>
        <v>69.483766040816377</v>
      </c>
      <c r="V61" s="4">
        <f t="shared" si="25"/>
        <v>69.483766040816377</v>
      </c>
      <c r="W61" s="4">
        <f t="shared" si="25"/>
        <v>69.483766040816377</v>
      </c>
      <c r="X61" s="4">
        <f t="shared" si="25"/>
        <v>69.483766040816377</v>
      </c>
      <c r="Y61" s="4">
        <f>Y40+Y59</f>
        <v>69.483766040816377</v>
      </c>
    </row>
    <row r="62" spans="1:28" x14ac:dyDescent="0.25">
      <c r="A62" t="s">
        <v>74</v>
      </c>
      <c r="C62" s="4">
        <f>C61</f>
        <v>-244.5</v>
      </c>
      <c r="D62" s="4">
        <f>D61+C62</f>
        <v>-489</v>
      </c>
      <c r="E62" s="4">
        <f t="shared" ref="E62:Y62" si="26">E61+D62</f>
        <v>-733.5</v>
      </c>
      <c r="F62" s="4">
        <f t="shared" si="26"/>
        <v>-664.01623395918364</v>
      </c>
      <c r="G62" s="4">
        <f t="shared" si="26"/>
        <v>-594.53246791836727</v>
      </c>
      <c r="H62" s="4">
        <f t="shared" si="26"/>
        <v>-525.04870187755091</v>
      </c>
      <c r="I62" s="4">
        <f t="shared" si="26"/>
        <v>-455.56493583673455</v>
      </c>
      <c r="J62" s="4">
        <f t="shared" si="26"/>
        <v>-386.08116979591819</v>
      </c>
      <c r="K62" s="4">
        <f t="shared" si="26"/>
        <v>-316.59740375510182</v>
      </c>
      <c r="L62" s="4">
        <f t="shared" si="26"/>
        <v>-247.11363771428546</v>
      </c>
      <c r="M62" s="4">
        <f t="shared" si="26"/>
        <v>-177.6298716734691</v>
      </c>
      <c r="N62" s="4">
        <f t="shared" si="26"/>
        <v>-108.14610563265272</v>
      </c>
      <c r="O62" s="4">
        <f t="shared" si="26"/>
        <v>-38.662339591836343</v>
      </c>
      <c r="P62" s="4">
        <f t="shared" si="26"/>
        <v>30.821426448980034</v>
      </c>
      <c r="Q62" s="4">
        <f t="shared" si="26"/>
        <v>100.30519248979641</v>
      </c>
      <c r="R62" s="4">
        <f t="shared" si="26"/>
        <v>169.78895853061277</v>
      </c>
      <c r="S62" s="4">
        <f t="shared" si="26"/>
        <v>239.27272457142914</v>
      </c>
      <c r="T62" s="4">
        <f t="shared" si="26"/>
        <v>308.7564906122455</v>
      </c>
      <c r="U62" s="4">
        <f t="shared" si="26"/>
        <v>378.24025665306186</v>
      </c>
      <c r="V62" s="4">
        <f t="shared" si="26"/>
        <v>447.72402269387823</v>
      </c>
      <c r="W62" s="4">
        <f t="shared" si="26"/>
        <v>517.20778873469465</v>
      </c>
      <c r="X62" s="4">
        <f t="shared" si="26"/>
        <v>586.69155477551101</v>
      </c>
      <c r="Y62" s="4">
        <f t="shared" si="26"/>
        <v>656.17532081632737</v>
      </c>
    </row>
    <row r="64" spans="1:28" x14ac:dyDescent="0.25">
      <c r="A64" t="s">
        <v>42</v>
      </c>
      <c r="B64" s="7">
        <f>WACC!B16</f>
        <v>4.6260999999999997E-2</v>
      </c>
    </row>
    <row r="65" spans="1:25" x14ac:dyDescent="0.25">
      <c r="A65" t="s">
        <v>43</v>
      </c>
      <c r="B65">
        <v>1</v>
      </c>
      <c r="C65" s="1">
        <f>B65*(1+$B$64)</f>
        <v>1.0462609999999999</v>
      </c>
      <c r="D65" s="1">
        <f>C65*(1+$B$64)</f>
        <v>1.0946620801209999</v>
      </c>
      <c r="E65" s="1">
        <f t="shared" ref="E65:Y65" si="27">D65*(1+$B$64)</f>
        <v>1.1453022426094772</v>
      </c>
      <c r="F65" s="1">
        <f t="shared" si="27"/>
        <v>1.1982850696548342</v>
      </c>
      <c r="G65" s="1">
        <f t="shared" si="27"/>
        <v>1.2537189352621363</v>
      </c>
      <c r="H65" s="1">
        <f t="shared" si="27"/>
        <v>1.3117172269262978</v>
      </c>
      <c r="I65" s="1">
        <f t="shared" si="27"/>
        <v>1.3723985775611351</v>
      </c>
      <c r="J65" s="1">
        <f t="shared" si="27"/>
        <v>1.4358871081576907</v>
      </c>
      <c r="K65" s="1">
        <f t="shared" si="27"/>
        <v>1.5023126816681736</v>
      </c>
      <c r="L65" s="1">
        <f t="shared" si="27"/>
        <v>1.5718111686348248</v>
      </c>
      <c r="M65" s="1">
        <f t="shared" si="27"/>
        <v>1.6445247251070403</v>
      </c>
      <c r="N65" s="1">
        <f t="shared" si="27"/>
        <v>1.7206020834152169</v>
      </c>
      <c r="O65" s="1">
        <f t="shared" si="27"/>
        <v>1.800198856396088</v>
      </c>
      <c r="P65" s="1">
        <f t="shared" si="27"/>
        <v>1.8834778556918272</v>
      </c>
      <c r="Q65" s="1">
        <f t="shared" si="27"/>
        <v>1.9706094247739867</v>
      </c>
      <c r="R65" s="1">
        <f t="shared" si="27"/>
        <v>2.061771787373456</v>
      </c>
      <c r="S65" s="1">
        <f t="shared" si="27"/>
        <v>2.1571514120291391</v>
      </c>
      <c r="T65" s="1">
        <f t="shared" si="27"/>
        <v>2.256943393501019</v>
      </c>
      <c r="U65" s="1">
        <f t="shared" si="27"/>
        <v>2.3613518518277692</v>
      </c>
      <c r="V65" s="1">
        <f t="shared" si="27"/>
        <v>2.4705903498451733</v>
      </c>
      <c r="W65" s="1">
        <f t="shared" si="27"/>
        <v>2.5848823300193606</v>
      </c>
      <c r="X65" s="1">
        <f t="shared" si="27"/>
        <v>2.7044615714883862</v>
      </c>
      <c r="Y65" s="1">
        <f t="shared" si="27"/>
        <v>2.8295726682470099</v>
      </c>
    </row>
    <row r="67" spans="1:25" x14ac:dyDescent="0.25">
      <c r="A67" t="s">
        <v>44</v>
      </c>
      <c r="B67" t="s">
        <v>24</v>
      </c>
      <c r="C67" s="4">
        <f>C61/C65</f>
        <v>-233.68929932397367</v>
      </c>
      <c r="D67" s="4">
        <f t="shared" ref="D67:Y67" si="28">D61/D65</f>
        <v>-223.35659966678838</v>
      </c>
      <c r="E67" s="4">
        <f t="shared" si="28"/>
        <v>-213.48076595303507</v>
      </c>
      <c r="F67" s="4">
        <f t="shared" si="28"/>
        <v>57.986006669373893</v>
      </c>
      <c r="G67" s="4">
        <f t="shared" si="28"/>
        <v>55.422123800250517</v>
      </c>
      <c r="H67" s="4">
        <f t="shared" si="28"/>
        <v>52.971604408699669</v>
      </c>
      <c r="I67" s="4">
        <f t="shared" si="28"/>
        <v>50.629436066812843</v>
      </c>
      <c r="J67" s="4">
        <f t="shared" si="28"/>
        <v>48.390827973911719</v>
      </c>
      <c r="K67" s="4">
        <f t="shared" si="28"/>
        <v>46.251201157179437</v>
      </c>
      <c r="L67" s="4">
        <f t="shared" si="28"/>
        <v>44.206179105576375</v>
      </c>
      <c r="M67" s="4">
        <f t="shared" si="28"/>
        <v>42.251578817882326</v>
      </c>
      <c r="N67" s="4">
        <f t="shared" si="28"/>
        <v>40.383402246554475</v>
      </c>
      <c r="O67" s="4">
        <f t="shared" si="28"/>
        <v>38.597828119899795</v>
      </c>
      <c r="P67" s="4">
        <f t="shared" si="28"/>
        <v>36.891204125834562</v>
      </c>
      <c r="Q67" s="4">
        <f t="shared" si="28"/>
        <v>35.260039441243215</v>
      </c>
      <c r="R67" s="4">
        <f t="shared" si="28"/>
        <v>33.700997591655636</v>
      </c>
      <c r="S67" s="4">
        <f t="shared" si="28"/>
        <v>32.210889626637751</v>
      </c>
      <c r="T67" s="4">
        <f t="shared" si="28"/>
        <v>30.786667596935903</v>
      </c>
      <c r="U67" s="4">
        <f t="shared" si="28"/>
        <v>29.425418320032868</v>
      </c>
      <c r="V67" s="4">
        <f t="shared" si="28"/>
        <v>28.12435742136319</v>
      </c>
      <c r="W67" s="4">
        <f t="shared" si="28"/>
        <v>26.880823638999438</v>
      </c>
      <c r="X67" s="4">
        <f t="shared" si="28"/>
        <v>25.692273380159865</v>
      </c>
      <c r="Y67" s="4">
        <f t="shared" si="28"/>
        <v>24.556275518403027</v>
      </c>
    </row>
    <row r="69" spans="1:25" x14ac:dyDescent="0.25">
      <c r="A69" t="s">
        <v>45</v>
      </c>
      <c r="B69" t="s">
        <v>24</v>
      </c>
      <c r="C69" s="4">
        <f>SUM(C67:Y67)</f>
        <v>110.09247008360931</v>
      </c>
    </row>
    <row r="70" spans="1:25" x14ac:dyDescent="0.25">
      <c r="A70" t="s">
        <v>46</v>
      </c>
      <c r="B70" t="s">
        <v>4</v>
      </c>
      <c r="C70" s="6">
        <f>IRR(C61:Y61,0.1)</f>
        <v>6.2606481249923851E-2</v>
      </c>
    </row>
    <row r="72" spans="1:25" x14ac:dyDescent="0.25">
      <c r="A72" t="s">
        <v>73</v>
      </c>
      <c r="B72">
        <v>15</v>
      </c>
    </row>
    <row r="74" spans="1:25" x14ac:dyDescent="0.25">
      <c r="A74" t="s">
        <v>90</v>
      </c>
      <c r="B74" s="2">
        <v>0.77</v>
      </c>
    </row>
    <row r="75" spans="1:25" x14ac:dyDescent="0.25">
      <c r="A75" t="s">
        <v>91</v>
      </c>
      <c r="B75" s="1">
        <f>C14</f>
        <v>2.8</v>
      </c>
    </row>
    <row r="76" spans="1:25" x14ac:dyDescent="0.25">
      <c r="A76" t="s">
        <v>92</v>
      </c>
      <c r="B76" s="2"/>
    </row>
    <row r="77" spans="1:25" x14ac:dyDescent="0.25">
      <c r="A77" t="s">
        <v>93</v>
      </c>
      <c r="B77" s="2"/>
    </row>
    <row r="79" spans="1:25" x14ac:dyDescent="0.25">
      <c r="B79" s="5" t="s">
        <v>3</v>
      </c>
    </row>
    <row r="80" spans="1:25" x14ac:dyDescent="0.25">
      <c r="B80" s="2">
        <v>0.2</v>
      </c>
      <c r="C80" s="2">
        <v>0.3</v>
      </c>
      <c r="D80" s="2">
        <v>0.4</v>
      </c>
      <c r="E80" s="2">
        <v>0.5</v>
      </c>
      <c r="F80" s="2">
        <v>0.6</v>
      </c>
      <c r="G80" s="2">
        <v>0.7</v>
      </c>
      <c r="H80" s="2">
        <v>0.8</v>
      </c>
    </row>
    <row r="81" spans="1:8" x14ac:dyDescent="0.25">
      <c r="A81" s="5" t="s">
        <v>89</v>
      </c>
      <c r="B81">
        <v>59.27</v>
      </c>
      <c r="C81">
        <v>48.85</v>
      </c>
      <c r="D81">
        <v>38.43</v>
      </c>
      <c r="E81">
        <v>28.01</v>
      </c>
      <c r="F81">
        <v>17.59</v>
      </c>
      <c r="G81">
        <v>7.17</v>
      </c>
      <c r="H81">
        <v>-3.25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A6F07-8C94-4564-9493-7FB7EF2A61E4}">
  <dimension ref="A1:B19"/>
  <sheetViews>
    <sheetView workbookViewId="0">
      <selection activeCell="B8" sqref="B8"/>
    </sheetView>
  </sheetViews>
  <sheetFormatPr defaultRowHeight="15" x14ac:dyDescent="0.25"/>
  <cols>
    <col min="1" max="1" width="13.28515625" customWidth="1"/>
    <col min="2" max="2" width="9.85546875" bestFit="1" customWidth="1"/>
  </cols>
  <sheetData>
    <row r="1" spans="1:2" x14ac:dyDescent="0.25">
      <c r="A1" s="5" t="s">
        <v>16</v>
      </c>
    </row>
    <row r="4" spans="1:2" x14ac:dyDescent="0.25">
      <c r="A4" t="s">
        <v>47</v>
      </c>
    </row>
    <row r="5" spans="1:2" x14ac:dyDescent="0.25">
      <c r="A5" t="s">
        <v>54</v>
      </c>
      <c r="B5" s="7">
        <v>0.1053</v>
      </c>
    </row>
    <row r="6" spans="1:2" x14ac:dyDescent="0.25">
      <c r="A6" t="s">
        <v>48</v>
      </c>
      <c r="B6" s="7">
        <v>1.7500000000000002E-2</v>
      </c>
    </row>
    <row r="7" spans="1:2" x14ac:dyDescent="0.25">
      <c r="A7" t="s">
        <v>49</v>
      </c>
      <c r="B7">
        <v>0.49</v>
      </c>
    </row>
    <row r="8" spans="1:2" x14ac:dyDescent="0.25">
      <c r="B8" s="2"/>
    </row>
    <row r="9" spans="1:2" x14ac:dyDescent="0.25">
      <c r="A9" t="s">
        <v>47</v>
      </c>
      <c r="B9" s="8">
        <f>B6+(B7*(B5-B6))</f>
        <v>6.0521999999999999E-2</v>
      </c>
    </row>
    <row r="11" spans="1:2" x14ac:dyDescent="0.25">
      <c r="A11" t="s">
        <v>50</v>
      </c>
      <c r="B11" s="7">
        <v>0.04</v>
      </c>
    </row>
    <row r="12" spans="1:2" x14ac:dyDescent="0.25">
      <c r="A12" t="s">
        <v>55</v>
      </c>
      <c r="B12" s="2">
        <v>0.2</v>
      </c>
    </row>
    <row r="13" spans="1:2" x14ac:dyDescent="0.25">
      <c r="B13" s="2"/>
    </row>
    <row r="14" spans="1:2" x14ac:dyDescent="0.25">
      <c r="A14" t="s">
        <v>51</v>
      </c>
      <c r="B14" s="7">
        <f>B11*(1-B12)</f>
        <v>3.2000000000000001E-2</v>
      </c>
    </row>
    <row r="16" spans="1:2" x14ac:dyDescent="0.25">
      <c r="A16" t="s">
        <v>16</v>
      </c>
      <c r="B16" s="7">
        <f>(B14*B18)+(B9*B19)</f>
        <v>4.6260999999999997E-2</v>
      </c>
    </row>
    <row r="18" spans="1:2" x14ac:dyDescent="0.25">
      <c r="A18" t="s">
        <v>52</v>
      </c>
      <c r="B18" s="2">
        <v>0.5</v>
      </c>
    </row>
    <row r="19" spans="1:2" x14ac:dyDescent="0.25">
      <c r="A19" t="s">
        <v>53</v>
      </c>
      <c r="B19" s="2">
        <f>1-B18</f>
        <v>0.5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A40D0-1FFA-4152-8093-3CDDC4722021}">
  <dimension ref="A1:C26"/>
  <sheetViews>
    <sheetView workbookViewId="0">
      <selection activeCell="C20" sqref="C20"/>
    </sheetView>
  </sheetViews>
  <sheetFormatPr defaultRowHeight="15" x14ac:dyDescent="0.25"/>
  <cols>
    <col min="1" max="1" width="14.5703125" customWidth="1"/>
  </cols>
  <sheetData>
    <row r="1" spans="1:2" x14ac:dyDescent="0.25">
      <c r="A1" t="s">
        <v>67</v>
      </c>
    </row>
    <row r="3" spans="1:2" x14ac:dyDescent="0.25">
      <c r="B3" t="s">
        <v>58</v>
      </c>
    </row>
    <row r="4" spans="1:2" x14ac:dyDescent="0.25">
      <c r="A4" t="s">
        <v>59</v>
      </c>
      <c r="B4">
        <v>978</v>
      </c>
    </row>
    <row r="5" spans="1:2" x14ac:dyDescent="0.25">
      <c r="A5" t="s">
        <v>62</v>
      </c>
      <c r="B5">
        <v>1877</v>
      </c>
    </row>
    <row r="6" spans="1:2" x14ac:dyDescent="0.25">
      <c r="A6" t="s">
        <v>64</v>
      </c>
      <c r="B6">
        <v>2534</v>
      </c>
    </row>
    <row r="7" spans="1:2" x14ac:dyDescent="0.25">
      <c r="A7" t="s">
        <v>66</v>
      </c>
      <c r="B7">
        <v>3123</v>
      </c>
    </row>
    <row r="8" spans="1:2" x14ac:dyDescent="0.25">
      <c r="A8" t="s">
        <v>57</v>
      </c>
      <c r="B8">
        <v>3636</v>
      </c>
    </row>
    <row r="9" spans="1:2" x14ac:dyDescent="0.25">
      <c r="A9" t="s">
        <v>61</v>
      </c>
      <c r="B9">
        <v>4985</v>
      </c>
    </row>
    <row r="10" spans="1:2" x14ac:dyDescent="0.25">
      <c r="A10" t="s">
        <v>60</v>
      </c>
      <c r="B10">
        <v>5945</v>
      </c>
    </row>
    <row r="11" spans="1:2" x14ac:dyDescent="0.25">
      <c r="A11" t="s">
        <v>63</v>
      </c>
      <c r="B11">
        <v>6628</v>
      </c>
    </row>
    <row r="12" spans="1:2" x14ac:dyDescent="0.25">
      <c r="A12" t="s">
        <v>65</v>
      </c>
      <c r="B12">
        <v>8843</v>
      </c>
    </row>
    <row r="18" spans="1:3" x14ac:dyDescent="0.25">
      <c r="A18" t="s">
        <v>68</v>
      </c>
    </row>
    <row r="19" spans="1:3" x14ac:dyDescent="0.25">
      <c r="B19" t="s">
        <v>70</v>
      </c>
      <c r="C19" t="s">
        <v>69</v>
      </c>
    </row>
    <row r="20" spans="1:3" x14ac:dyDescent="0.25">
      <c r="A20" t="s">
        <v>59</v>
      </c>
      <c r="B20">
        <v>11</v>
      </c>
      <c r="C20">
        <v>3.5</v>
      </c>
    </row>
    <row r="21" spans="1:3" x14ac:dyDescent="0.25">
      <c r="A21" t="s">
        <v>64</v>
      </c>
      <c r="B21">
        <v>23.4</v>
      </c>
      <c r="C21">
        <v>0</v>
      </c>
    </row>
    <row r="22" spans="1:3" x14ac:dyDescent="0.25">
      <c r="A22" t="s">
        <v>62</v>
      </c>
      <c r="B22">
        <v>39.700000000000003</v>
      </c>
      <c r="C22">
        <v>0</v>
      </c>
    </row>
    <row r="23" spans="1:3" x14ac:dyDescent="0.25">
      <c r="A23" t="s">
        <v>57</v>
      </c>
      <c r="B23">
        <v>42.1</v>
      </c>
      <c r="C23">
        <v>4.5999999999999996</v>
      </c>
    </row>
    <row r="24" spans="1:3" x14ac:dyDescent="0.25">
      <c r="A24" t="s">
        <v>63</v>
      </c>
      <c r="B24">
        <v>54</v>
      </c>
      <c r="C24">
        <v>0</v>
      </c>
    </row>
    <row r="25" spans="1:3" x14ac:dyDescent="0.25">
      <c r="A25" t="s">
        <v>60</v>
      </c>
      <c r="B25">
        <v>100.3</v>
      </c>
      <c r="C25">
        <v>2.2999999999999998</v>
      </c>
    </row>
    <row r="26" spans="1:3" x14ac:dyDescent="0.25">
      <c r="A26" t="s">
        <v>61</v>
      </c>
      <c r="B26">
        <v>110</v>
      </c>
      <c r="C26">
        <v>4.2</v>
      </c>
    </row>
  </sheetData>
  <sortState xmlns:xlrd2="http://schemas.microsoft.com/office/spreadsheetml/2017/richdata2" ref="A20:C26">
    <sortCondition ref="B20:B26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6F942-0DEE-48FA-8C99-BBA4027474A0}">
  <dimension ref="A2:D8"/>
  <sheetViews>
    <sheetView workbookViewId="0">
      <selection activeCell="D3" sqref="D3"/>
    </sheetView>
  </sheetViews>
  <sheetFormatPr defaultRowHeight="15" x14ac:dyDescent="0.25"/>
  <cols>
    <col min="2" max="2" width="15.42578125" customWidth="1"/>
  </cols>
  <sheetData>
    <row r="2" spans="1:4" x14ac:dyDescent="0.25">
      <c r="B2">
        <v>2.2050000000000001</v>
      </c>
    </row>
    <row r="3" spans="1:4" x14ac:dyDescent="0.25">
      <c r="B3" t="s">
        <v>77</v>
      </c>
      <c r="C3" t="s">
        <v>83</v>
      </c>
      <c r="D3" t="s">
        <v>84</v>
      </c>
    </row>
    <row r="4" spans="1:4" x14ac:dyDescent="0.25">
      <c r="A4" t="s">
        <v>79</v>
      </c>
      <c r="B4" s="4">
        <v>117</v>
      </c>
      <c r="C4" s="10">
        <f>B4/$B$2/1000</f>
        <v>5.3061224489795916E-2</v>
      </c>
      <c r="D4" s="10">
        <f>C4*Model!$B$16</f>
        <v>0.18109795918367344</v>
      </c>
    </row>
    <row r="5" spans="1:4" x14ac:dyDescent="0.25">
      <c r="A5" t="s">
        <v>81</v>
      </c>
      <c r="B5">
        <v>157.19999999999999</v>
      </c>
      <c r="C5" s="10">
        <f>B5/$B$2/1000</f>
        <v>7.1292517006802711E-2</v>
      </c>
      <c r="D5" s="10">
        <f>C5*Model!$B$16</f>
        <v>0.24332136054421763</v>
      </c>
    </row>
    <row r="6" spans="1:4" x14ac:dyDescent="0.25">
      <c r="A6" t="s">
        <v>80</v>
      </c>
      <c r="B6">
        <v>161.30000000000001</v>
      </c>
      <c r="C6" s="10">
        <f>B6/$B$2/1000</f>
        <v>7.3151927437641734E-2</v>
      </c>
      <c r="D6" s="10">
        <f>C6*Model!$B$16</f>
        <v>0.24966752834467124</v>
      </c>
    </row>
    <row r="7" spans="1:4" x14ac:dyDescent="0.25">
      <c r="A7" t="s">
        <v>82</v>
      </c>
      <c r="B7">
        <v>215.4</v>
      </c>
      <c r="C7" s="10">
        <f>B7/$B$2/1000</f>
        <v>9.7687074829931969E-2</v>
      </c>
      <c r="D7" s="10">
        <f>C7*Model!$B$16</f>
        <v>0.33340598639455782</v>
      </c>
    </row>
    <row r="8" spans="1:4" x14ac:dyDescent="0.25">
      <c r="A8" t="s">
        <v>78</v>
      </c>
      <c r="B8">
        <v>228.6</v>
      </c>
      <c r="C8" s="10">
        <f>B8/$B$2/1000</f>
        <v>0.1036734693877551</v>
      </c>
      <c r="D8" s="10">
        <f>C8*Model!$B$16</f>
        <v>0.35383755102040815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Model</vt:lpstr>
      <vt:lpstr>WACC</vt:lpstr>
      <vt:lpstr>Costs</vt:lpstr>
      <vt:lpstr>Carbon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Henderson</dc:creator>
  <cp:lastModifiedBy>James Henderson</cp:lastModifiedBy>
  <dcterms:created xsi:type="dcterms:W3CDTF">2019-04-04T14:28:45Z</dcterms:created>
  <dcterms:modified xsi:type="dcterms:W3CDTF">2021-04-16T13:25:16Z</dcterms:modified>
</cp:coreProperties>
</file>