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7350" windowHeight="4620" activeTab="1"/>
  </bookViews>
  <sheets>
    <sheet name="Vzorce I" sheetId="10" r:id="rId1"/>
    <sheet name="Vzorce II typy vzorců" sheetId="13" r:id="rId2"/>
    <sheet name="textové_vzorce_příklady" sheetId="14" r:id="rId3"/>
    <sheet name="Vzorce III maticove vzorce" sheetId="1" r:id="rId4"/>
    <sheet name="IV Statistika &amp; T-test" sheetId="3" r:id="rId5"/>
    <sheet name="VI Chi-square &amp; korelace" sheetId="4" r:id="rId6"/>
  </sheets>
  <definedNames>
    <definedName name="blok2">'Vzorce I'!$E$6:$E$26</definedName>
    <definedName name="interval">'IV Statistika &amp; T-test'!$D$15:$D$47</definedName>
    <definedName name="PAN">'IV Statistika &amp; T-test'!$A$5:$A$185</definedName>
    <definedName name="PANx">'Vzorce II typy vzorců'!$G$6:$G$186</definedName>
    <definedName name="PBIN">'IV Statistika &amp; T-test'!$B$5:$B$129</definedName>
    <definedName name="percent">'IV Statistika &amp; T-test'!$D$51:$D$71</definedName>
  </definedNames>
  <calcPr calcId="124519"/>
</workbook>
</file>

<file path=xl/calcChain.xml><?xml version="1.0" encoding="utf-8"?>
<calcChain xmlns="http://schemas.openxmlformats.org/spreadsheetml/2006/main">
  <c r="E7" i="13"/>
  <c r="F6" i="10"/>
  <c r="O3" i="14"/>
  <c r="N10" i="13"/>
  <c r="N9"/>
  <c r="N8"/>
  <c r="N7"/>
  <c r="N6"/>
  <c r="N5"/>
  <c r="D37"/>
  <c r="E29"/>
  <c r="E28"/>
  <c r="E27"/>
  <c r="F9" i="10"/>
  <c r="F8"/>
  <c r="F7"/>
  <c r="D5"/>
  <c r="B27"/>
  <c r="P10" i="13"/>
  <c r="P9"/>
  <c r="P8"/>
  <c r="P7"/>
  <c r="P6"/>
  <c r="P5"/>
  <c r="F10" i="10"/>
  <c r="F11"/>
  <c r="F12"/>
  <c r="F13"/>
  <c r="F14"/>
  <c r="F15"/>
  <c r="F16"/>
  <c r="F17"/>
  <c r="F18"/>
  <c r="F19"/>
  <c r="F20"/>
  <c r="F21"/>
  <c r="F22"/>
  <c r="F23"/>
  <c r="F24"/>
  <c r="F25"/>
  <c r="F2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38" i="13"/>
  <c r="D39"/>
  <c r="D40"/>
  <c r="D41"/>
  <c r="O11" i="14"/>
  <c r="E11" i="13" l="1"/>
  <c r="E23" l="1"/>
  <c r="E22"/>
  <c r="F15"/>
  <c r="F17"/>
  <c r="F16"/>
  <c r="C21" i="14" l="1"/>
  <c r="E21" s="1"/>
  <c r="F17"/>
  <c r="O9"/>
  <c r="O5"/>
  <c r="O7"/>
  <c r="B14" i="4"/>
  <c r="E5"/>
  <c r="B6"/>
  <c r="C6"/>
  <c r="D6"/>
  <c r="F8" i="3"/>
  <c r="F7"/>
  <c r="F12" s="1"/>
  <c r="E8"/>
  <c r="E12" s="1"/>
  <c r="E7"/>
  <c r="E11" s="1"/>
  <c r="E75" s="1"/>
  <c r="E34" i="1" a="1"/>
  <c r="E34"/>
  <c r="F34"/>
  <c r="G34"/>
  <c r="E35"/>
  <c r="F35"/>
  <c r="G35"/>
  <c r="E36"/>
  <c r="F36"/>
  <c r="G36"/>
  <c r="E37"/>
  <c r="F37"/>
  <c r="G37"/>
  <c r="C24" a="1"/>
  <c r="C24" s="1"/>
  <c r="C6"/>
  <c r="C13" s="1"/>
  <c r="C7"/>
  <c r="C8"/>
  <c r="C9"/>
  <c r="C10"/>
  <c r="C11"/>
  <c r="C12"/>
  <c r="E6" i="13"/>
  <c r="E5"/>
  <c r="E4"/>
  <c r="E50" i="3"/>
  <c r="F50"/>
  <c r="E70"/>
  <c r="F70"/>
  <c r="F77"/>
  <c r="E77"/>
  <c r="I3"/>
  <c r="J3" s="1"/>
  <c r="I4"/>
  <c r="F6"/>
  <c r="E6"/>
  <c r="D52"/>
  <c r="F52"/>
  <c r="D53"/>
  <c r="F53"/>
  <c r="D54"/>
  <c r="F54"/>
  <c r="D55"/>
  <c r="F55"/>
  <c r="D56"/>
  <c r="F56"/>
  <c r="D57"/>
  <c r="F57"/>
  <c r="D58"/>
  <c r="F58"/>
  <c r="D59"/>
  <c r="F59"/>
  <c r="D60"/>
  <c r="F60"/>
  <c r="D61"/>
  <c r="F61"/>
  <c r="D62"/>
  <c r="F62"/>
  <c r="D63"/>
  <c r="F63"/>
  <c r="D64"/>
  <c r="F64"/>
  <c r="D65"/>
  <c r="F65"/>
  <c r="D66"/>
  <c r="F66"/>
  <c r="D67"/>
  <c r="F67"/>
  <c r="D68"/>
  <c r="F68"/>
  <c r="D69"/>
  <c r="F69"/>
  <c r="D71"/>
  <c r="F71"/>
  <c r="F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1"/>
  <c r="E51"/>
  <c r="D16"/>
  <c r="D17" s="1"/>
  <c r="F10"/>
  <c r="F9"/>
  <c r="F5"/>
  <c r="E10"/>
  <c r="E9"/>
  <c r="E5"/>
  <c r="K9" i="1"/>
  <c r="L9"/>
  <c r="M9"/>
  <c r="N9"/>
  <c r="O9"/>
  <c r="P9"/>
  <c r="K10"/>
  <c r="L10"/>
  <c r="M10"/>
  <c r="N10"/>
  <c r="O10"/>
  <c r="P10"/>
  <c r="K11"/>
  <c r="L11"/>
  <c r="M11"/>
  <c r="N11"/>
  <c r="O11"/>
  <c r="P11"/>
  <c r="K12"/>
  <c r="L12"/>
  <c r="M12"/>
  <c r="N12"/>
  <c r="O12"/>
  <c r="P12"/>
  <c r="K13"/>
  <c r="L13"/>
  <c r="M13"/>
  <c r="N13"/>
  <c r="O13"/>
  <c r="P13"/>
  <c r="L8"/>
  <c r="M8"/>
  <c r="N8"/>
  <c r="O8"/>
  <c r="P8"/>
  <c r="K8"/>
  <c r="K19" a="1"/>
  <c r="K19" s="1"/>
  <c r="B10" i="4"/>
  <c r="C10"/>
  <c r="F11" i="3" l="1"/>
  <c r="F75" s="1"/>
  <c r="J4"/>
  <c r="E76"/>
  <c r="D18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E15" a="1"/>
  <c r="P24" i="1"/>
  <c r="N24"/>
  <c r="L24"/>
  <c r="P23"/>
  <c r="N23"/>
  <c r="L23"/>
  <c r="P22"/>
  <c r="N22"/>
  <c r="L22"/>
  <c r="P21"/>
  <c r="N21"/>
  <c r="L21"/>
  <c r="P20"/>
  <c r="N20"/>
  <c r="L20"/>
  <c r="P19"/>
  <c r="N19"/>
  <c r="L19"/>
  <c r="O24"/>
  <c r="M24"/>
  <c r="K24"/>
  <c r="O23"/>
  <c r="M23"/>
  <c r="K23"/>
  <c r="O22"/>
  <c r="M22"/>
  <c r="K22"/>
  <c r="O21"/>
  <c r="M21"/>
  <c r="K21"/>
  <c r="O20"/>
  <c r="M20"/>
  <c r="K20"/>
  <c r="O19"/>
  <c r="M19"/>
  <c r="F76" i="3" l="1"/>
  <c r="E15"/>
  <c r="E17"/>
  <c r="E19"/>
  <c r="E21"/>
  <c r="E23"/>
  <c r="E25"/>
  <c r="E27"/>
  <c r="E29"/>
  <c r="E31"/>
  <c r="E33"/>
  <c r="E35"/>
  <c r="E37"/>
  <c r="E39"/>
  <c r="E41"/>
  <c r="E43"/>
  <c r="E45"/>
  <c r="E47"/>
  <c r="E16"/>
  <c r="E18"/>
  <c r="E20"/>
  <c r="E22"/>
  <c r="E24"/>
  <c r="E26"/>
  <c r="E28"/>
  <c r="E30"/>
  <c r="E32"/>
  <c r="E34"/>
  <c r="E36"/>
  <c r="E38"/>
  <c r="E40"/>
  <c r="E42"/>
  <c r="E44"/>
  <c r="E46"/>
  <c r="F15" a="1"/>
  <c r="F15" l="1"/>
  <c r="F17"/>
  <c r="F19"/>
  <c r="F21"/>
  <c r="F23"/>
  <c r="F25"/>
  <c r="F27"/>
  <c r="F29"/>
  <c r="F31"/>
  <c r="F33"/>
  <c r="F35"/>
  <c r="F37"/>
  <c r="F39"/>
  <c r="F41"/>
  <c r="F43"/>
  <c r="F45"/>
  <c r="F47"/>
  <c r="F16"/>
  <c r="F18"/>
  <c r="F20"/>
  <c r="F22"/>
  <c r="F24"/>
  <c r="F26"/>
  <c r="F28"/>
  <c r="F30"/>
  <c r="F32"/>
  <c r="F34"/>
  <c r="F36"/>
  <c r="F38"/>
  <c r="F40"/>
  <c r="F42"/>
  <c r="F44"/>
  <c r="F46"/>
</calcChain>
</file>

<file path=xl/comments1.xml><?xml version="1.0" encoding="utf-8"?>
<comments xmlns="http://schemas.openxmlformats.org/spreadsheetml/2006/main">
  <authors>
    <author>maluskova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38"/>
          </rPr>
          <t>maluskova:</t>
        </r>
        <r>
          <rPr>
            <sz val="9"/>
            <color indexed="81"/>
            <rFont val="Tahoma"/>
            <family val="2"/>
            <charset val="238"/>
          </rPr>
          <t xml:space="preserve">
spočitej celkový počet ryb na obou lokalitách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38"/>
          </rPr>
          <t>maluskova:</t>
        </r>
        <r>
          <rPr>
            <sz val="9"/>
            <color indexed="81"/>
            <rFont val="Tahoma"/>
            <family val="2"/>
            <charset val="238"/>
          </rPr>
          <t xml:space="preserve">
spočitej celkový počet ryb na obou lokalitách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38"/>
          </rPr>
          <t>maluskova:</t>
        </r>
        <r>
          <rPr>
            <sz val="9"/>
            <color indexed="81"/>
            <rFont val="Tahoma"/>
            <family val="2"/>
            <charset val="238"/>
          </rPr>
          <t xml:space="preserve">
spočítej celkový počet jednotlivých parazitů na obou lokalitách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38"/>
          </rPr>
          <t>maluskova:</t>
        </r>
        <r>
          <rPr>
            <sz val="9"/>
            <color indexed="81"/>
            <rFont val="Tahoma"/>
            <family val="2"/>
            <charset val="238"/>
          </rPr>
          <t xml:space="preserve">
spočítej celkový počet jednotlivých parazitů na obou lokalitách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38"/>
          </rPr>
          <t>maluskova:</t>
        </r>
        <r>
          <rPr>
            <sz val="9"/>
            <color indexed="81"/>
            <rFont val="Tahoma"/>
            <family val="2"/>
            <charset val="238"/>
          </rPr>
          <t xml:space="preserve">
spočítej prevalenci jednotlivých parazitů na dané lokalitě
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maluskova:</t>
        </r>
        <r>
          <rPr>
            <sz val="9"/>
            <color indexed="81"/>
            <rFont val="Tahoma"/>
            <family val="2"/>
            <charset val="238"/>
          </rPr>
          <t xml:space="preserve">
spočítej prevalenci jednotlivých parazitů na dané lokalitě
</t>
        </r>
      </text>
    </comment>
    <comment ref="B27" authorId="0">
      <text>
        <r>
          <rPr>
            <b/>
            <sz val="9"/>
            <color indexed="81"/>
            <rFont val="Tahoma"/>
            <family val="2"/>
            <charset val="238"/>
          </rPr>
          <t>maluskova:</t>
        </r>
        <r>
          <rPr>
            <sz val="9"/>
            <color indexed="81"/>
            <rFont val="Tahoma"/>
            <family val="2"/>
            <charset val="238"/>
          </rPr>
          <t xml:space="preserve">
spočítej počet druhů parazitů na lokalitě Vojkovice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38"/>
          </rPr>
          <t>maluskova:</t>
        </r>
        <r>
          <rPr>
            <sz val="9"/>
            <color indexed="81"/>
            <rFont val="Tahoma"/>
            <family val="2"/>
            <charset val="238"/>
          </rPr>
          <t xml:space="preserve">
spočítej počet druhů parazitů na lokalitě Maloměřice</t>
        </r>
      </text>
    </comment>
  </commentList>
</comments>
</file>

<file path=xl/sharedStrings.xml><?xml version="1.0" encoding="utf-8"?>
<sst xmlns="http://schemas.openxmlformats.org/spreadsheetml/2006/main" count="224" uniqueCount="176">
  <si>
    <t>rozměr1</t>
  </si>
  <si>
    <t>rozměr2</t>
  </si>
  <si>
    <t>Maticový vzorec</t>
  </si>
  <si>
    <t>Normální vzorec</t>
  </si>
  <si>
    <t>Lokalita</t>
  </si>
  <si>
    <t>Vojkovice</t>
  </si>
  <si>
    <t>Maloměřice</t>
  </si>
  <si>
    <t>Průměr</t>
  </si>
  <si>
    <t>SD</t>
  </si>
  <si>
    <t>Medián</t>
  </si>
  <si>
    <t>Percentily</t>
  </si>
  <si>
    <t>F-test</t>
  </si>
  <si>
    <t>t-test</t>
  </si>
  <si>
    <t>N</t>
  </si>
  <si>
    <t>Min</t>
  </si>
  <si>
    <t>Max</t>
  </si>
  <si>
    <t>PBIN</t>
  </si>
  <si>
    <t>PAN</t>
  </si>
  <si>
    <t>A</t>
  </si>
  <si>
    <t>C</t>
  </si>
  <si>
    <t>Intervaly</t>
  </si>
  <si>
    <t>Základní data</t>
  </si>
  <si>
    <t>rozměr 1</t>
  </si>
  <si>
    <t>Popis dat</t>
  </si>
  <si>
    <t>Srovnání obou druhů</t>
  </si>
  <si>
    <t>Graf četností</t>
  </si>
  <si>
    <t>Interval spolehlivosti</t>
  </si>
  <si>
    <t>průměr - 95%interval spolehlivosti</t>
  </si>
  <si>
    <t>průměr+ 95%interval spolehlivosti</t>
  </si>
  <si>
    <t>Whisker Plot</t>
  </si>
  <si>
    <t>Whisker graf průměru a 95% intervalu spolehlivosti odhadu průměru</t>
  </si>
  <si>
    <t>Whisker graf mediánu a 95% rozsahu hodnot</t>
  </si>
  <si>
    <t>Acanthocephalus anguilae</t>
  </si>
  <si>
    <t>Apophalus muhlingi</t>
  </si>
  <si>
    <t>Caryophylaeus brachycolis</t>
  </si>
  <si>
    <t>cysta</t>
  </si>
  <si>
    <t>Dactylogyrus folkmanovae</t>
  </si>
  <si>
    <t>Dactylogyrus juvenil</t>
  </si>
  <si>
    <t>Dactylogyrus nanoides</t>
  </si>
  <si>
    <t>Dactylogyrus similis</t>
  </si>
  <si>
    <t>Dactylogyrus sp_</t>
  </si>
  <si>
    <t>Dactylogyrus vistulae</t>
  </si>
  <si>
    <t>Dactylogyrus vranoviensis</t>
  </si>
  <si>
    <t>Diplostomum spathaceum</t>
  </si>
  <si>
    <t>Gyrodactylus gracilihamatus</t>
  </si>
  <si>
    <t>Gyrodactylus hemibarbi</t>
  </si>
  <si>
    <t>Gyrodactylus vimbi</t>
  </si>
  <si>
    <t>Paradiplozoon ergensi</t>
  </si>
  <si>
    <t>Philometra abdominalis</t>
  </si>
  <si>
    <t>Philometra obturans</t>
  </si>
  <si>
    <t>Piscicola geometra</t>
  </si>
  <si>
    <t>Pomporhynchus laevis</t>
  </si>
  <si>
    <t>Proteocephalus torulosus</t>
  </si>
  <si>
    <t>Počet ryb</t>
  </si>
  <si>
    <t>Počet druhů parazitů</t>
  </si>
  <si>
    <t>Součet</t>
  </si>
  <si>
    <t>Suma</t>
  </si>
  <si>
    <t>B5+C5</t>
  </si>
  <si>
    <t>Prevalence</t>
  </si>
  <si>
    <t>COUNTIF(B6:B34;"&gt;0")</t>
  </si>
  <si>
    <t>Maticové vzorce</t>
  </si>
  <si>
    <t>Odkazy pomocí stylu A1</t>
  </si>
  <si>
    <t>Faktoriál (omezen na 170!)</t>
  </si>
  <si>
    <t>Logaritmus (přirozený, desítkový)</t>
  </si>
  <si>
    <t>Sinus (a další trigonometrické funkce)</t>
  </si>
  <si>
    <t>Náhodné číslo (přepočítává se po každé změně listu)</t>
  </si>
  <si>
    <t xml:space="preserve">sečti </t>
  </si>
  <si>
    <t>slova</t>
  </si>
  <si>
    <t>Složení slov (další vkládaný text se dává do uvozovek)</t>
  </si>
  <si>
    <t>Výběr z textu (3 písmena zleva)</t>
  </si>
  <si>
    <t>mlčet</t>
  </si>
  <si>
    <t>Podmínky a logické hodnoty.</t>
  </si>
  <si>
    <t>Když je hodnota&gt;10 zobrazí Větší než 10, v opačném případě Zobrazí Menší než 10.</t>
  </si>
  <si>
    <t>Hodnota</t>
  </si>
  <si>
    <t>Texty</t>
  </si>
  <si>
    <t>Čísla</t>
  </si>
  <si>
    <t>Datum nebo čas</t>
  </si>
  <si>
    <t>Práce s daty časy</t>
  </si>
  <si>
    <t>Den v měsící (den v týdnu atd.)</t>
  </si>
  <si>
    <t>Dnešní datum</t>
  </si>
  <si>
    <t>Minuta v hodině (hodina dne atd.)</t>
  </si>
  <si>
    <t>suma součinů řádků</t>
  </si>
  <si>
    <t>Výpočet Euklidovské vzdálenosti mezi body</t>
  </si>
  <si>
    <t>Maticová funkce (nezbytné použití maticových vzorců)</t>
  </si>
  <si>
    <t>Součin matic</t>
  </si>
  <si>
    <t>Interval spolehlivosti II</t>
  </si>
  <si>
    <t>Chi-square</t>
  </si>
  <si>
    <t>počet genotypů</t>
  </si>
  <si>
    <t>pozorované četnosti</t>
  </si>
  <si>
    <t>B</t>
  </si>
  <si>
    <t xml:space="preserve">očekávané </t>
  </si>
  <si>
    <t>očekávaný poměr</t>
  </si>
  <si>
    <t>parametr1</t>
  </si>
  <si>
    <t>parametr2</t>
  </si>
  <si>
    <t>Chi-square =</t>
  </si>
  <si>
    <t>Korelace =</t>
  </si>
  <si>
    <t>Jméno</t>
  </si>
  <si>
    <t>Příjmení</t>
  </si>
  <si>
    <t>ZADÁNÍ</t>
  </si>
  <si>
    <t>VÝSLEDEK</t>
  </si>
  <si>
    <t>VÝSLEDEK VZORCE</t>
  </si>
  <si>
    <t>SPRÁVNOST</t>
  </si>
  <si>
    <t>Ahoj</t>
  </si>
  <si>
    <t>Ahoj světe</t>
  </si>
  <si>
    <t>světe</t>
  </si>
  <si>
    <t>Jméno Příjmení</t>
  </si>
  <si>
    <t>Jméno a Příjmení</t>
  </si>
  <si>
    <t>Bylo</t>
  </si>
  <si>
    <t>lidí.</t>
  </si>
  <si>
    <t>Bylo 12 lidí.</t>
  </si>
  <si>
    <t>min</t>
  </si>
  <si>
    <t>max</t>
  </si>
  <si>
    <t>Složitější vzorce</t>
  </si>
  <si>
    <t>med</t>
  </si>
  <si>
    <t>prumer</t>
  </si>
  <si>
    <t>5th perc</t>
  </si>
  <si>
    <t>95th perc</t>
  </si>
  <si>
    <t>median</t>
  </si>
  <si>
    <t>B6/B$5</t>
  </si>
  <si>
    <t>C6/C$5</t>
  </si>
  <si>
    <t>Text vzorového vzorce:</t>
  </si>
  <si>
    <t>1. Matematické funkce</t>
  </si>
  <si>
    <t>2. Statistické funkce</t>
  </si>
  <si>
    <t>3. Textové funkce</t>
  </si>
  <si>
    <t>4. Logické funkce</t>
  </si>
  <si>
    <t>5. Časové a datumové funkce</t>
  </si>
  <si>
    <t>Přehled nejzákladnějších funkcí:</t>
  </si>
  <si>
    <t>funkce</t>
  </si>
  <si>
    <t>LN(číslo), LOG(číslo), LOGZ(číslo)</t>
  </si>
  <si>
    <t>Příklad</t>
  </si>
  <si>
    <t>FAKTORIÁL(číslo)</t>
  </si>
  <si>
    <t>NÁHČÍSLO()</t>
  </si>
  <si>
    <t>Zkus sám</t>
  </si>
  <si>
    <t>SIN(číslo),číslo je úhel v radiánech</t>
  </si>
  <si>
    <t>Knihovna funkcí</t>
  </si>
  <si>
    <t>Mat. a trig.</t>
  </si>
  <si>
    <t>Logická</t>
  </si>
  <si>
    <t>Datum a čas</t>
  </si>
  <si>
    <t>Text</t>
  </si>
  <si>
    <t>ZLEVA(text,znaky)</t>
  </si>
  <si>
    <t>&amp;</t>
  </si>
  <si>
    <t>Jan</t>
  </si>
  <si>
    <t>Novák</t>
  </si>
  <si>
    <t>vlkodlak</t>
  </si>
  <si>
    <t>Sloučení několika textových řetězců do jednoho</t>
  </si>
  <si>
    <t>CONCATENATE(text1;text2;text3)</t>
  </si>
  <si>
    <t xml:space="preserve">Jan </t>
  </si>
  <si>
    <t>KDYŽ(podmínka;ano;ne)</t>
  </si>
  <si>
    <t>Známka zobrazená textem</t>
  </si>
  <si>
    <t>známka</t>
  </si>
  <si>
    <t>Výborně</t>
  </si>
  <si>
    <t>Velmi dobře</t>
  </si>
  <si>
    <t>Dobře</t>
  </si>
  <si>
    <t>Neprospěl</t>
  </si>
  <si>
    <t>Nehodnoceno</t>
  </si>
  <si>
    <t>Náhodné číslo z intervalu &lt;1;5)</t>
  </si>
  <si>
    <t>Nápověda: funkce KDYŽ</t>
  </si>
  <si>
    <t>Nápověda: vynásobíme interval číslem "horní-dolní" a přičteme "dolní"</t>
  </si>
  <si>
    <t>Počet buněk v zadané oblasti, které splňují zadané kritérium</t>
  </si>
  <si>
    <t>MIN(číslo1;číslo2…),MAX(číslo1;číslo2…)</t>
  </si>
  <si>
    <t>Minimum,maximum,medián,mode,průměr,smodch,var,covar,correl…viz dále</t>
  </si>
  <si>
    <t>COUNTIF(oblast;kritérium)</t>
  </si>
  <si>
    <t>Další funkce-statistické</t>
  </si>
  <si>
    <t>Pro zvídavé</t>
  </si>
  <si>
    <t>DEN(datum)</t>
  </si>
  <si>
    <t>DNES</t>
  </si>
  <si>
    <t>MINUTA(čas)</t>
  </si>
  <si>
    <t>Statistické vzorce</t>
  </si>
  <si>
    <t>Průměr, medián, percentily atd.</t>
  </si>
  <si>
    <t>PANx</t>
  </si>
  <si>
    <t>Směrodatná odchylka</t>
  </si>
  <si>
    <t>Zadání</t>
  </si>
  <si>
    <t>Výsledek</t>
  </si>
  <si>
    <t>12 - 19,6</t>
  </si>
  <si>
    <t>SUMA(B5:C5)</t>
  </si>
  <si>
    <t>Doplňte min a max ve formátu min-max</t>
  </si>
</sst>
</file>

<file path=xl/styles.xml><?xml version="1.0" encoding="utf-8"?>
<styleSheet xmlns="http://schemas.openxmlformats.org/spreadsheetml/2006/main">
  <numFmts count="6">
    <numFmt numFmtId="164" formatCode="d/m/yy"/>
    <numFmt numFmtId="165" formatCode="_(* #,##0_);_(* \(#,##0\);_(* &quot;-&quot;_);_(@_)"/>
    <numFmt numFmtId="166" formatCode="0.0000"/>
    <numFmt numFmtId="167" formatCode="[$-F800]dddd\,\ mmmm\ dd\,\ yyyy"/>
    <numFmt numFmtId="168" formatCode="h:mm;@"/>
    <numFmt numFmtId="169" formatCode="0.0"/>
  </numFmts>
  <fonts count="26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10"/>
      <color indexed="8"/>
      <name val="MS Sans Serif"/>
      <family val="2"/>
      <charset val="238"/>
    </font>
    <font>
      <sz val="10"/>
      <name val="MS Sans Serif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000000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5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13" fillId="9" borderId="0" applyNumberFormat="0" applyBorder="0" applyAlignment="0" applyProtection="0"/>
  </cellStyleXfs>
  <cellXfs count="20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3" fillId="0" borderId="0" xfId="0" applyFont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4" fillId="0" borderId="0" xfId="2"/>
    <xf numFmtId="0" fontId="4" fillId="0" borderId="0" xfId="2" applyFill="1"/>
    <xf numFmtId="0" fontId="4" fillId="0" borderId="0" xfId="2" applyFont="1"/>
    <xf numFmtId="0" fontId="4" fillId="0" borderId="0" xfId="2" applyBorder="1"/>
    <xf numFmtId="164" fontId="4" fillId="0" borderId="0" xfId="2" applyNumberFormat="1" applyFill="1" applyBorder="1"/>
    <xf numFmtId="0" fontId="4" fillId="0" borderId="0" xfId="2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9" xfId="0" applyBorder="1"/>
    <xf numFmtId="0" fontId="0" fillId="0" borderId="10" xfId="0" applyBorder="1"/>
    <xf numFmtId="0" fontId="4" fillId="0" borderId="1" xfId="2" applyBorder="1"/>
    <xf numFmtId="0" fontId="4" fillId="0" borderId="3" xfId="2" applyBorder="1"/>
    <xf numFmtId="0" fontId="4" fillId="0" borderId="4" xfId="2" applyBorder="1"/>
    <xf numFmtId="0" fontId="4" fillId="0" borderId="5" xfId="2" applyBorder="1"/>
    <xf numFmtId="0" fontId="4" fillId="0" borderId="4" xfId="2" applyFont="1" applyBorder="1"/>
    <xf numFmtId="0" fontId="4" fillId="0" borderId="5" xfId="2" applyFont="1" applyBorder="1"/>
    <xf numFmtId="0" fontId="4" fillId="0" borderId="6" xfId="2" applyBorder="1"/>
    <xf numFmtId="0" fontId="4" fillId="0" borderId="8" xfId="2" applyBorder="1"/>
    <xf numFmtId="0" fontId="0" fillId="3" borderId="0" xfId="0" applyFill="1" applyBorder="1"/>
    <xf numFmtId="0" fontId="4" fillId="3" borderId="1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0" borderId="4" xfId="2" applyFill="1" applyBorder="1"/>
    <xf numFmtId="0" fontId="4" fillId="0" borderId="5" xfId="2" applyFill="1" applyBorder="1"/>
    <xf numFmtId="0" fontId="4" fillId="0" borderId="6" xfId="2" applyFill="1" applyBorder="1"/>
    <xf numFmtId="0" fontId="4" fillId="0" borderId="7" xfId="2" applyFill="1" applyBorder="1"/>
    <xf numFmtId="0" fontId="4" fillId="0" borderId="8" xfId="2" applyFill="1" applyBorder="1"/>
    <xf numFmtId="0" fontId="4" fillId="3" borderId="4" xfId="2" applyFont="1" applyFill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4" xfId="2" applyFont="1" applyFill="1" applyBorder="1"/>
    <xf numFmtId="166" fontId="4" fillId="0" borderId="0" xfId="2" applyNumberFormat="1" applyFill="1" applyBorder="1"/>
    <xf numFmtId="0" fontId="0" fillId="0" borderId="0" xfId="0" applyFill="1" applyBorder="1"/>
    <xf numFmtId="0" fontId="4" fillId="0" borderId="0" xfId="2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4" fillId="3" borderId="6" xfId="2" applyFont="1" applyFill="1" applyBorder="1"/>
    <xf numFmtId="0" fontId="0" fillId="3" borderId="2" xfId="0" applyFill="1" applyBorder="1"/>
    <xf numFmtId="0" fontId="0" fillId="3" borderId="3" xfId="0" applyFill="1" applyBorder="1"/>
    <xf numFmtId="0" fontId="4" fillId="3" borderId="4" xfId="2" applyFont="1" applyFill="1" applyBorder="1" applyAlignment="1">
      <alignment wrapText="1"/>
    </xf>
    <xf numFmtId="0" fontId="4" fillId="0" borderId="1" xfId="2" applyFont="1" applyBorder="1"/>
    <xf numFmtId="0" fontId="4" fillId="3" borderId="1" xfId="2" applyFont="1" applyFill="1" applyBorder="1" applyAlignment="1">
      <alignment wrapText="1"/>
    </xf>
    <xf numFmtId="0" fontId="4" fillId="0" borderId="10" xfId="2" applyBorder="1"/>
    <xf numFmtId="0" fontId="4" fillId="0" borderId="7" xfId="2" applyBorder="1"/>
    <xf numFmtId="0" fontId="4" fillId="0" borderId="0" xfId="2" applyFont="1" applyFill="1" applyBorder="1" applyAlignment="1">
      <alignment wrapText="1"/>
    </xf>
    <xf numFmtId="0" fontId="4" fillId="4" borderId="4" xfId="2" applyFill="1" applyBorder="1"/>
    <xf numFmtId="0" fontId="4" fillId="4" borderId="0" xfId="2" applyFill="1" applyBorder="1"/>
    <xf numFmtId="0" fontId="4" fillId="4" borderId="5" xfId="2" applyFill="1" applyBorder="1"/>
    <xf numFmtId="0" fontId="0" fillId="0" borderId="2" xfId="0" applyFill="1" applyBorder="1"/>
    <xf numFmtId="0" fontId="0" fillId="0" borderId="7" xfId="0" applyFill="1" applyBorder="1"/>
    <xf numFmtId="167" fontId="10" fillId="0" borderId="0" xfId="0" applyNumberFormat="1" applyFont="1"/>
    <xf numFmtId="0" fontId="0" fillId="2" borderId="1" xfId="0" applyFill="1" applyBorder="1"/>
    <xf numFmtId="0" fontId="0" fillId="2" borderId="8" xfId="0" applyFill="1" applyBorder="1"/>
    <xf numFmtId="0" fontId="0" fillId="5" borderId="0" xfId="0" applyFill="1"/>
    <xf numFmtId="0" fontId="4" fillId="0" borderId="11" xfId="2" applyBorder="1"/>
    <xf numFmtId="0" fontId="4" fillId="3" borderId="15" xfId="2" applyFont="1" applyFill="1" applyBorder="1"/>
    <xf numFmtId="0" fontId="11" fillId="0" borderId="0" xfId="2" applyFont="1" applyFill="1" applyBorder="1"/>
    <xf numFmtId="0" fontId="12" fillId="0" borderId="0" xfId="2" applyFont="1" applyFill="1" applyBorder="1"/>
    <xf numFmtId="0" fontId="4" fillId="0" borderId="0" xfId="2" applyFill="1" applyBorder="1" applyAlignment="1">
      <alignment horizontal="center"/>
    </xf>
    <xf numFmtId="12" fontId="4" fillId="0" borderId="0" xfId="2" applyNumberFormat="1" applyFill="1" applyBorder="1" applyAlignment="1">
      <alignment horizontal="center"/>
    </xf>
    <xf numFmtId="0" fontId="4" fillId="0" borderId="9" xfId="2" applyFill="1" applyBorder="1" applyAlignment="1">
      <alignment horizontal="center"/>
    </xf>
    <xf numFmtId="0" fontId="4" fillId="0" borderId="11" xfId="2" applyFill="1" applyBorder="1" applyAlignment="1">
      <alignment horizontal="center"/>
    </xf>
    <xf numFmtId="0" fontId="4" fillId="0" borderId="10" xfId="2" applyFill="1" applyBorder="1" applyAlignment="1">
      <alignment horizontal="center"/>
    </xf>
    <xf numFmtId="0" fontId="4" fillId="7" borderId="0" xfId="2" applyFill="1" applyBorder="1"/>
    <xf numFmtId="164" fontId="4" fillId="4" borderId="0" xfId="2" applyNumberFormat="1" applyFill="1" applyBorder="1"/>
    <xf numFmtId="0" fontId="4" fillId="4" borderId="0" xfId="2" applyFont="1" applyFill="1" applyBorder="1"/>
    <xf numFmtId="0" fontId="0" fillId="8" borderId="0" xfId="0" applyFill="1"/>
    <xf numFmtId="0" fontId="4" fillId="8" borderId="0" xfId="2" applyFill="1"/>
    <xf numFmtId="0" fontId="4" fillId="4" borderId="4" xfId="2" applyFont="1" applyFill="1" applyBorder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0" fontId="14" fillId="0" borderId="0" xfId="0" applyFont="1"/>
    <xf numFmtId="169" fontId="0" fillId="0" borderId="0" xfId="0" applyNumberFormat="1"/>
    <xf numFmtId="0" fontId="15" fillId="0" borderId="0" xfId="0" applyFont="1" applyBorder="1" applyAlignment="1">
      <alignment horizontal="center"/>
    </xf>
    <xf numFmtId="0" fontId="3" fillId="0" borderId="2" xfId="0" applyFont="1" applyBorder="1"/>
    <xf numFmtId="0" fontId="15" fillId="0" borderId="0" xfId="0" applyFont="1" applyBorder="1"/>
    <xf numFmtId="0" fontId="14" fillId="10" borderId="2" xfId="0" applyFont="1" applyFill="1" applyBorder="1"/>
    <xf numFmtId="0" fontId="14" fillId="10" borderId="9" xfId="0" applyFont="1" applyFill="1" applyBorder="1"/>
    <xf numFmtId="0" fontId="14" fillId="10" borderId="10" xfId="0" applyFont="1" applyFill="1" applyBorder="1"/>
    <xf numFmtId="0" fontId="14" fillId="0" borderId="0" xfId="0" applyFont="1" applyBorder="1"/>
    <xf numFmtId="0" fontId="14" fillId="10" borderId="0" xfId="0" applyFont="1" applyFill="1" applyBorder="1"/>
    <xf numFmtId="0" fontId="14" fillId="0" borderId="0" xfId="0" applyFont="1" applyFill="1" applyBorder="1"/>
    <xf numFmtId="0" fontId="14" fillId="0" borderId="2" xfId="0" applyFont="1" applyBorder="1"/>
    <xf numFmtId="0" fontId="14" fillId="10" borderId="12" xfId="0" applyFont="1" applyFill="1" applyBorder="1"/>
    <xf numFmtId="0" fontId="14" fillId="12" borderId="9" xfId="0" applyFont="1" applyFill="1" applyBorder="1"/>
    <xf numFmtId="0" fontId="14" fillId="12" borderId="10" xfId="0" applyFont="1" applyFill="1" applyBorder="1"/>
    <xf numFmtId="0" fontId="2" fillId="15" borderId="15" xfId="0" applyFont="1" applyFill="1" applyBorder="1"/>
    <xf numFmtId="0" fontId="14" fillId="16" borderId="15" xfId="0" applyFont="1" applyFill="1" applyBorder="1"/>
    <xf numFmtId="0" fontId="14" fillId="16" borderId="13" xfId="0" applyFont="1" applyFill="1" applyBorder="1"/>
    <xf numFmtId="0" fontId="14" fillId="16" borderId="0" xfId="0" applyFont="1" applyFill="1" applyBorder="1"/>
    <xf numFmtId="0" fontId="14" fillId="16" borderId="14" xfId="0" applyFont="1" applyFill="1" applyBorder="1"/>
    <xf numFmtId="0" fontId="14" fillId="16" borderId="7" xfId="0" applyFont="1" applyFill="1" applyBorder="1"/>
    <xf numFmtId="0" fontId="14" fillId="16" borderId="4" xfId="0" applyFont="1" applyFill="1" applyBorder="1"/>
    <xf numFmtId="0" fontId="14" fillId="16" borderId="12" xfId="0" applyFont="1" applyFill="1" applyBorder="1"/>
    <xf numFmtId="0" fontId="0" fillId="0" borderId="0" xfId="0" applyFill="1"/>
    <xf numFmtId="0" fontId="15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15" fillId="11" borderId="0" xfId="0" applyFont="1" applyFill="1" applyBorder="1" applyAlignment="1">
      <alignment horizontal="center"/>
    </xf>
    <xf numFmtId="0" fontId="14" fillId="15" borderId="11" xfId="0" applyFont="1" applyFill="1" applyBorder="1" applyAlignment="1">
      <alignment horizontal="center"/>
    </xf>
    <xf numFmtId="0" fontId="14" fillId="15" borderId="10" xfId="4" applyFont="1" applyFill="1" applyBorder="1" applyAlignment="1">
      <alignment horizontal="center"/>
    </xf>
    <xf numFmtId="0" fontId="14" fillId="14" borderId="11" xfId="0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6" fillId="6" borderId="0" xfId="3" applyFont="1" applyFill="1" applyBorder="1" applyAlignment="1">
      <alignment horizontal="center" vertical="center" wrapText="1"/>
    </xf>
    <xf numFmtId="0" fontId="14" fillId="5" borderId="0" xfId="4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4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left" vertical="center"/>
    </xf>
    <xf numFmtId="0" fontId="14" fillId="13" borderId="0" xfId="0" applyFont="1" applyFill="1" applyBorder="1" applyAlignment="1">
      <alignment horizontal="left" vertical="center"/>
    </xf>
    <xf numFmtId="0" fontId="14" fillId="13" borderId="7" xfId="0" applyFont="1" applyFill="1" applyBorder="1" applyAlignment="1">
      <alignment horizontal="left" vertical="center"/>
    </xf>
    <xf numFmtId="0" fontId="7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167" fontId="10" fillId="0" borderId="0" xfId="0" applyNumberFormat="1" applyFont="1" applyBorder="1"/>
    <xf numFmtId="14" fontId="0" fillId="0" borderId="0" xfId="0" applyNumberFormat="1" applyBorder="1"/>
    <xf numFmtId="168" fontId="10" fillId="0" borderId="0" xfId="0" applyNumberFormat="1" applyFont="1" applyBorder="1"/>
    <xf numFmtId="0" fontId="2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0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ont="1" applyFill="1" applyBorder="1"/>
    <xf numFmtId="0" fontId="21" fillId="0" borderId="0" xfId="0" applyFont="1" applyBorder="1"/>
    <xf numFmtId="0" fontId="22" fillId="0" borderId="0" xfId="0" applyFont="1" applyBorder="1"/>
    <xf numFmtId="0" fontId="0" fillId="10" borderId="12" xfId="0" applyFill="1" applyBorder="1"/>
    <xf numFmtId="0" fontId="0" fillId="10" borderId="13" xfId="0" applyFill="1" applyBorder="1"/>
    <xf numFmtId="0" fontId="0" fillId="10" borderId="14" xfId="0" applyFill="1" applyBorder="1"/>
    <xf numFmtId="0" fontId="22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0" fillId="10" borderId="0" xfId="0" applyFill="1"/>
    <xf numFmtId="0" fontId="0" fillId="10" borderId="15" xfId="0" applyFill="1" applyBorder="1"/>
    <xf numFmtId="0" fontId="3" fillId="14" borderId="0" xfId="0" applyFont="1" applyFill="1" applyBorder="1"/>
    <xf numFmtId="0" fontId="20" fillId="14" borderId="0" xfId="0" applyFont="1" applyFill="1" applyBorder="1" applyAlignment="1">
      <alignment horizontal="left"/>
    </xf>
    <xf numFmtId="0" fontId="20" fillId="14" borderId="0" xfId="0" applyFont="1" applyFill="1" applyBorder="1"/>
    <xf numFmtId="0" fontId="0" fillId="3" borderId="12" xfId="0" applyFill="1" applyBorder="1"/>
    <xf numFmtId="0" fontId="0" fillId="17" borderId="13" xfId="0" applyFill="1" applyBorder="1"/>
    <xf numFmtId="0" fontId="4" fillId="3" borderId="12" xfId="2" applyFont="1" applyFill="1" applyBorder="1"/>
    <xf numFmtId="0" fontId="4" fillId="10" borderId="12" xfId="2" applyFill="1" applyBorder="1"/>
    <xf numFmtId="0" fontId="4" fillId="3" borderId="13" xfId="2" applyFont="1" applyFill="1" applyBorder="1"/>
    <xf numFmtId="0" fontId="4" fillId="10" borderId="13" xfId="2" applyFill="1" applyBorder="1"/>
    <xf numFmtId="0" fontId="4" fillId="10" borderId="13" xfId="2" applyFont="1" applyFill="1" applyBorder="1"/>
    <xf numFmtId="0" fontId="4" fillId="3" borderId="14" xfId="2" applyFont="1" applyFill="1" applyBorder="1"/>
    <xf numFmtId="0" fontId="4" fillId="10" borderId="14" xfId="2" applyFill="1" applyBorder="1"/>
    <xf numFmtId="0" fontId="0" fillId="17" borderId="14" xfId="0" applyFill="1" applyBorder="1"/>
    <xf numFmtId="0" fontId="3" fillId="13" borderId="0" xfId="0" applyFont="1" applyFill="1"/>
    <xf numFmtId="0" fontId="0" fillId="18" borderId="0" xfId="0" applyFill="1" applyBorder="1"/>
    <xf numFmtId="0" fontId="14" fillId="18" borderId="0" xfId="0" applyFont="1" applyFill="1" applyBorder="1"/>
    <xf numFmtId="0" fontId="0" fillId="18" borderId="0" xfId="0" applyFont="1" applyFill="1" applyBorder="1"/>
    <xf numFmtId="0" fontId="0" fillId="18" borderId="0" xfId="0" applyFill="1" applyBorder="1" applyAlignment="1">
      <alignment wrapText="1"/>
    </xf>
    <xf numFmtId="0" fontId="23" fillId="0" borderId="0" xfId="0" applyFont="1"/>
    <xf numFmtId="0" fontId="0" fillId="18" borderId="0" xfId="0" applyFill="1"/>
    <xf numFmtId="0" fontId="0" fillId="19" borderId="0" xfId="0" applyFill="1"/>
    <xf numFmtId="0" fontId="14" fillId="19" borderId="0" xfId="0" applyFont="1" applyFill="1"/>
    <xf numFmtId="0" fontId="23" fillId="19" borderId="0" xfId="0" applyFont="1" applyFill="1"/>
    <xf numFmtId="0" fontId="23" fillId="10" borderId="0" xfId="0" applyFont="1" applyFill="1"/>
    <xf numFmtId="16" fontId="0" fillId="0" borderId="0" xfId="0" applyNumberFormat="1"/>
    <xf numFmtId="0" fontId="24" fillId="10" borderId="24" xfId="5" applyFont="1" applyFill="1" applyBorder="1"/>
    <xf numFmtId="0" fontId="24" fillId="10" borderId="25" xfId="5" applyFont="1" applyFill="1" applyBorder="1"/>
    <xf numFmtId="0" fontId="24" fillId="10" borderId="26" xfId="5" applyFont="1" applyFill="1" applyBorder="1"/>
    <xf numFmtId="0" fontId="23" fillId="18" borderId="0" xfId="0" applyFont="1" applyFill="1"/>
    <xf numFmtId="0" fontId="25" fillId="10" borderId="19" xfId="5" applyFont="1" applyFill="1" applyBorder="1"/>
    <xf numFmtId="0" fontId="25" fillId="10" borderId="20" xfId="5" applyFont="1" applyFill="1" applyBorder="1"/>
    <xf numFmtId="0" fontId="25" fillId="10" borderId="21" xfId="5" applyFont="1" applyFill="1" applyBorder="1"/>
    <xf numFmtId="0" fontId="25" fillId="10" borderId="22" xfId="5" applyFont="1" applyFill="1" applyBorder="1"/>
    <xf numFmtId="0" fontId="25" fillId="10" borderId="23" xfId="5" applyFont="1" applyFill="1" applyBorder="1"/>
    <xf numFmtId="0" fontId="14" fillId="10" borderId="0" xfId="5" applyFont="1" applyFill="1" applyBorder="1"/>
    <xf numFmtId="0" fontId="14" fillId="16" borderId="5" xfId="0" applyFont="1" applyFill="1" applyBorder="1"/>
    <xf numFmtId="0" fontId="3" fillId="13" borderId="7" xfId="0" applyFont="1" applyFill="1" applyBorder="1" applyAlignment="1">
      <alignment horizontal="left"/>
    </xf>
    <xf numFmtId="0" fontId="20" fillId="0" borderId="7" xfId="0" applyFont="1" applyFill="1" applyBorder="1"/>
    <xf numFmtId="0" fontId="20" fillId="10" borderId="7" xfId="0" applyFont="1" applyFill="1" applyBorder="1"/>
    <xf numFmtId="0" fontId="3" fillId="0" borderId="7" xfId="0" applyFont="1" applyBorder="1"/>
    <xf numFmtId="0" fontId="8" fillId="0" borderId="0" xfId="0" applyFont="1" applyBorder="1" applyAlignment="1">
      <alignment horizontal="center"/>
    </xf>
    <xf numFmtId="0" fontId="15" fillId="0" borderId="7" xfId="0" applyFont="1" applyBorder="1" applyAlignment="1">
      <alignment horizontal="right"/>
    </xf>
    <xf numFmtId="0" fontId="14" fillId="10" borderId="16" xfId="0" applyFont="1" applyFill="1" applyBorder="1" applyAlignment="1">
      <alignment horizontal="center" vertical="center"/>
    </xf>
    <xf numFmtId="0" fontId="14" fillId="10" borderId="17" xfId="0" applyFont="1" applyFill="1" applyBorder="1" applyAlignment="1">
      <alignment horizontal="center" vertical="center"/>
    </xf>
    <xf numFmtId="0" fontId="14" fillId="10" borderId="1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6">
    <cellStyle name="čárky [0]_List1" xfId="1"/>
    <cellStyle name="normální" xfId="0" builtinId="0"/>
    <cellStyle name="normální_Diplomka 98" xfId="2"/>
    <cellStyle name="normální_List2" xfId="3"/>
    <cellStyle name="normální_Ryby a druhy 2" xfId="4"/>
    <cellStyle name="Správně" xfId="5" builtinId="26"/>
  </cellStyles>
  <dxfs count="1">
    <dxf>
      <font>
        <b/>
        <i val="0"/>
        <condense val="0"/>
        <extend val="0"/>
        <color indexed="53"/>
      </font>
    </dxf>
  </dxfs>
  <tableStyles count="0" defaultTableStyle="TableStyleMedium9" defaultPivotStyle="PivotStyleLight16"/>
  <colors>
    <mruColors>
      <color rgb="FFFFFFCC"/>
      <color rgb="FFFFCC99"/>
      <color rgb="FF66FF99"/>
      <color rgb="FFCCFFCC"/>
      <color rgb="FFCCECFF"/>
      <color rgb="FF99FF99"/>
      <color rgb="FF0000FF"/>
      <color rgb="FFFFFF99"/>
      <color rgb="FFCCFF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389135016032663"/>
          <c:y val="9.3862981341277726E-2"/>
          <c:w val="0.7259421641505176"/>
          <c:h val="0.67509144272380694"/>
        </c:manualLayout>
      </c:layout>
      <c:barChart>
        <c:barDir val="col"/>
        <c:grouping val="clustered"/>
        <c:ser>
          <c:idx val="0"/>
          <c:order val="0"/>
          <c:tx>
            <c:strRef>
              <c:f>'IV Statistika &amp; T-test'!$E$14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cat>
            <c:numRef>
              <c:f>'IV Statistika &amp; T-test'!$D$15:$D$47</c:f>
              <c:numCache>
                <c:formatCode>General</c:formatCode>
                <c:ptCount val="33"/>
                <c:pt idx="0">
                  <c:v>0.06</c:v>
                </c:pt>
                <c:pt idx="1">
                  <c:v>6.25E-2</c:v>
                </c:pt>
                <c:pt idx="2">
                  <c:v>6.5000000000000002E-2</c:v>
                </c:pt>
                <c:pt idx="3">
                  <c:v>6.7500000000000004E-2</c:v>
                </c:pt>
                <c:pt idx="4">
                  <c:v>7.0000000000000007E-2</c:v>
                </c:pt>
                <c:pt idx="5">
                  <c:v>7.2500000000000009E-2</c:v>
                </c:pt>
                <c:pt idx="6">
                  <c:v>7.5000000000000011E-2</c:v>
                </c:pt>
                <c:pt idx="7">
                  <c:v>7.7500000000000013E-2</c:v>
                </c:pt>
                <c:pt idx="8">
                  <c:v>8.0000000000000016E-2</c:v>
                </c:pt>
                <c:pt idx="9">
                  <c:v>8.2500000000000018E-2</c:v>
                </c:pt>
                <c:pt idx="10">
                  <c:v>8.500000000000002E-2</c:v>
                </c:pt>
                <c:pt idx="11">
                  <c:v>8.7500000000000022E-2</c:v>
                </c:pt>
                <c:pt idx="12">
                  <c:v>9.0000000000000024E-2</c:v>
                </c:pt>
                <c:pt idx="13">
                  <c:v>9.2500000000000027E-2</c:v>
                </c:pt>
                <c:pt idx="14">
                  <c:v>9.5000000000000029E-2</c:v>
                </c:pt>
                <c:pt idx="15">
                  <c:v>9.7500000000000031E-2</c:v>
                </c:pt>
                <c:pt idx="16">
                  <c:v>0.10000000000000003</c:v>
                </c:pt>
                <c:pt idx="17">
                  <c:v>0.10250000000000004</c:v>
                </c:pt>
                <c:pt idx="18">
                  <c:v>0.10500000000000004</c:v>
                </c:pt>
                <c:pt idx="19">
                  <c:v>0.10750000000000004</c:v>
                </c:pt>
                <c:pt idx="20">
                  <c:v>0.11000000000000004</c:v>
                </c:pt>
                <c:pt idx="21">
                  <c:v>0.11250000000000004</c:v>
                </c:pt>
                <c:pt idx="22">
                  <c:v>0.11500000000000005</c:v>
                </c:pt>
                <c:pt idx="23">
                  <c:v>0.11750000000000005</c:v>
                </c:pt>
                <c:pt idx="24">
                  <c:v>0.12000000000000005</c:v>
                </c:pt>
                <c:pt idx="25">
                  <c:v>0.12250000000000005</c:v>
                </c:pt>
                <c:pt idx="26">
                  <c:v>0.12500000000000006</c:v>
                </c:pt>
                <c:pt idx="27">
                  <c:v>0.12750000000000006</c:v>
                </c:pt>
                <c:pt idx="28">
                  <c:v>0.13000000000000006</c:v>
                </c:pt>
                <c:pt idx="29">
                  <c:v>0.13250000000000006</c:v>
                </c:pt>
                <c:pt idx="30">
                  <c:v>0.13500000000000006</c:v>
                </c:pt>
                <c:pt idx="31">
                  <c:v>0.13750000000000007</c:v>
                </c:pt>
                <c:pt idx="32">
                  <c:v>0.14000000000000007</c:v>
                </c:pt>
              </c:numCache>
            </c:numRef>
          </c:cat>
          <c:val>
            <c:numRef>
              <c:f>'IV Statistika &amp; T-test'!$E$15:$E$47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  <c:pt idx="22">
                  <c:v>10</c:v>
                </c:pt>
                <c:pt idx="23">
                  <c:v>33</c:v>
                </c:pt>
                <c:pt idx="24">
                  <c:v>39</c:v>
                </c:pt>
                <c:pt idx="25">
                  <c:v>37</c:v>
                </c:pt>
                <c:pt idx="26">
                  <c:v>18</c:v>
                </c:pt>
                <c:pt idx="27">
                  <c:v>14</c:v>
                </c:pt>
                <c:pt idx="28">
                  <c:v>7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ser>
          <c:idx val="1"/>
          <c:order val="1"/>
          <c:tx>
            <c:strRef>
              <c:f>'IV Statistika &amp; T-test'!$F$14</c:f>
              <c:strCache>
                <c:ptCount val="1"/>
                <c:pt idx="0">
                  <c:v>PBIN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cat>
            <c:numRef>
              <c:f>'IV Statistika &amp; T-test'!$D$15:$D$47</c:f>
              <c:numCache>
                <c:formatCode>General</c:formatCode>
                <c:ptCount val="33"/>
                <c:pt idx="0">
                  <c:v>0.06</c:v>
                </c:pt>
                <c:pt idx="1">
                  <c:v>6.25E-2</c:v>
                </c:pt>
                <c:pt idx="2">
                  <c:v>6.5000000000000002E-2</c:v>
                </c:pt>
                <c:pt idx="3">
                  <c:v>6.7500000000000004E-2</c:v>
                </c:pt>
                <c:pt idx="4">
                  <c:v>7.0000000000000007E-2</c:v>
                </c:pt>
                <c:pt idx="5">
                  <c:v>7.2500000000000009E-2</c:v>
                </c:pt>
                <c:pt idx="6">
                  <c:v>7.5000000000000011E-2</c:v>
                </c:pt>
                <c:pt idx="7">
                  <c:v>7.7500000000000013E-2</c:v>
                </c:pt>
                <c:pt idx="8">
                  <c:v>8.0000000000000016E-2</c:v>
                </c:pt>
                <c:pt idx="9">
                  <c:v>8.2500000000000018E-2</c:v>
                </c:pt>
                <c:pt idx="10">
                  <c:v>8.500000000000002E-2</c:v>
                </c:pt>
                <c:pt idx="11">
                  <c:v>8.7500000000000022E-2</c:v>
                </c:pt>
                <c:pt idx="12">
                  <c:v>9.0000000000000024E-2</c:v>
                </c:pt>
                <c:pt idx="13">
                  <c:v>9.2500000000000027E-2</c:v>
                </c:pt>
                <c:pt idx="14">
                  <c:v>9.5000000000000029E-2</c:v>
                </c:pt>
                <c:pt idx="15">
                  <c:v>9.7500000000000031E-2</c:v>
                </c:pt>
                <c:pt idx="16">
                  <c:v>0.10000000000000003</c:v>
                </c:pt>
                <c:pt idx="17">
                  <c:v>0.10250000000000004</c:v>
                </c:pt>
                <c:pt idx="18">
                  <c:v>0.10500000000000004</c:v>
                </c:pt>
                <c:pt idx="19">
                  <c:v>0.10750000000000004</c:v>
                </c:pt>
                <c:pt idx="20">
                  <c:v>0.11000000000000004</c:v>
                </c:pt>
                <c:pt idx="21">
                  <c:v>0.11250000000000004</c:v>
                </c:pt>
                <c:pt idx="22">
                  <c:v>0.11500000000000005</c:v>
                </c:pt>
                <c:pt idx="23">
                  <c:v>0.11750000000000005</c:v>
                </c:pt>
                <c:pt idx="24">
                  <c:v>0.12000000000000005</c:v>
                </c:pt>
                <c:pt idx="25">
                  <c:v>0.12250000000000005</c:v>
                </c:pt>
                <c:pt idx="26">
                  <c:v>0.12500000000000006</c:v>
                </c:pt>
                <c:pt idx="27">
                  <c:v>0.12750000000000006</c:v>
                </c:pt>
                <c:pt idx="28">
                  <c:v>0.13000000000000006</c:v>
                </c:pt>
                <c:pt idx="29">
                  <c:v>0.13250000000000006</c:v>
                </c:pt>
                <c:pt idx="30">
                  <c:v>0.13500000000000006</c:v>
                </c:pt>
                <c:pt idx="31">
                  <c:v>0.13750000000000007</c:v>
                </c:pt>
                <c:pt idx="32">
                  <c:v>0.14000000000000007</c:v>
                </c:pt>
              </c:numCache>
            </c:numRef>
          </c:cat>
          <c:val>
            <c:numRef>
              <c:f>'IV Statistika &amp; T-test'!$F$15:$F$47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45</c:v>
                </c:pt>
                <c:pt idx="6">
                  <c:v>33</c:v>
                </c:pt>
                <c:pt idx="7">
                  <c:v>18</c:v>
                </c:pt>
                <c:pt idx="8">
                  <c:v>8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gapWidth val="0"/>
        <c:overlap val="80"/>
        <c:axId val="106654336"/>
        <c:axId val="106660608"/>
      </c:barChart>
      <c:catAx>
        <c:axId val="106654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rozměr 1 (µm)   </a:t>
                </a:r>
              </a:p>
            </c:rich>
          </c:tx>
          <c:layout>
            <c:manualLayout>
              <c:xMode val="edge"/>
              <c:yMode val="edge"/>
              <c:x val="0.40167405048097793"/>
              <c:y val="0.866427520073330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660608"/>
        <c:crosses val="autoZero"/>
        <c:auto val="1"/>
        <c:lblAlgn val="ctr"/>
        <c:lblOffset val="100"/>
        <c:tickLblSkip val="4"/>
        <c:tickMarkSkip val="1"/>
      </c:catAx>
      <c:valAx>
        <c:axId val="1066606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Četnost</a:t>
                </a:r>
              </a:p>
            </c:rich>
          </c:tx>
          <c:layout>
            <c:manualLayout>
              <c:xMode val="edge"/>
              <c:yMode val="edge"/>
              <c:x val="3.1380785193826401E-2"/>
              <c:y val="0.335740664028416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6543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795020751974437"/>
          <c:y val="0.12274389867705515"/>
          <c:w val="0.10460261731275468"/>
          <c:h val="0.1552349306798055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155" r="0.75000000000000155" t="1" header="0.49212598450000072" footer="0.4921259845000007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31004432920887715"/>
          <c:y val="0.11946928466642324"/>
          <c:w val="0.6288223014940586"/>
          <c:h val="0.6548686715048407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'IV Statistika &amp; T-test'!$E$75</c:f>
              <c:numCache>
                <c:formatCode>General</c:formatCode>
                <c:ptCount val="1"/>
                <c:pt idx="0">
                  <c:v>0.12012876855789192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'IV Statistika &amp; T-test'!$E$76</c:f>
              <c:numCache>
                <c:formatCode>General</c:formatCode>
                <c:ptCount val="1"/>
                <c:pt idx="0">
                  <c:v>0.11855023696697006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'IV Statistika &amp; T-test'!$E$77</c:f>
              <c:numCache>
                <c:formatCode>General</c:formatCode>
                <c:ptCount val="1"/>
                <c:pt idx="0">
                  <c:v>0.11933950276243099</c:v>
                </c:pt>
              </c:numCache>
            </c:numRef>
          </c:val>
        </c:ser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axId val="137128192"/>
        <c:axId val="142135680"/>
      </c:lineChart>
      <c:catAx>
        <c:axId val="137128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PAN</a:t>
                </a:r>
              </a:p>
            </c:rich>
          </c:tx>
          <c:layout>
            <c:manualLayout>
              <c:xMode val="edge"/>
              <c:yMode val="edge"/>
              <c:x val="0.55458633534545287"/>
              <c:y val="0.82743541602300763"/>
            </c:manualLayout>
          </c:layout>
          <c:spPr>
            <a:noFill/>
            <a:ln w="25400">
              <a:noFill/>
            </a:ln>
          </c:spPr>
        </c:title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42135680"/>
        <c:crosses val="autoZero"/>
        <c:auto val="1"/>
        <c:lblAlgn val="ctr"/>
        <c:lblOffset val="100"/>
        <c:tickMarkSkip val="1"/>
      </c:catAx>
      <c:valAx>
        <c:axId val="142135680"/>
        <c:scaling>
          <c:orientation val="minMax"/>
        </c:scaling>
        <c:axPos val="l"/>
        <c:numFmt formatCode="0.0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128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155" r="0.75000000000000155" t="1" header="0.49212598450000072" footer="0.4921259845000007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30869565217391304"/>
          <c:y val="0.11894273127753326"/>
          <c:w val="0.63043478260869723"/>
          <c:h val="0.65638766519823788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'IV Statistika &amp; T-test'!$F$75</c:f>
              <c:numCache>
                <c:formatCode>General</c:formatCode>
                <c:ptCount val="1"/>
                <c:pt idx="0">
                  <c:v>7.3414631442725892E-2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'IV Statistika &amp; T-test'!$F$76</c:f>
              <c:numCache>
                <c:formatCode>General</c:formatCode>
                <c:ptCount val="1"/>
                <c:pt idx="0">
                  <c:v>7.2368888557274108E-2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'IV Statistika &amp; T-test'!$F$77</c:f>
              <c:numCache>
                <c:formatCode>General</c:formatCode>
                <c:ptCount val="1"/>
                <c:pt idx="0">
                  <c:v>7.289176E-2</c:v>
                </c:pt>
              </c:numCache>
            </c:numRef>
          </c:val>
        </c:ser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axId val="142349440"/>
        <c:axId val="142351360"/>
      </c:lineChart>
      <c:catAx>
        <c:axId val="142349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PBIN</a:t>
                </a:r>
              </a:p>
            </c:rich>
          </c:tx>
          <c:layout>
            <c:manualLayout>
              <c:xMode val="edge"/>
              <c:yMode val="edge"/>
              <c:x val="0.54347826086956519"/>
              <c:y val="0.82819383259912227"/>
            </c:manualLayout>
          </c:layout>
          <c:spPr>
            <a:noFill/>
            <a:ln w="25400">
              <a:noFill/>
            </a:ln>
          </c:spPr>
        </c:title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42351360"/>
        <c:crosses val="autoZero"/>
        <c:auto val="1"/>
        <c:lblAlgn val="ctr"/>
        <c:lblOffset val="100"/>
        <c:tickMarkSkip val="1"/>
      </c:catAx>
      <c:valAx>
        <c:axId val="142351360"/>
        <c:scaling>
          <c:orientation val="minMax"/>
        </c:scaling>
        <c:axPos val="l"/>
        <c:numFmt formatCode="0.0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349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155" r="0.75000000000000155" t="1" header="0.49212598450000072" footer="0.4921259845000007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34200743494423791"/>
          <c:y val="0.10728009488780714"/>
          <c:w val="0.60594795539033464"/>
          <c:h val="0.68965775285019049"/>
        </c:manualLayout>
      </c:layout>
      <c:lineChart>
        <c:grouping val="standard"/>
        <c:ser>
          <c:idx val="0"/>
          <c:order val="0"/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'IV Statistika &amp; T-test'!$E$49:$F$49</c:f>
              <c:strCache>
                <c:ptCount val="2"/>
                <c:pt idx="0">
                  <c:v>PAN</c:v>
                </c:pt>
                <c:pt idx="1">
                  <c:v>PBIN</c:v>
                </c:pt>
              </c:strCache>
            </c:strRef>
          </c:cat>
          <c:val>
            <c:numRef>
              <c:f>'IV Statistika &amp; T-test'!$E$51:$F$51</c:f>
              <c:numCache>
                <c:formatCode>General</c:formatCode>
                <c:ptCount val="2"/>
                <c:pt idx="0">
                  <c:v>0.11019</c:v>
                </c:pt>
                <c:pt idx="1">
                  <c:v>6.8213999999999997E-2</c:v>
                </c:pt>
              </c:numCache>
            </c:numRef>
          </c:val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'IV Statistika &amp; T-test'!$E$49:$F$49</c:f>
              <c:strCache>
                <c:ptCount val="2"/>
                <c:pt idx="0">
                  <c:v>PAN</c:v>
                </c:pt>
                <c:pt idx="1">
                  <c:v>PBIN</c:v>
                </c:pt>
              </c:strCache>
            </c:strRef>
          </c:cat>
          <c:val>
            <c:numRef>
              <c:f>'IV Statistika &amp; T-test'!$E$60:$F$60</c:f>
              <c:numCache>
                <c:formatCode>General</c:formatCode>
                <c:ptCount val="2"/>
                <c:pt idx="0">
                  <c:v>0.11909</c:v>
                </c:pt>
                <c:pt idx="1">
                  <c:v>7.2480000000000003E-2</c:v>
                </c:pt>
              </c:numCache>
            </c:numRef>
          </c:val>
        </c:ser>
        <c:ser>
          <c:idx val="2"/>
          <c:order val="2"/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'IV Statistika &amp; T-test'!$E$49:$F$49</c:f>
              <c:strCache>
                <c:ptCount val="2"/>
                <c:pt idx="0">
                  <c:v>PAN</c:v>
                </c:pt>
                <c:pt idx="1">
                  <c:v>PBIN</c:v>
                </c:pt>
              </c:strCache>
            </c:strRef>
          </c:cat>
          <c:val>
            <c:numRef>
              <c:f>'IV Statistika &amp; T-test'!$E$69:$F$69</c:f>
              <c:numCache>
                <c:formatCode>General</c:formatCode>
                <c:ptCount val="2"/>
                <c:pt idx="0">
                  <c:v>0.128</c:v>
                </c:pt>
                <c:pt idx="1">
                  <c:v>7.7736E-2</c:v>
                </c:pt>
              </c:numCache>
            </c:numRef>
          </c:val>
        </c:ser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axId val="106569728"/>
        <c:axId val="106571264"/>
      </c:lineChart>
      <c:catAx>
        <c:axId val="106569728"/>
        <c:scaling>
          <c:orientation val="minMax"/>
        </c:scaling>
        <c:axPos val="b"/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571264"/>
        <c:crosses val="autoZero"/>
        <c:auto val="1"/>
        <c:lblAlgn val="ctr"/>
        <c:lblOffset val="100"/>
        <c:tickLblSkip val="1"/>
        <c:tickMarkSkip val="1"/>
      </c:catAx>
      <c:valAx>
        <c:axId val="106571264"/>
        <c:scaling>
          <c:orientation val="minMax"/>
          <c:min val="6.0000000000000032E-2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Rozměr 1 (µm)  </a:t>
                </a:r>
              </a:p>
            </c:rich>
          </c:tx>
          <c:layout>
            <c:manualLayout>
              <c:xMode val="edge"/>
              <c:yMode val="edge"/>
              <c:x val="5.9479553903345833E-2"/>
              <c:y val="0.2298859176167295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569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155" r="0.75000000000000155" t="1" header="0.49212598450000072" footer="0.4921259845000007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1556917742032231"/>
          <c:y val="0.1"/>
          <c:w val="0.70658785932216517"/>
          <c:h val="0.63461538461538636"/>
        </c:manualLayout>
      </c:layout>
      <c:scatterChart>
        <c:scatterStyle val="lineMarker"/>
        <c:ser>
          <c:idx val="0"/>
          <c:order val="0"/>
          <c:tx>
            <c:strRef>
              <c:f>'VI Chi-square &amp; korelace'!$B$16</c:f>
              <c:strCache>
                <c:ptCount val="1"/>
                <c:pt idx="0">
                  <c:v>parametr2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-0.13337375878770016"/>
                  <c:y val="-3.84615384615384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trendlineLbl>
          </c:trendline>
          <c:xVal>
            <c:numRef>
              <c:f>'VI Chi-square &amp; korelace'!$A$17:$A$27</c:f>
              <c:numCache>
                <c:formatCode>General</c:formatCode>
                <c:ptCount val="11"/>
                <c:pt idx="0">
                  <c:v>120</c:v>
                </c:pt>
                <c:pt idx="1">
                  <c:v>82</c:v>
                </c:pt>
                <c:pt idx="2">
                  <c:v>90</c:v>
                </c:pt>
                <c:pt idx="3">
                  <c:v>8</c:v>
                </c:pt>
                <c:pt idx="4">
                  <c:v>38</c:v>
                </c:pt>
                <c:pt idx="5">
                  <c:v>20</c:v>
                </c:pt>
                <c:pt idx="6">
                  <c:v>2.8</c:v>
                </c:pt>
                <c:pt idx="7">
                  <c:v>66</c:v>
                </c:pt>
                <c:pt idx="8">
                  <c:v>2</c:v>
                </c:pt>
                <c:pt idx="9">
                  <c:v>20</c:v>
                </c:pt>
                <c:pt idx="10">
                  <c:v>85</c:v>
                </c:pt>
              </c:numCache>
            </c:numRef>
          </c:xVal>
          <c:yVal>
            <c:numRef>
              <c:f>'VI Chi-square &amp; korelace'!$B$17:$B$27</c:f>
              <c:numCache>
                <c:formatCode>General</c:formatCode>
                <c:ptCount val="11"/>
                <c:pt idx="0">
                  <c:v>105</c:v>
                </c:pt>
                <c:pt idx="1">
                  <c:v>110</c:v>
                </c:pt>
                <c:pt idx="2">
                  <c:v>99</c:v>
                </c:pt>
                <c:pt idx="3">
                  <c:v>22</c:v>
                </c:pt>
                <c:pt idx="4">
                  <c:v>50</c:v>
                </c:pt>
                <c:pt idx="5">
                  <c:v>50</c:v>
                </c:pt>
                <c:pt idx="6">
                  <c:v>7.3</c:v>
                </c:pt>
                <c:pt idx="7">
                  <c:v>74</c:v>
                </c:pt>
                <c:pt idx="8">
                  <c:v>7.7</c:v>
                </c:pt>
                <c:pt idx="9">
                  <c:v>45</c:v>
                </c:pt>
                <c:pt idx="10">
                  <c:v>51</c:v>
                </c:pt>
              </c:numCache>
            </c:numRef>
          </c:yVal>
        </c:ser>
        <c:axId val="106624896"/>
        <c:axId val="107429888"/>
      </c:scatterChart>
      <c:valAx>
        <c:axId val="106624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parametr 1</a:t>
                </a:r>
              </a:p>
            </c:rich>
          </c:tx>
          <c:layout>
            <c:manualLayout>
              <c:xMode val="edge"/>
              <c:yMode val="edge"/>
              <c:x val="0.46107851837124447"/>
              <c:y val="0.853846153846153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429888"/>
        <c:crosses val="autoZero"/>
        <c:crossBetween val="midCat"/>
      </c:valAx>
      <c:valAx>
        <c:axId val="10742988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parametr 2</a:t>
                </a:r>
              </a:p>
            </c:rich>
          </c:tx>
          <c:layout>
            <c:manualLayout>
              <c:xMode val="edge"/>
              <c:yMode val="edge"/>
              <c:x val="4.7904261648960403E-2"/>
              <c:y val="0.273076923076923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6248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155" r="0.75000000000000155" t="1" header="0.49212598450000072" footer="0.4921259845000007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288912</xdr:colOff>
      <xdr:row>0</xdr:row>
      <xdr:rowOff>66675</xdr:rowOff>
    </xdr:from>
    <xdr:ext cx="2002087" cy="200119"/>
    <xdr:sp macro="" textlink="">
      <xdr:nvSpPr>
        <xdr:cNvPr id="4105" name="Text Box 9"/>
        <xdr:cNvSpPr txBox="1">
          <a:spLocks noChangeArrowheads="1"/>
        </xdr:cNvSpPr>
      </xdr:nvSpPr>
      <xdr:spPr bwMode="auto">
        <a:xfrm>
          <a:off x="10693375" y="66675"/>
          <a:ext cx="200208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Využití absolutního odkazu</a:t>
          </a:r>
        </a:p>
      </xdr:txBody>
    </xdr:sp>
    <xdr:clientData/>
  </xdr:oneCellAnchor>
  <xdr:oneCellAnchor>
    <xdr:from>
      <xdr:col>3</xdr:col>
      <xdr:colOff>279406</xdr:colOff>
      <xdr:row>0</xdr:row>
      <xdr:rowOff>66675</xdr:rowOff>
    </xdr:from>
    <xdr:ext cx="1908343" cy="200119"/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7950212" y="66675"/>
          <a:ext cx="1908343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Využití relativního odkazu</a:t>
          </a:r>
        </a:p>
      </xdr:txBody>
    </xdr:sp>
    <xdr:clientData/>
  </xdr:oneCellAnchor>
  <xdr:oneCellAnchor>
    <xdr:from>
      <xdr:col>0</xdr:col>
      <xdr:colOff>2047875</xdr:colOff>
      <xdr:row>14</xdr:row>
      <xdr:rowOff>123825</xdr:rowOff>
    </xdr:from>
    <xdr:ext cx="446020" cy="170560"/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047875" y="2466975"/>
          <a:ext cx="446020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Paraziti</a:t>
          </a:r>
        </a:p>
      </xdr:txBody>
    </xdr:sp>
    <xdr:clientData/>
  </xdr:oneCellAnchor>
  <xdr:twoCellAnchor>
    <xdr:from>
      <xdr:col>0</xdr:col>
      <xdr:colOff>1800225</xdr:colOff>
      <xdr:row>6</xdr:row>
      <xdr:rowOff>9525</xdr:rowOff>
    </xdr:from>
    <xdr:to>
      <xdr:col>0</xdr:col>
      <xdr:colOff>1900237</xdr:colOff>
      <xdr:row>24</xdr:row>
      <xdr:rowOff>66675</xdr:rowOff>
    </xdr:to>
    <xdr:sp macro="" textlink="">
      <xdr:nvSpPr>
        <xdr:cNvPr id="17" name="Pravá složená závorka 16"/>
        <xdr:cNvSpPr/>
      </xdr:nvSpPr>
      <xdr:spPr>
        <a:xfrm>
          <a:off x="1800225" y="1057275"/>
          <a:ext cx="100012" cy="29718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21</xdr:row>
      <xdr:rowOff>0</xdr:rowOff>
    </xdr:from>
    <xdr:to>
      <xdr:col>7</xdr:col>
      <xdr:colOff>238125</xdr:colOff>
      <xdr:row>23</xdr:row>
      <xdr:rowOff>152400</xdr:rowOff>
    </xdr:to>
    <xdr:sp macro="" textlink="">
      <xdr:nvSpPr>
        <xdr:cNvPr id="1063" name="AutoShape 39"/>
        <xdr:cNvSpPr>
          <a:spLocks noChangeArrowheads="1"/>
        </xdr:cNvSpPr>
      </xdr:nvSpPr>
      <xdr:spPr bwMode="auto">
        <a:xfrm>
          <a:off x="3448050" y="3514725"/>
          <a:ext cx="590550" cy="476250"/>
        </a:xfrm>
        <a:prstGeom prst="rightArrow">
          <a:avLst>
            <a:gd name="adj1" fmla="val 50000"/>
            <a:gd name="adj2" fmla="val 31000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371475</xdr:colOff>
      <xdr:row>9</xdr:row>
      <xdr:rowOff>190500</xdr:rowOff>
    </xdr:from>
    <xdr:to>
      <xdr:col>14</xdr:col>
      <xdr:colOff>238125</xdr:colOff>
      <xdr:row>26</xdr:row>
      <xdr:rowOff>38100</xdr:rowOff>
    </xdr:to>
    <xdr:graphicFrame macro="">
      <xdr:nvGraphicFramePr>
        <xdr:cNvPr id="1066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171450</xdr:colOff>
      <xdr:row>61</xdr:row>
      <xdr:rowOff>38100</xdr:rowOff>
    </xdr:from>
    <xdr:to>
      <xdr:col>10</xdr:col>
      <xdr:colOff>104775</xdr:colOff>
      <xdr:row>74</xdr:row>
      <xdr:rowOff>85725</xdr:rowOff>
    </xdr:to>
    <xdr:graphicFrame macro="">
      <xdr:nvGraphicFramePr>
        <xdr:cNvPr id="1067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61</xdr:row>
      <xdr:rowOff>28575</xdr:rowOff>
    </xdr:from>
    <xdr:to>
      <xdr:col>13</xdr:col>
      <xdr:colOff>419100</xdr:colOff>
      <xdr:row>74</xdr:row>
      <xdr:rowOff>85725</xdr:rowOff>
    </xdr:to>
    <xdr:graphicFrame macro="">
      <xdr:nvGraphicFramePr>
        <xdr:cNvPr id="1069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704850</xdr:colOff>
      <xdr:row>41</xdr:row>
      <xdr:rowOff>114300</xdr:rowOff>
    </xdr:from>
    <xdr:to>
      <xdr:col>11</xdr:col>
      <xdr:colOff>409575</xdr:colOff>
      <xdr:row>57</xdr:row>
      <xdr:rowOff>9525</xdr:rowOff>
    </xdr:to>
    <xdr:graphicFrame macro="">
      <xdr:nvGraphicFramePr>
        <xdr:cNvPr id="1071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323850</xdr:colOff>
      <xdr:row>51</xdr:row>
      <xdr:rowOff>152400</xdr:rowOff>
    </xdr:from>
    <xdr:to>
      <xdr:col>7</xdr:col>
      <xdr:colOff>219075</xdr:colOff>
      <xdr:row>54</xdr:row>
      <xdr:rowOff>142875</xdr:rowOff>
    </xdr:to>
    <xdr:sp macro="" textlink="">
      <xdr:nvSpPr>
        <xdr:cNvPr id="1072" name="AutoShape 48"/>
        <xdr:cNvSpPr>
          <a:spLocks noChangeArrowheads="1"/>
        </xdr:cNvSpPr>
      </xdr:nvSpPr>
      <xdr:spPr bwMode="auto">
        <a:xfrm>
          <a:off x="3429000" y="8867775"/>
          <a:ext cx="590550" cy="476250"/>
        </a:xfrm>
        <a:prstGeom prst="rightArrow">
          <a:avLst>
            <a:gd name="adj1" fmla="val 50000"/>
            <a:gd name="adj2" fmla="val 31000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304800</xdr:colOff>
      <xdr:row>72</xdr:row>
      <xdr:rowOff>123825</xdr:rowOff>
    </xdr:from>
    <xdr:to>
      <xdr:col>7</xdr:col>
      <xdr:colOff>200025</xdr:colOff>
      <xdr:row>74</xdr:row>
      <xdr:rowOff>114300</xdr:rowOff>
    </xdr:to>
    <xdr:sp macro="" textlink="">
      <xdr:nvSpPr>
        <xdr:cNvPr id="1073" name="AutoShape 49"/>
        <xdr:cNvSpPr>
          <a:spLocks noChangeArrowheads="1"/>
        </xdr:cNvSpPr>
      </xdr:nvSpPr>
      <xdr:spPr bwMode="auto">
        <a:xfrm>
          <a:off x="3409950" y="12515850"/>
          <a:ext cx="590550" cy="314325"/>
        </a:xfrm>
        <a:prstGeom prst="rightArrow">
          <a:avLst>
            <a:gd name="adj1" fmla="val 50000"/>
            <a:gd name="adj2" fmla="val 46970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14</xdr:row>
      <xdr:rowOff>76200</xdr:rowOff>
    </xdr:from>
    <xdr:to>
      <xdr:col>7</xdr:col>
      <xdr:colOff>390525</xdr:colOff>
      <xdr:row>29</xdr:row>
      <xdr:rowOff>123825</xdr:rowOff>
    </xdr:to>
    <xdr:graphicFrame macro="">
      <xdr:nvGraphicFramePr>
        <xdr:cNvPr id="2083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showGridLines="0" workbookViewId="0">
      <selection activeCell="F8" sqref="F8"/>
    </sheetView>
  </sheetViews>
  <sheetFormatPr defaultRowHeight="12.75"/>
  <cols>
    <col min="1" max="1" width="43.7109375" customWidth="1"/>
    <col min="2" max="2" width="13.7109375" customWidth="1"/>
    <col min="3" max="3" width="19.28515625" style="5" customWidth="1"/>
    <col min="4" max="4" width="17.140625" style="52" customWidth="1"/>
    <col min="5" max="5" width="18.7109375" customWidth="1"/>
    <col min="6" max="6" width="22" customWidth="1"/>
    <col min="7" max="7" width="26.42578125" customWidth="1"/>
    <col min="8" max="8" width="68" customWidth="1"/>
  </cols>
  <sheetData>
    <row r="1" spans="1:8" ht="15.75">
      <c r="A1" s="95" t="s">
        <v>61</v>
      </c>
      <c r="B1" s="2"/>
      <c r="C1" s="2"/>
      <c r="D1" s="69"/>
      <c r="E1" s="2"/>
      <c r="F1" s="2"/>
      <c r="G1" s="2"/>
      <c r="H1" s="3"/>
    </row>
    <row r="2" spans="1:8">
      <c r="A2" s="5"/>
      <c r="B2" s="5"/>
      <c r="E2" s="5"/>
      <c r="F2" s="5"/>
      <c r="G2" s="5"/>
      <c r="H2" s="6"/>
    </row>
    <row r="3" spans="1:8" ht="15.75">
      <c r="A3" s="96"/>
      <c r="B3" s="196" t="s">
        <v>120</v>
      </c>
      <c r="C3" s="196"/>
      <c r="D3" s="117" t="s">
        <v>57</v>
      </c>
      <c r="E3" s="118" t="s">
        <v>174</v>
      </c>
      <c r="F3" s="94" t="s">
        <v>118</v>
      </c>
      <c r="G3" s="94" t="s">
        <v>119</v>
      </c>
      <c r="H3" s="6"/>
    </row>
    <row r="4" spans="1:8">
      <c r="A4" s="107" t="s">
        <v>4</v>
      </c>
      <c r="B4" s="119" t="s">
        <v>5</v>
      </c>
      <c r="C4" s="120" t="s">
        <v>6</v>
      </c>
      <c r="D4" s="104" t="s">
        <v>56</v>
      </c>
      <c r="E4" s="97" t="s">
        <v>55</v>
      </c>
      <c r="F4" s="98" t="s">
        <v>58</v>
      </c>
      <c r="G4" s="99" t="s">
        <v>58</v>
      </c>
      <c r="H4" s="6"/>
    </row>
    <row r="5" spans="1:8">
      <c r="A5" s="129" t="s">
        <v>53</v>
      </c>
      <c r="B5" s="121">
        <v>31</v>
      </c>
      <c r="C5" s="122">
        <v>35</v>
      </c>
      <c r="D5" s="114">
        <f>B5+C5</f>
        <v>66</v>
      </c>
      <c r="E5" s="108"/>
      <c r="F5" s="105"/>
      <c r="G5" s="106"/>
      <c r="H5" s="6"/>
    </row>
    <row r="6" spans="1:8">
      <c r="A6" s="130" t="s">
        <v>32</v>
      </c>
      <c r="B6" s="123">
        <v>4</v>
      </c>
      <c r="C6" s="124">
        <v>2</v>
      </c>
      <c r="D6" s="114">
        <f t="shared" ref="D6:D26" si="0">B6+C6</f>
        <v>6</v>
      </c>
      <c r="E6" s="190"/>
      <c r="F6" s="113">
        <f>B6/B$5</f>
        <v>0.12903225806451613</v>
      </c>
      <c r="G6" s="114"/>
      <c r="H6" s="6"/>
    </row>
    <row r="7" spans="1:8">
      <c r="A7" s="130" t="s">
        <v>33</v>
      </c>
      <c r="B7" s="123">
        <v>0</v>
      </c>
      <c r="C7" s="124">
        <v>1</v>
      </c>
      <c r="D7" s="109">
        <f t="shared" si="0"/>
        <v>1</v>
      </c>
      <c r="E7" s="110"/>
      <c r="F7" s="113">
        <f>B7/B$5</f>
        <v>0</v>
      </c>
      <c r="G7" s="109"/>
      <c r="H7" s="6"/>
    </row>
    <row r="8" spans="1:8">
      <c r="A8" s="130" t="s">
        <v>34</v>
      </c>
      <c r="B8" s="123">
        <v>1</v>
      </c>
      <c r="C8" s="125">
        <v>0</v>
      </c>
      <c r="D8" s="109">
        <f t="shared" si="0"/>
        <v>1</v>
      </c>
      <c r="E8" s="110"/>
      <c r="F8" s="113">
        <f>B8/B$5</f>
        <v>3.2258064516129031E-2</v>
      </c>
      <c r="G8" s="109"/>
      <c r="H8" s="6"/>
    </row>
    <row r="9" spans="1:8">
      <c r="A9" s="130" t="s">
        <v>35</v>
      </c>
      <c r="B9" s="123">
        <v>0</v>
      </c>
      <c r="C9" s="124">
        <v>1</v>
      </c>
      <c r="D9" s="109">
        <f t="shared" si="0"/>
        <v>1</v>
      </c>
      <c r="E9" s="110"/>
      <c r="F9" s="113">
        <f>B9/B$5</f>
        <v>0</v>
      </c>
      <c r="G9" s="109"/>
      <c r="H9" s="6"/>
    </row>
    <row r="10" spans="1:8">
      <c r="A10" s="130" t="s">
        <v>36</v>
      </c>
      <c r="B10" s="123">
        <v>22</v>
      </c>
      <c r="C10" s="124">
        <v>33</v>
      </c>
      <c r="D10" s="109">
        <f t="shared" si="0"/>
        <v>55</v>
      </c>
      <c r="E10" s="110"/>
      <c r="F10" s="113">
        <f t="shared" ref="F10:F26" si="1">B10/B$5</f>
        <v>0.70967741935483875</v>
      </c>
      <c r="G10" s="109"/>
      <c r="H10" s="6"/>
    </row>
    <row r="11" spans="1:8">
      <c r="A11" s="130" t="s">
        <v>37</v>
      </c>
      <c r="B11" s="123">
        <v>0</v>
      </c>
      <c r="C11" s="124">
        <v>8</v>
      </c>
      <c r="D11" s="109">
        <f t="shared" si="0"/>
        <v>8</v>
      </c>
      <c r="E11" s="110"/>
      <c r="F11" s="113">
        <f t="shared" si="1"/>
        <v>0</v>
      </c>
      <c r="G11" s="109"/>
      <c r="H11" s="6"/>
    </row>
    <row r="12" spans="1:8">
      <c r="A12" s="130" t="s">
        <v>38</v>
      </c>
      <c r="B12" s="123">
        <v>1</v>
      </c>
      <c r="C12" s="124">
        <v>3</v>
      </c>
      <c r="D12" s="109">
        <f t="shared" si="0"/>
        <v>4</v>
      </c>
      <c r="E12" s="110"/>
      <c r="F12" s="113">
        <f t="shared" si="1"/>
        <v>3.2258064516129031E-2</v>
      </c>
      <c r="G12" s="109"/>
      <c r="H12" s="6"/>
    </row>
    <row r="13" spans="1:8">
      <c r="A13" s="130" t="s">
        <v>39</v>
      </c>
      <c r="B13" s="123">
        <v>0</v>
      </c>
      <c r="C13" s="125">
        <v>0</v>
      </c>
      <c r="D13" s="109">
        <f t="shared" si="0"/>
        <v>0</v>
      </c>
      <c r="E13" s="110"/>
      <c r="F13" s="113">
        <f t="shared" si="1"/>
        <v>0</v>
      </c>
      <c r="G13" s="109"/>
      <c r="H13" s="6"/>
    </row>
    <row r="14" spans="1:8">
      <c r="A14" s="130" t="s">
        <v>40</v>
      </c>
      <c r="B14" s="123">
        <v>11</v>
      </c>
      <c r="C14" s="124">
        <v>12</v>
      </c>
      <c r="D14" s="109">
        <f t="shared" si="0"/>
        <v>23</v>
      </c>
      <c r="E14" s="110"/>
      <c r="F14" s="113">
        <f t="shared" si="1"/>
        <v>0.35483870967741937</v>
      </c>
      <c r="G14" s="109"/>
      <c r="H14" s="6"/>
    </row>
    <row r="15" spans="1:8">
      <c r="A15" s="130" t="s">
        <v>41</v>
      </c>
      <c r="B15" s="123">
        <v>30</v>
      </c>
      <c r="C15" s="124">
        <v>18</v>
      </c>
      <c r="D15" s="109">
        <f t="shared" si="0"/>
        <v>48</v>
      </c>
      <c r="E15" s="110"/>
      <c r="F15" s="113">
        <f t="shared" si="1"/>
        <v>0.967741935483871</v>
      </c>
      <c r="G15" s="109"/>
      <c r="H15" s="6"/>
    </row>
    <row r="16" spans="1:8">
      <c r="A16" s="130" t="s">
        <v>42</v>
      </c>
      <c r="B16" s="123">
        <v>0</v>
      </c>
      <c r="C16" s="125">
        <v>0</v>
      </c>
      <c r="D16" s="109">
        <f t="shared" si="0"/>
        <v>0</v>
      </c>
      <c r="E16" s="110"/>
      <c r="F16" s="113">
        <f t="shared" si="1"/>
        <v>0</v>
      </c>
      <c r="G16" s="109"/>
      <c r="H16" s="6"/>
    </row>
    <row r="17" spans="1:8">
      <c r="A17" s="130" t="s">
        <v>43</v>
      </c>
      <c r="B17" s="123">
        <v>5</v>
      </c>
      <c r="C17" s="124">
        <v>3</v>
      </c>
      <c r="D17" s="109">
        <f t="shared" si="0"/>
        <v>8</v>
      </c>
      <c r="E17" s="110"/>
      <c r="F17" s="113">
        <f t="shared" si="1"/>
        <v>0.16129032258064516</v>
      </c>
      <c r="G17" s="109"/>
      <c r="H17" s="6"/>
    </row>
    <row r="18" spans="1:8">
      <c r="A18" s="130" t="s">
        <v>44</v>
      </c>
      <c r="B18" s="123">
        <v>0</v>
      </c>
      <c r="C18" s="124">
        <v>3</v>
      </c>
      <c r="D18" s="109">
        <f t="shared" si="0"/>
        <v>3</v>
      </c>
      <c r="E18" s="110"/>
      <c r="F18" s="113">
        <f t="shared" si="1"/>
        <v>0</v>
      </c>
      <c r="G18" s="109"/>
      <c r="H18" s="6"/>
    </row>
    <row r="19" spans="1:8">
      <c r="A19" s="130" t="s">
        <v>45</v>
      </c>
      <c r="B19" s="123">
        <v>0</v>
      </c>
      <c r="C19" s="125">
        <v>0</v>
      </c>
      <c r="D19" s="109">
        <f t="shared" si="0"/>
        <v>0</v>
      </c>
      <c r="E19" s="110"/>
      <c r="F19" s="113">
        <f t="shared" si="1"/>
        <v>0</v>
      </c>
      <c r="G19" s="109"/>
      <c r="H19" s="6"/>
    </row>
    <row r="20" spans="1:8">
      <c r="A20" s="130" t="s">
        <v>46</v>
      </c>
      <c r="B20" s="126">
        <v>0</v>
      </c>
      <c r="C20" s="124">
        <v>1</v>
      </c>
      <c r="D20" s="109">
        <f t="shared" si="0"/>
        <v>1</v>
      </c>
      <c r="E20" s="110"/>
      <c r="F20" s="113">
        <f t="shared" si="1"/>
        <v>0</v>
      </c>
      <c r="G20" s="109"/>
      <c r="H20" s="6"/>
    </row>
    <row r="21" spans="1:8">
      <c r="A21" s="130" t="s">
        <v>47</v>
      </c>
      <c r="B21" s="123">
        <v>31</v>
      </c>
      <c r="C21" s="124">
        <v>26</v>
      </c>
      <c r="D21" s="109">
        <f t="shared" si="0"/>
        <v>57</v>
      </c>
      <c r="E21" s="110"/>
      <c r="F21" s="113">
        <f t="shared" si="1"/>
        <v>1</v>
      </c>
      <c r="G21" s="109"/>
      <c r="H21" s="6"/>
    </row>
    <row r="22" spans="1:8">
      <c r="A22" s="130" t="s">
        <v>48</v>
      </c>
      <c r="B22" s="123">
        <v>2</v>
      </c>
      <c r="C22" s="124">
        <v>11</v>
      </c>
      <c r="D22" s="109">
        <f t="shared" si="0"/>
        <v>13</v>
      </c>
      <c r="E22" s="110"/>
      <c r="F22" s="113">
        <f t="shared" si="1"/>
        <v>6.4516129032258063E-2</v>
      </c>
      <c r="G22" s="109"/>
      <c r="H22" s="6"/>
    </row>
    <row r="23" spans="1:8">
      <c r="A23" s="130" t="s">
        <v>49</v>
      </c>
      <c r="B23" s="123">
        <v>0</v>
      </c>
      <c r="C23" s="125">
        <v>0</v>
      </c>
      <c r="D23" s="109">
        <f t="shared" si="0"/>
        <v>0</v>
      </c>
      <c r="E23" s="110"/>
      <c r="F23" s="113">
        <f t="shared" si="1"/>
        <v>0</v>
      </c>
      <c r="G23" s="109"/>
      <c r="H23" s="6"/>
    </row>
    <row r="24" spans="1:8">
      <c r="A24" s="130" t="s">
        <v>50</v>
      </c>
      <c r="B24" s="123">
        <v>6</v>
      </c>
      <c r="C24" s="124">
        <v>3</v>
      </c>
      <c r="D24" s="109">
        <f t="shared" si="0"/>
        <v>9</v>
      </c>
      <c r="E24" s="110"/>
      <c r="F24" s="113">
        <f t="shared" si="1"/>
        <v>0.19354838709677419</v>
      </c>
      <c r="G24" s="109"/>
      <c r="H24" s="6"/>
    </row>
    <row r="25" spans="1:8">
      <c r="A25" s="130" t="s">
        <v>51</v>
      </c>
      <c r="B25" s="123">
        <v>15</v>
      </c>
      <c r="C25" s="124">
        <v>16</v>
      </c>
      <c r="D25" s="109">
        <f t="shared" si="0"/>
        <v>31</v>
      </c>
      <c r="E25" s="110"/>
      <c r="F25" s="113">
        <f t="shared" si="1"/>
        <v>0.4838709677419355</v>
      </c>
      <c r="G25" s="109"/>
      <c r="H25" s="6"/>
    </row>
    <row r="26" spans="1:8">
      <c r="A26" s="131" t="s">
        <v>52</v>
      </c>
      <c r="B26" s="127">
        <v>1</v>
      </c>
      <c r="C26" s="128">
        <v>0</v>
      </c>
      <c r="D26" s="111">
        <f t="shared" si="0"/>
        <v>1</v>
      </c>
      <c r="E26" s="112"/>
      <c r="F26" s="113">
        <f t="shared" si="1"/>
        <v>3.2258064516129031E-2</v>
      </c>
      <c r="G26" s="111"/>
      <c r="H26" s="6"/>
    </row>
    <row r="27" spans="1:8">
      <c r="A27" s="101" t="s">
        <v>54</v>
      </c>
      <c r="B27" s="110">
        <f>COUNTIF(B6:B26,"&gt;0")</f>
        <v>12</v>
      </c>
      <c r="C27" s="110"/>
      <c r="D27" s="102"/>
      <c r="E27" s="100"/>
      <c r="F27" s="103"/>
      <c r="G27" s="103"/>
      <c r="H27" s="6"/>
    </row>
    <row r="28" spans="1:8" ht="15.75">
      <c r="A28" s="116" t="s">
        <v>120</v>
      </c>
      <c r="B28" s="195" t="s">
        <v>59</v>
      </c>
      <c r="C28" s="195"/>
      <c r="D28" s="102"/>
      <c r="E28" s="100"/>
      <c r="F28" s="100"/>
      <c r="G28" s="100"/>
      <c r="H28" s="6"/>
    </row>
    <row r="29" spans="1:8">
      <c r="A29" s="8"/>
      <c r="B29" s="8"/>
      <c r="C29" s="8"/>
      <c r="D29" s="70"/>
      <c r="E29" s="8"/>
      <c r="F29" s="8"/>
      <c r="G29" s="8"/>
      <c r="H29" s="9"/>
    </row>
    <row r="32" spans="1:8">
      <c r="B32" s="115"/>
    </row>
  </sheetData>
  <mergeCells count="2">
    <mergeCell ref="B28:C28"/>
    <mergeCell ref="B3:C3"/>
  </mergeCells>
  <phoneticPr fontId="1" type="noConversion"/>
  <pageMargins left="0.75" right="0.75" top="1" bottom="1" header="0.4921259845" footer="0.492125984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85"/>
  <sheetViews>
    <sheetView showGridLines="0" tabSelected="1" workbookViewId="0"/>
  </sheetViews>
  <sheetFormatPr defaultRowHeight="12.75"/>
  <cols>
    <col min="1" max="1" width="73.7109375" customWidth="1"/>
    <col min="2" max="2" width="20.42578125" customWidth="1"/>
    <col min="3" max="3" width="38.28515625" customWidth="1"/>
    <col min="4" max="4" width="15.28515625" customWidth="1"/>
    <col min="5" max="5" width="13.85546875" customWidth="1"/>
    <col min="6" max="6" width="13.42578125" customWidth="1"/>
    <col min="7" max="8" width="12.140625" customWidth="1"/>
    <col min="9" max="9" width="17.28515625" customWidth="1"/>
  </cols>
  <sheetData>
    <row r="1" spans="1:16" ht="15.75">
      <c r="A1" s="191" t="s">
        <v>126</v>
      </c>
      <c r="B1" s="192" t="s">
        <v>134</v>
      </c>
      <c r="C1" s="192" t="s">
        <v>127</v>
      </c>
      <c r="D1" s="192" t="s">
        <v>129</v>
      </c>
      <c r="E1" s="192" t="s">
        <v>172</v>
      </c>
      <c r="F1" s="70"/>
      <c r="G1" s="192" t="s">
        <v>171</v>
      </c>
      <c r="H1" s="193" t="s">
        <v>132</v>
      </c>
      <c r="I1" s="8"/>
      <c r="J1" s="8"/>
      <c r="K1" s="194" t="s">
        <v>167</v>
      </c>
      <c r="L1" s="8"/>
      <c r="M1" s="8"/>
      <c r="N1" s="8"/>
      <c r="O1" s="8"/>
      <c r="P1" s="8"/>
    </row>
    <row r="2" spans="1:16">
      <c r="A2" s="52"/>
      <c r="D2" s="5"/>
      <c r="E2" s="5"/>
      <c r="F2" s="5"/>
      <c r="G2" s="5"/>
      <c r="H2" s="5"/>
      <c r="I2" s="5"/>
      <c r="J2" s="5"/>
      <c r="K2" t="s">
        <v>168</v>
      </c>
    </row>
    <row r="3" spans="1:16" ht="15">
      <c r="A3" s="156" t="s">
        <v>121</v>
      </c>
      <c r="B3" s="138"/>
      <c r="C3" s="138"/>
      <c r="D3" s="132" t="s">
        <v>75</v>
      </c>
      <c r="E3" s="100"/>
      <c r="F3" s="5"/>
      <c r="G3" s="143" t="s">
        <v>75</v>
      </c>
      <c r="H3" s="5"/>
      <c r="I3" s="5"/>
      <c r="J3" s="5"/>
      <c r="P3" s="173" t="s">
        <v>172</v>
      </c>
    </row>
    <row r="4" spans="1:16">
      <c r="A4" s="169" t="s">
        <v>63</v>
      </c>
      <c r="B4" s="102" t="s">
        <v>135</v>
      </c>
      <c r="C4" s="102" t="s">
        <v>128</v>
      </c>
      <c r="D4" s="150">
        <v>10</v>
      </c>
      <c r="E4" s="5">
        <f>+LN(D4)</f>
        <v>2.3025850929940459</v>
      </c>
      <c r="F4" s="5"/>
      <c r="G4" s="144">
        <v>8</v>
      </c>
      <c r="H4" s="145"/>
      <c r="I4" s="5"/>
      <c r="J4" s="5"/>
      <c r="K4" s="158" t="s">
        <v>169</v>
      </c>
      <c r="M4" s="29"/>
      <c r="N4" s="59" t="s">
        <v>169</v>
      </c>
    </row>
    <row r="5" spans="1:16">
      <c r="A5" s="169" t="s">
        <v>62</v>
      </c>
      <c r="B5" s="102" t="s">
        <v>135</v>
      </c>
      <c r="C5" s="102" t="s">
        <v>130</v>
      </c>
      <c r="D5" s="150">
        <v>10</v>
      </c>
      <c r="E5" s="5">
        <f>FACT(D4)</f>
        <v>3628800</v>
      </c>
      <c r="F5" s="5"/>
      <c r="G5" s="144">
        <v>8</v>
      </c>
      <c r="H5" s="146"/>
      <c r="I5" s="5"/>
      <c r="J5" s="5"/>
      <c r="K5" s="159">
        <v>9.8769999999999997E-2</v>
      </c>
      <c r="M5" s="160" t="s">
        <v>7</v>
      </c>
      <c r="N5" s="161">
        <f>AVERAGE(P5:P10)</f>
        <v>30.245990368352142</v>
      </c>
      <c r="P5">
        <f>AVERAGE(K5:K185)</f>
        <v>0.11933950276243099</v>
      </c>
    </row>
    <row r="6" spans="1:16">
      <c r="A6" s="169" t="s">
        <v>64</v>
      </c>
      <c r="B6" s="102" t="s">
        <v>135</v>
      </c>
      <c r="C6" s="102" t="s">
        <v>133</v>
      </c>
      <c r="D6" s="150">
        <v>10</v>
      </c>
      <c r="E6" s="5">
        <f>+SIN(RADIANS(D4))</f>
        <v>0.17364817766693033</v>
      </c>
      <c r="F6" s="5"/>
      <c r="G6" s="144">
        <v>8</v>
      </c>
      <c r="H6" s="146"/>
      <c r="I6" s="5"/>
      <c r="J6" s="5"/>
      <c r="K6" s="159">
        <v>0.10213999999999999</v>
      </c>
      <c r="M6" s="162" t="s">
        <v>9</v>
      </c>
      <c r="N6" s="163">
        <f>MEDIAN(P5:P10)</f>
        <v>0.1192147513812155</v>
      </c>
      <c r="P6">
        <f>MEDIAN(K5:K185)</f>
        <v>0.11909</v>
      </c>
    </row>
    <row r="7" spans="1:16">
      <c r="A7" s="169" t="s">
        <v>65</v>
      </c>
      <c r="B7" s="102" t="s">
        <v>135</v>
      </c>
      <c r="C7" s="102" t="s">
        <v>131</v>
      </c>
      <c r="D7" s="150">
        <v>10</v>
      </c>
      <c r="E7" s="5">
        <f ca="1">RAND()*4+1</f>
        <v>4.7810389557419546</v>
      </c>
      <c r="F7" s="5"/>
      <c r="G7" s="144">
        <v>8</v>
      </c>
      <c r="H7" s="147"/>
      <c r="I7" s="5"/>
      <c r="J7" s="5"/>
      <c r="K7" s="159">
        <v>0.10675999999999999</v>
      </c>
      <c r="M7" s="162" t="s">
        <v>13</v>
      </c>
      <c r="N7" s="163">
        <f>COUNTIF(P5:P10,"&gt;0")</f>
        <v>6</v>
      </c>
      <c r="P7">
        <f>COUNTIF(K5:K185,"&gt;0")</f>
        <v>181</v>
      </c>
    </row>
    <row r="8" spans="1:16">
      <c r="A8" s="52"/>
      <c r="B8" s="52"/>
      <c r="C8" s="52"/>
      <c r="D8" s="5"/>
      <c r="E8" s="5"/>
      <c r="F8" s="5"/>
      <c r="G8" s="5"/>
      <c r="H8" s="5"/>
      <c r="I8" s="5"/>
      <c r="J8" s="5"/>
      <c r="K8" s="159">
        <v>0.10677</v>
      </c>
      <c r="M8" s="162" t="s">
        <v>170</v>
      </c>
      <c r="N8" s="163">
        <f>STDEV(P5:P10)</f>
        <v>73.854094522142859</v>
      </c>
      <c r="P8">
        <f>STDEVP(K5:K185)</f>
        <v>5.4027073504013499E-3</v>
      </c>
    </row>
    <row r="9" spans="1:16" ht="15.75">
      <c r="A9" s="155" t="s">
        <v>122</v>
      </c>
      <c r="B9" s="139"/>
      <c r="C9" s="139"/>
      <c r="D9" s="5"/>
      <c r="E9" s="5"/>
      <c r="F9" s="5"/>
      <c r="G9" s="5"/>
      <c r="H9" s="5"/>
      <c r="I9" s="5"/>
      <c r="J9" s="5"/>
      <c r="K9" s="159">
        <v>0.10757</v>
      </c>
      <c r="M9" s="162" t="s">
        <v>14</v>
      </c>
      <c r="N9" s="164">
        <f>MIN(P5:P10)</f>
        <v>5.4027073504013499E-3</v>
      </c>
      <c r="P9">
        <f>MIN(K5:K185)</f>
        <v>9.8769999999999997E-2</v>
      </c>
    </row>
    <row r="10" spans="1:16">
      <c r="A10" s="170" t="s">
        <v>160</v>
      </c>
      <c r="B10" s="142" t="s">
        <v>162</v>
      </c>
      <c r="C10" s="102" t="s">
        <v>159</v>
      </c>
      <c r="D10" s="5"/>
      <c r="E10" s="5"/>
      <c r="F10" s="5"/>
      <c r="G10" s="5"/>
      <c r="H10" s="5"/>
      <c r="I10" s="5"/>
      <c r="J10" s="5"/>
      <c r="K10" s="159">
        <v>0.10903</v>
      </c>
      <c r="M10" s="165" t="s">
        <v>15</v>
      </c>
      <c r="N10" s="166">
        <f>MAX(P5:P10)</f>
        <v>181</v>
      </c>
      <c r="P10">
        <f>MAX(K5:K185)</f>
        <v>0.13333999999999999</v>
      </c>
    </row>
    <row r="11" spans="1:16">
      <c r="A11" s="170" t="s">
        <v>158</v>
      </c>
      <c r="B11" s="142" t="s">
        <v>162</v>
      </c>
      <c r="C11" s="102" t="s">
        <v>161</v>
      </c>
      <c r="D11" s="5"/>
      <c r="E11" s="5">
        <f>COUNTIF(D4:D7,10)</f>
        <v>4</v>
      </c>
      <c r="F11" s="5"/>
      <c r="G11" s="5"/>
      <c r="H11" s="5"/>
      <c r="I11" s="5"/>
      <c r="J11" s="5"/>
      <c r="K11" s="159">
        <v>0.10914</v>
      </c>
    </row>
    <row r="12" spans="1:16">
      <c r="A12" s="52"/>
      <c r="B12" s="52"/>
      <c r="C12" s="52"/>
      <c r="D12" s="5"/>
      <c r="E12" s="5"/>
      <c r="F12" s="5"/>
      <c r="G12" s="5"/>
      <c r="H12" s="5"/>
      <c r="I12" s="5"/>
      <c r="J12" s="5"/>
      <c r="K12" s="159">
        <v>0.10957</v>
      </c>
    </row>
    <row r="13" spans="1:16" ht="15">
      <c r="A13" s="157" t="s">
        <v>123</v>
      </c>
      <c r="B13" s="140"/>
      <c r="C13" s="140"/>
      <c r="D13" s="5"/>
      <c r="E13" s="5"/>
      <c r="F13" s="5"/>
      <c r="G13" s="5"/>
      <c r="H13" s="5"/>
      <c r="I13" s="5"/>
      <c r="J13" s="5"/>
      <c r="K13" s="159">
        <v>0.10972999999999999</v>
      </c>
    </row>
    <row r="14" spans="1:16">
      <c r="A14" s="52"/>
      <c r="B14" s="52"/>
      <c r="C14" s="52"/>
      <c r="D14" s="132" t="s">
        <v>74</v>
      </c>
      <c r="E14" s="5"/>
      <c r="F14" s="5"/>
      <c r="G14" s="143" t="s">
        <v>74</v>
      </c>
      <c r="H14" s="5"/>
      <c r="I14" s="5"/>
      <c r="J14" s="5"/>
      <c r="K14" s="159">
        <v>0.11019</v>
      </c>
    </row>
    <row r="15" spans="1:16">
      <c r="A15" s="169" t="s">
        <v>68</v>
      </c>
      <c r="C15" s="102" t="s">
        <v>140</v>
      </c>
      <c r="D15" s="133" t="s">
        <v>66</v>
      </c>
      <c r="E15" s="133" t="s">
        <v>67</v>
      </c>
      <c r="F15" s="5" t="str">
        <f>D15&amp;""&amp;E15</f>
        <v>sečti slova</v>
      </c>
      <c r="G15" s="148" t="s">
        <v>141</v>
      </c>
      <c r="H15" s="148" t="s">
        <v>142</v>
      </c>
      <c r="I15" s="145"/>
      <c r="J15" s="5"/>
      <c r="K15" s="159">
        <v>0.11031000000000001</v>
      </c>
    </row>
    <row r="16" spans="1:16">
      <c r="A16" s="169" t="s">
        <v>69</v>
      </c>
      <c r="B16" s="102" t="s">
        <v>138</v>
      </c>
      <c r="C16" s="102" t="s">
        <v>139</v>
      </c>
      <c r="D16" s="134" t="s">
        <v>70</v>
      </c>
      <c r="E16" s="5"/>
      <c r="F16" s="5" t="str">
        <f>LEFT(D16,3)</f>
        <v>mlč</v>
      </c>
      <c r="G16" s="148" t="s">
        <v>143</v>
      </c>
      <c r="H16" s="5"/>
      <c r="I16" s="146"/>
      <c r="J16" s="5"/>
      <c r="K16" s="159">
        <v>0.11036</v>
      </c>
    </row>
    <row r="17" spans="1:11">
      <c r="A17" s="171" t="s">
        <v>144</v>
      </c>
      <c r="B17" s="102" t="s">
        <v>138</v>
      </c>
      <c r="C17" s="102" t="s">
        <v>145</v>
      </c>
      <c r="D17" s="133" t="s">
        <v>66</v>
      </c>
      <c r="E17" s="148" t="s">
        <v>67</v>
      </c>
      <c r="F17" s="102" t="str">
        <f>CONCATENATE(D17,"",E17)</f>
        <v>sečti slova</v>
      </c>
      <c r="G17" s="148" t="s">
        <v>146</v>
      </c>
      <c r="H17" s="148" t="s">
        <v>142</v>
      </c>
      <c r="I17" s="147"/>
      <c r="J17" s="5"/>
      <c r="K17" s="159">
        <v>0.11039</v>
      </c>
    </row>
    <row r="18" spans="1:11">
      <c r="A18" s="52"/>
      <c r="B18" s="52"/>
      <c r="C18" s="52"/>
      <c r="D18" s="5"/>
      <c r="E18" s="5"/>
      <c r="F18" s="5"/>
      <c r="G18" s="5"/>
      <c r="H18" s="5"/>
      <c r="I18" s="5"/>
      <c r="J18" s="5"/>
      <c r="K18" s="159">
        <v>0.11049</v>
      </c>
    </row>
    <row r="19" spans="1:11" ht="15">
      <c r="A19" s="157" t="s">
        <v>124</v>
      </c>
      <c r="B19" s="140"/>
      <c r="C19" s="140"/>
      <c r="D19" s="5"/>
      <c r="E19" s="5"/>
      <c r="F19" s="5"/>
      <c r="G19" s="5"/>
      <c r="H19" s="5"/>
      <c r="I19" s="5"/>
      <c r="J19" s="5"/>
      <c r="K19" s="159">
        <v>0.11146</v>
      </c>
    </row>
    <row r="20" spans="1:11">
      <c r="A20" s="52"/>
      <c r="B20" s="52"/>
      <c r="C20" s="52"/>
      <c r="D20" s="5"/>
      <c r="E20" s="5"/>
      <c r="F20" s="5"/>
      <c r="G20" s="5"/>
      <c r="H20" s="5"/>
      <c r="I20" s="5"/>
      <c r="J20" s="5"/>
      <c r="K20" s="159">
        <v>0.11176</v>
      </c>
    </row>
    <row r="21" spans="1:11">
      <c r="A21" s="169" t="s">
        <v>71</v>
      </c>
      <c r="B21" s="102" t="s">
        <v>136</v>
      </c>
      <c r="C21" s="52"/>
      <c r="D21" s="132" t="s">
        <v>73</v>
      </c>
      <c r="E21" s="5"/>
      <c r="F21" s="5"/>
      <c r="G21" s="143" t="s">
        <v>73</v>
      </c>
      <c r="H21" s="5"/>
      <c r="I21" s="5"/>
      <c r="J21" s="5"/>
      <c r="K21" s="159">
        <v>0.1118</v>
      </c>
    </row>
    <row r="22" spans="1:11">
      <c r="A22" s="172" t="s">
        <v>72</v>
      </c>
      <c r="B22" s="141"/>
      <c r="C22" s="149" t="s">
        <v>147</v>
      </c>
      <c r="D22" s="151">
        <v>9</v>
      </c>
      <c r="E22" s="5" t="str">
        <f>IF(D22&gt;10,"Větší než 10","Menší než 10")</f>
        <v>Menší než 10</v>
      </c>
      <c r="G22" s="144">
        <v>25</v>
      </c>
      <c r="H22" s="5"/>
      <c r="I22" s="145"/>
      <c r="J22" s="5"/>
      <c r="K22" s="159">
        <v>0.11204</v>
      </c>
    </row>
    <row r="23" spans="1:11">
      <c r="A23" s="52"/>
      <c r="B23" s="52"/>
      <c r="C23" s="52"/>
      <c r="D23" s="152">
        <v>11</v>
      </c>
      <c r="E23" s="5" t="str">
        <f>IF(D23&gt;10,"Větší než 10","Menší než 10")</f>
        <v>Větší než 10</v>
      </c>
      <c r="F23" s="5"/>
      <c r="G23" s="144">
        <v>5</v>
      </c>
      <c r="H23" s="5"/>
      <c r="I23" s="147"/>
      <c r="J23" s="5"/>
      <c r="K23" s="159">
        <v>0.11209</v>
      </c>
    </row>
    <row r="24" spans="1:11" ht="15">
      <c r="A24" s="157" t="s">
        <v>125</v>
      </c>
      <c r="B24" s="140"/>
      <c r="C24" s="140"/>
      <c r="D24" s="5"/>
      <c r="E24" s="5"/>
      <c r="F24" s="5"/>
      <c r="G24" s="5"/>
      <c r="H24" s="5"/>
      <c r="I24" s="5"/>
      <c r="J24" s="5"/>
      <c r="K24" s="159">
        <v>0.11275</v>
      </c>
    </row>
    <row r="25" spans="1:11" ht="15.75">
      <c r="A25" s="139"/>
      <c r="B25" s="139"/>
      <c r="C25" s="139"/>
      <c r="D25" s="5"/>
      <c r="E25" s="5"/>
      <c r="F25" s="5"/>
      <c r="G25" s="5"/>
      <c r="H25" s="5"/>
      <c r="I25" s="5"/>
      <c r="J25" s="5"/>
      <c r="K25" s="159">
        <v>0.11280999999999999</v>
      </c>
    </row>
    <row r="26" spans="1:11">
      <c r="A26" s="169" t="s">
        <v>77</v>
      </c>
      <c r="C26" s="52"/>
      <c r="D26" s="143" t="s">
        <v>76</v>
      </c>
      <c r="E26" s="143"/>
      <c r="F26" s="5"/>
      <c r="G26" s="5"/>
      <c r="H26" s="5"/>
      <c r="I26" s="5"/>
      <c r="J26" s="5"/>
      <c r="K26" s="159">
        <v>0.11319</v>
      </c>
    </row>
    <row r="27" spans="1:11">
      <c r="A27" s="169" t="s">
        <v>78</v>
      </c>
      <c r="B27" s="102" t="s">
        <v>137</v>
      </c>
      <c r="C27" s="102" t="s">
        <v>164</v>
      </c>
      <c r="D27" s="135">
        <v>37355</v>
      </c>
      <c r="E27" s="5">
        <f>DAY(D27)</f>
        <v>9</v>
      </c>
      <c r="F27" s="5"/>
      <c r="G27" s="5"/>
      <c r="H27" s="5"/>
      <c r="I27" s="5"/>
      <c r="J27" s="5"/>
      <c r="K27" s="159">
        <v>0.11357</v>
      </c>
    </row>
    <row r="28" spans="1:11">
      <c r="A28" s="169" t="s">
        <v>79</v>
      </c>
      <c r="B28" s="102" t="s">
        <v>137</v>
      </c>
      <c r="C28" s="102" t="s">
        <v>165</v>
      </c>
      <c r="D28" s="135"/>
      <c r="E28" s="136">
        <f ca="1">TODAY()</f>
        <v>42271</v>
      </c>
      <c r="F28" s="136"/>
      <c r="G28" s="5"/>
      <c r="H28" s="5"/>
      <c r="I28" s="5"/>
      <c r="J28" s="5"/>
      <c r="K28" s="159">
        <v>0.11416999999999999</v>
      </c>
    </row>
    <row r="29" spans="1:11">
      <c r="A29" s="169" t="s">
        <v>80</v>
      </c>
      <c r="B29" s="102" t="s">
        <v>137</v>
      </c>
      <c r="C29" s="102" t="s">
        <v>166</v>
      </c>
      <c r="D29" s="137">
        <v>0.70018518518518524</v>
      </c>
      <c r="E29" s="5">
        <f>MINUTE(D29)</f>
        <v>48</v>
      </c>
      <c r="F29" s="5"/>
      <c r="G29" s="5"/>
      <c r="H29" s="5"/>
      <c r="I29" s="5"/>
      <c r="J29" s="5"/>
      <c r="K29" s="159">
        <v>0.11437</v>
      </c>
    </row>
    <row r="30" spans="1:11">
      <c r="A30" s="52"/>
      <c r="B30" s="52"/>
      <c r="C30" s="52"/>
      <c r="D30" s="135"/>
      <c r="E30" s="5"/>
      <c r="F30" s="5"/>
      <c r="G30" s="5"/>
      <c r="H30" s="5"/>
      <c r="I30" s="5"/>
      <c r="J30" s="5"/>
      <c r="K30" s="159">
        <v>0.11448</v>
      </c>
    </row>
    <row r="31" spans="1:11">
      <c r="A31" s="52"/>
      <c r="B31" s="52"/>
      <c r="C31" s="52"/>
      <c r="D31" s="135"/>
      <c r="E31" s="5"/>
      <c r="F31" s="5"/>
      <c r="G31" s="5"/>
      <c r="H31" s="5"/>
      <c r="I31" s="5"/>
      <c r="J31" s="5"/>
      <c r="K31" s="159">
        <v>0.11479</v>
      </c>
    </row>
    <row r="32" spans="1:11">
      <c r="A32" s="52"/>
      <c r="B32" s="52"/>
      <c r="C32" s="52"/>
      <c r="D32" s="135"/>
      <c r="E32" s="5"/>
      <c r="F32" s="5"/>
      <c r="G32" s="5"/>
      <c r="H32" s="5"/>
      <c r="I32" s="5"/>
      <c r="J32" s="5"/>
      <c r="K32" s="159">
        <v>0.11481</v>
      </c>
    </row>
    <row r="33" spans="1:11">
      <c r="A33" s="52"/>
      <c r="B33" s="52"/>
      <c r="C33" s="52"/>
      <c r="D33" s="135"/>
      <c r="E33" s="5"/>
      <c r="F33" s="5"/>
      <c r="G33" s="5"/>
      <c r="H33" s="5"/>
      <c r="I33" s="5"/>
      <c r="J33" s="5"/>
      <c r="K33" s="159">
        <v>0.11491999999999999</v>
      </c>
    </row>
    <row r="34" spans="1:11">
      <c r="D34" s="71"/>
      <c r="K34" s="159">
        <v>0.11511</v>
      </c>
    </row>
    <row r="35" spans="1:11" s="115" customFormat="1">
      <c r="K35" s="159">
        <v>0.11529</v>
      </c>
    </row>
    <row r="36" spans="1:11" ht="15.75">
      <c r="A36" s="168" t="s">
        <v>163</v>
      </c>
      <c r="B36" s="92" t="s">
        <v>149</v>
      </c>
      <c r="C36" s="173" t="s">
        <v>172</v>
      </c>
      <c r="K36" s="159">
        <v>0.11547</v>
      </c>
    </row>
    <row r="37" spans="1:11">
      <c r="A37" s="92" t="s">
        <v>148</v>
      </c>
      <c r="B37">
        <v>1</v>
      </c>
      <c r="C37" t="s">
        <v>150</v>
      </c>
      <c r="D37" s="145" t="str">
        <f>IF(B37=1,"Výborně",IF(B37=2,"Velmi dobře",IF(B37=3,"Dobře",IF(B37=4,"Neprospěl",IF(B37=5,"Nehodnoceno","není hodnoceno")))))</f>
        <v>Výborně</v>
      </c>
      <c r="E37" s="92" t="s">
        <v>156</v>
      </c>
      <c r="K37" s="159">
        <v>0.11557000000000001</v>
      </c>
    </row>
    <row r="38" spans="1:11">
      <c r="B38">
        <v>2</v>
      </c>
      <c r="C38" t="s">
        <v>151</v>
      </c>
      <c r="D38" s="145" t="str">
        <f t="shared" ref="D38:D41" si="0">IF(B38=1,"Výborně",IF(B38=2,"Velmi dobře",IF(B38=3,"Dobře",IF(B38=4,"Neprospěl",IF(B38=5,"Nehodnoceno","není hodnoceno")))))</f>
        <v>Velmi dobře</v>
      </c>
      <c r="K38" s="159">
        <v>0.11572</v>
      </c>
    </row>
    <row r="39" spans="1:11">
      <c r="B39">
        <v>3</v>
      </c>
      <c r="C39" t="s">
        <v>152</v>
      </c>
      <c r="D39" s="145" t="str">
        <f t="shared" si="0"/>
        <v>Dobře</v>
      </c>
      <c r="K39" s="159">
        <v>0.11589000000000001</v>
      </c>
    </row>
    <row r="40" spans="1:11">
      <c r="B40">
        <v>4</v>
      </c>
      <c r="C40" t="s">
        <v>153</v>
      </c>
      <c r="D40" s="145" t="str">
        <f t="shared" si="0"/>
        <v>Neprospěl</v>
      </c>
      <c r="K40" s="159">
        <v>0.11608</v>
      </c>
    </row>
    <row r="41" spans="1:11">
      <c r="B41">
        <v>5</v>
      </c>
      <c r="C41" t="s">
        <v>154</v>
      </c>
      <c r="D41" s="145" t="str">
        <f t="shared" si="0"/>
        <v>Nehodnoceno</v>
      </c>
      <c r="K41" s="159">
        <v>0.11624</v>
      </c>
    </row>
    <row r="42" spans="1:11">
      <c r="A42" s="103" t="s">
        <v>155</v>
      </c>
      <c r="B42" s="2"/>
      <c r="C42" s="2"/>
      <c r="D42" s="154"/>
      <c r="E42" s="92" t="s">
        <v>157</v>
      </c>
      <c r="K42" s="159">
        <v>0.11627</v>
      </c>
    </row>
    <row r="43" spans="1:11">
      <c r="K43" s="159">
        <v>0.11635</v>
      </c>
    </row>
    <row r="44" spans="1:11">
      <c r="K44" s="159">
        <v>0.11636000000000001</v>
      </c>
    </row>
    <row r="45" spans="1:11">
      <c r="K45" s="159">
        <v>0.1164</v>
      </c>
    </row>
    <row r="46" spans="1:11">
      <c r="K46" s="159">
        <v>0.11641</v>
      </c>
    </row>
    <row r="47" spans="1:11">
      <c r="K47" s="159">
        <v>0.11658</v>
      </c>
    </row>
    <row r="48" spans="1:11">
      <c r="K48" s="159">
        <v>0.11672</v>
      </c>
    </row>
    <row r="49" spans="11:11">
      <c r="K49" s="159">
        <v>0.11674</v>
      </c>
    </row>
    <row r="50" spans="11:11">
      <c r="K50" s="159">
        <v>0.11685</v>
      </c>
    </row>
    <row r="51" spans="11:11">
      <c r="K51" s="159">
        <v>0.11688</v>
      </c>
    </row>
    <row r="52" spans="11:11">
      <c r="K52" s="159">
        <v>0.11688</v>
      </c>
    </row>
    <row r="53" spans="11:11">
      <c r="K53" s="159">
        <v>0.11692</v>
      </c>
    </row>
    <row r="54" spans="11:11">
      <c r="K54" s="159">
        <v>0.11692</v>
      </c>
    </row>
    <row r="55" spans="11:11">
      <c r="K55" s="159">
        <v>0.11698</v>
      </c>
    </row>
    <row r="56" spans="11:11">
      <c r="K56" s="159">
        <v>0.11699</v>
      </c>
    </row>
    <row r="57" spans="11:11">
      <c r="K57" s="159">
        <v>0.11700000000000001</v>
      </c>
    </row>
    <row r="58" spans="11:11">
      <c r="K58" s="159">
        <v>0.11701</v>
      </c>
    </row>
    <row r="59" spans="11:11">
      <c r="K59" s="159">
        <v>0.11709</v>
      </c>
    </row>
    <row r="60" spans="11:11">
      <c r="K60" s="159">
        <v>0.11712</v>
      </c>
    </row>
    <row r="61" spans="11:11">
      <c r="K61" s="159">
        <v>0.1172</v>
      </c>
    </row>
    <row r="62" spans="11:11">
      <c r="K62" s="159">
        <v>0.11720999999999999</v>
      </c>
    </row>
    <row r="63" spans="11:11">
      <c r="K63" s="159">
        <v>0.11720999999999999</v>
      </c>
    </row>
    <row r="64" spans="11:11">
      <c r="K64" s="159">
        <v>0.1174</v>
      </c>
    </row>
    <row r="65" spans="11:11">
      <c r="K65" s="159">
        <v>0.11741</v>
      </c>
    </row>
    <row r="66" spans="11:11">
      <c r="K66" s="159">
        <v>0.11747</v>
      </c>
    </row>
    <row r="67" spans="11:11">
      <c r="K67" s="159">
        <v>0.11751</v>
      </c>
    </row>
    <row r="68" spans="11:11">
      <c r="K68" s="159">
        <v>0.11752</v>
      </c>
    </row>
    <row r="69" spans="11:11">
      <c r="K69" s="159">
        <v>0.11767</v>
      </c>
    </row>
    <row r="70" spans="11:11">
      <c r="K70" s="159">
        <v>0.11769</v>
      </c>
    </row>
    <row r="71" spans="11:11">
      <c r="K71" s="159">
        <v>0.1177</v>
      </c>
    </row>
    <row r="72" spans="11:11">
      <c r="K72" s="159">
        <v>0.11778</v>
      </c>
    </row>
    <row r="73" spans="11:11">
      <c r="K73" s="159">
        <v>0.11778</v>
      </c>
    </row>
    <row r="74" spans="11:11">
      <c r="K74" s="159">
        <v>0.11783</v>
      </c>
    </row>
    <row r="75" spans="11:11">
      <c r="K75" s="159">
        <v>0.11787</v>
      </c>
    </row>
    <row r="76" spans="11:11">
      <c r="K76" s="159">
        <v>0.11794</v>
      </c>
    </row>
    <row r="77" spans="11:11">
      <c r="K77" s="159">
        <v>0.1181</v>
      </c>
    </row>
    <row r="78" spans="11:11">
      <c r="K78" s="159">
        <v>0.11815000000000001</v>
      </c>
    </row>
    <row r="79" spans="11:11">
      <c r="K79" s="159">
        <v>0.11821</v>
      </c>
    </row>
    <row r="80" spans="11:11">
      <c r="K80" s="159">
        <v>0.11831</v>
      </c>
    </row>
    <row r="81" spans="11:11">
      <c r="K81" s="159">
        <v>0.11835</v>
      </c>
    </row>
    <row r="82" spans="11:11">
      <c r="K82" s="159">
        <v>0.11846</v>
      </c>
    </row>
    <row r="83" spans="11:11">
      <c r="K83" s="159">
        <v>0.11847000000000001</v>
      </c>
    </row>
    <row r="84" spans="11:11">
      <c r="K84" s="159">
        <v>0.11855</v>
      </c>
    </row>
    <row r="85" spans="11:11">
      <c r="K85" s="159">
        <v>0.11856999999999999</v>
      </c>
    </row>
    <row r="86" spans="11:11">
      <c r="K86" s="159">
        <v>0.1187</v>
      </c>
    </row>
    <row r="87" spans="11:11">
      <c r="K87" s="159">
        <v>0.11876</v>
      </c>
    </row>
    <row r="88" spans="11:11">
      <c r="K88" s="159">
        <v>0.11881</v>
      </c>
    </row>
    <row r="89" spans="11:11">
      <c r="K89" s="159">
        <v>0.11891</v>
      </c>
    </row>
    <row r="90" spans="11:11">
      <c r="K90" s="159">
        <v>0.11891</v>
      </c>
    </row>
    <row r="91" spans="11:11">
      <c r="K91" s="159">
        <v>0.11902</v>
      </c>
    </row>
    <row r="92" spans="11:11">
      <c r="K92" s="159">
        <v>0.11905</v>
      </c>
    </row>
    <row r="93" spans="11:11">
      <c r="K93" s="159">
        <v>0.11906</v>
      </c>
    </row>
    <row r="94" spans="11:11">
      <c r="K94" s="159">
        <v>0.11907</v>
      </c>
    </row>
    <row r="95" spans="11:11">
      <c r="K95" s="159">
        <v>0.11909</v>
      </c>
    </row>
    <row r="96" spans="11:11">
      <c r="K96" s="159">
        <v>0.11910999999999999</v>
      </c>
    </row>
    <row r="97" spans="11:11">
      <c r="K97" s="159">
        <v>0.11912</v>
      </c>
    </row>
    <row r="98" spans="11:11">
      <c r="K98" s="159">
        <v>0.11942</v>
      </c>
    </row>
    <row r="99" spans="11:11">
      <c r="K99" s="159">
        <v>0.1195</v>
      </c>
    </row>
    <row r="100" spans="11:11">
      <c r="K100" s="159">
        <v>0.11962</v>
      </c>
    </row>
    <row r="101" spans="11:11">
      <c r="K101" s="159">
        <v>0.11988</v>
      </c>
    </row>
    <row r="102" spans="11:11">
      <c r="K102" s="159">
        <v>0.11995</v>
      </c>
    </row>
    <row r="103" spans="11:11">
      <c r="K103" s="159">
        <v>0.11996</v>
      </c>
    </row>
    <row r="104" spans="11:11">
      <c r="K104" s="159">
        <v>0.11998</v>
      </c>
    </row>
    <row r="105" spans="11:11">
      <c r="K105" s="159">
        <v>0.12</v>
      </c>
    </row>
    <row r="106" spans="11:11">
      <c r="K106" s="159">
        <v>0.12003</v>
      </c>
    </row>
    <row r="107" spans="11:11">
      <c r="K107" s="159">
        <v>0.12005</v>
      </c>
    </row>
    <row r="108" spans="11:11">
      <c r="K108" s="159">
        <v>0.12021</v>
      </c>
    </row>
    <row r="109" spans="11:11">
      <c r="K109" s="159">
        <v>0.12032</v>
      </c>
    </row>
    <row r="110" spans="11:11">
      <c r="K110" s="159">
        <v>0.12058000000000001</v>
      </c>
    </row>
    <row r="111" spans="11:11">
      <c r="K111" s="159">
        <v>0.12063</v>
      </c>
    </row>
    <row r="112" spans="11:11">
      <c r="K112" s="159">
        <v>0.12064999999999999</v>
      </c>
    </row>
    <row r="113" spans="11:11">
      <c r="K113" s="159">
        <v>0.12071999999999999</v>
      </c>
    </row>
    <row r="114" spans="11:11">
      <c r="K114" s="159">
        <v>0.12075</v>
      </c>
    </row>
    <row r="115" spans="11:11">
      <c r="K115" s="159">
        <v>0.12078999999999999</v>
      </c>
    </row>
    <row r="116" spans="11:11">
      <c r="K116" s="159">
        <v>0.121</v>
      </c>
    </row>
    <row r="117" spans="11:11">
      <c r="K117" s="159">
        <v>0.121</v>
      </c>
    </row>
    <row r="118" spans="11:11">
      <c r="K118" s="159">
        <v>0.12106</v>
      </c>
    </row>
    <row r="119" spans="11:11">
      <c r="K119" s="159">
        <v>0.12114999999999999</v>
      </c>
    </row>
    <row r="120" spans="11:11">
      <c r="K120" s="159">
        <v>0.12114999999999999</v>
      </c>
    </row>
    <row r="121" spans="11:11">
      <c r="K121" s="159">
        <v>0.12116</v>
      </c>
    </row>
    <row r="122" spans="11:11">
      <c r="K122" s="159">
        <v>0.12125</v>
      </c>
    </row>
    <row r="123" spans="11:11">
      <c r="K123" s="159">
        <v>0.12129</v>
      </c>
    </row>
    <row r="124" spans="11:11">
      <c r="K124" s="159">
        <v>0.12134</v>
      </c>
    </row>
    <row r="125" spans="11:11">
      <c r="K125" s="159">
        <v>0.12141</v>
      </c>
    </row>
    <row r="126" spans="11:11">
      <c r="K126" s="159">
        <v>0.1216</v>
      </c>
    </row>
    <row r="127" spans="11:11">
      <c r="K127" s="159">
        <v>0.12164</v>
      </c>
    </row>
    <row r="128" spans="11:11">
      <c r="K128" s="159">
        <v>0.12164</v>
      </c>
    </row>
    <row r="129" spans="11:11">
      <c r="K129" s="159">
        <v>0.12164999999999999</v>
      </c>
    </row>
    <row r="130" spans="11:11">
      <c r="K130" s="159">
        <v>0.12166</v>
      </c>
    </row>
    <row r="131" spans="11:11">
      <c r="K131" s="159">
        <v>0.1217</v>
      </c>
    </row>
    <row r="132" spans="11:11">
      <c r="K132" s="159">
        <v>0.12184</v>
      </c>
    </row>
    <row r="133" spans="11:11">
      <c r="K133" s="159">
        <v>0.12197</v>
      </c>
    </row>
    <row r="134" spans="11:11">
      <c r="K134" s="159">
        <v>0.122</v>
      </c>
    </row>
    <row r="135" spans="11:11">
      <c r="K135" s="159">
        <v>0.12203</v>
      </c>
    </row>
    <row r="136" spans="11:11">
      <c r="K136" s="159">
        <v>0.12212000000000001</v>
      </c>
    </row>
    <row r="137" spans="11:11">
      <c r="K137" s="159">
        <v>0.12221</v>
      </c>
    </row>
    <row r="138" spans="11:11">
      <c r="K138" s="159">
        <v>0.12225999999999999</v>
      </c>
    </row>
    <row r="139" spans="11:11">
      <c r="K139" s="159">
        <v>0.12232</v>
      </c>
    </row>
    <row r="140" spans="11:11">
      <c r="K140" s="159">
        <v>0.12235</v>
      </c>
    </row>
    <row r="141" spans="11:11">
      <c r="K141" s="159">
        <v>0.12243</v>
      </c>
    </row>
    <row r="142" spans="11:11">
      <c r="K142" s="159">
        <v>0.12249</v>
      </c>
    </row>
    <row r="143" spans="11:11">
      <c r="K143" s="159">
        <v>0.12259</v>
      </c>
    </row>
    <row r="144" spans="11:11">
      <c r="K144" s="159">
        <v>0.12268</v>
      </c>
    </row>
    <row r="145" spans="11:11">
      <c r="K145" s="159">
        <v>0.12285</v>
      </c>
    </row>
    <row r="146" spans="11:11">
      <c r="K146" s="159">
        <v>0.12321</v>
      </c>
    </row>
    <row r="147" spans="11:11">
      <c r="K147" s="159">
        <v>0.12329</v>
      </c>
    </row>
    <row r="148" spans="11:11">
      <c r="K148" s="159">
        <v>0.12347</v>
      </c>
    </row>
    <row r="149" spans="11:11">
      <c r="K149" s="159">
        <v>0.12357</v>
      </c>
    </row>
    <row r="150" spans="11:11">
      <c r="K150" s="159">
        <v>0.12361999999999999</v>
      </c>
    </row>
    <row r="151" spans="11:11">
      <c r="K151" s="159">
        <v>0.12363</v>
      </c>
    </row>
    <row r="152" spans="11:11">
      <c r="K152" s="159">
        <v>0.12368999999999999</v>
      </c>
    </row>
    <row r="153" spans="11:11">
      <c r="K153" s="159">
        <v>0.12384000000000001</v>
      </c>
    </row>
    <row r="154" spans="11:11">
      <c r="K154" s="159">
        <v>0.12404999999999999</v>
      </c>
    </row>
    <row r="155" spans="11:11">
      <c r="K155" s="159">
        <v>0.12404999999999999</v>
      </c>
    </row>
    <row r="156" spans="11:11">
      <c r="K156" s="159">
        <v>0.12411</v>
      </c>
    </row>
    <row r="157" spans="11:11">
      <c r="K157" s="159">
        <v>0.12431</v>
      </c>
    </row>
    <row r="158" spans="11:11">
      <c r="K158" s="159">
        <v>0.12467</v>
      </c>
    </row>
    <row r="159" spans="11:11">
      <c r="K159" s="159">
        <v>0.12470000000000001</v>
      </c>
    </row>
    <row r="160" spans="11:11">
      <c r="K160" s="159">
        <v>0.12493</v>
      </c>
    </row>
    <row r="161" spans="11:11">
      <c r="K161" s="159">
        <v>0.12523999999999999</v>
      </c>
    </row>
    <row r="162" spans="11:11">
      <c r="K162" s="159">
        <v>0.1255</v>
      </c>
    </row>
    <row r="163" spans="11:11">
      <c r="K163" s="159">
        <v>0.12554000000000001</v>
      </c>
    </row>
    <row r="164" spans="11:11">
      <c r="K164" s="159">
        <v>0.12587999999999999</v>
      </c>
    </row>
    <row r="165" spans="11:11">
      <c r="K165" s="159">
        <v>0.12594</v>
      </c>
    </row>
    <row r="166" spans="11:11">
      <c r="K166" s="159">
        <v>0.12647</v>
      </c>
    </row>
    <row r="167" spans="11:11">
      <c r="K167" s="159">
        <v>0.12656000000000001</v>
      </c>
    </row>
    <row r="168" spans="11:11">
      <c r="K168" s="159">
        <v>0.12659999999999999</v>
      </c>
    </row>
    <row r="169" spans="11:11">
      <c r="K169" s="159">
        <v>0.12687999999999999</v>
      </c>
    </row>
    <row r="170" spans="11:11">
      <c r="K170" s="159">
        <v>0.12698000000000001</v>
      </c>
    </row>
    <row r="171" spans="11:11">
      <c r="K171" s="159">
        <v>0.12701000000000001</v>
      </c>
    </row>
    <row r="172" spans="11:11">
      <c r="K172" s="159">
        <v>0.12717000000000001</v>
      </c>
    </row>
    <row r="173" spans="11:11">
      <c r="K173" s="159">
        <v>0.12737000000000001</v>
      </c>
    </row>
    <row r="174" spans="11:11">
      <c r="K174" s="159">
        <v>0.12742000000000001</v>
      </c>
    </row>
    <row r="175" spans="11:11">
      <c r="K175" s="159">
        <v>0.12791</v>
      </c>
    </row>
    <row r="176" spans="11:11">
      <c r="K176" s="159">
        <v>0.128</v>
      </c>
    </row>
    <row r="177" spans="11:11">
      <c r="K177" s="159">
        <v>0.12831999999999999</v>
      </c>
    </row>
    <row r="178" spans="11:11">
      <c r="K178" s="159">
        <v>0.12851000000000001</v>
      </c>
    </row>
    <row r="179" spans="11:11">
      <c r="K179" s="159">
        <v>0.12909000000000001</v>
      </c>
    </row>
    <row r="180" spans="11:11">
      <c r="K180" s="159">
        <v>0.12909000000000001</v>
      </c>
    </row>
    <row r="181" spans="11:11">
      <c r="K181" s="159">
        <v>0.12984000000000001</v>
      </c>
    </row>
    <row r="182" spans="11:11">
      <c r="K182" s="159">
        <v>0.13023000000000001</v>
      </c>
    </row>
    <row r="183" spans="11:11">
      <c r="K183" s="159">
        <v>0.13053999999999999</v>
      </c>
    </row>
    <row r="184" spans="11:11">
      <c r="K184" s="159">
        <v>0.13095999999999999</v>
      </c>
    </row>
    <row r="185" spans="11:11">
      <c r="K185" s="167">
        <v>0.13333999999999999</v>
      </c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K25" sqref="K25"/>
    </sheetView>
  </sheetViews>
  <sheetFormatPr defaultRowHeight="12.75"/>
  <cols>
    <col min="3" max="3" width="12.28515625" customWidth="1"/>
    <col min="4" max="4" width="15.42578125" customWidth="1"/>
    <col min="10" max="10" width="16.5703125" customWidth="1"/>
  </cols>
  <sheetData>
    <row r="1" spans="1:15">
      <c r="B1" s="183" t="s">
        <v>98</v>
      </c>
      <c r="G1" s="177" t="s">
        <v>99</v>
      </c>
      <c r="H1" s="175"/>
      <c r="K1" s="178" t="s">
        <v>100</v>
      </c>
      <c r="L1" s="153"/>
      <c r="O1" s="173" t="s">
        <v>101</v>
      </c>
    </row>
    <row r="3" spans="1:15">
      <c r="B3" t="s">
        <v>102</v>
      </c>
      <c r="C3" t="s">
        <v>104</v>
      </c>
      <c r="G3" s="175" t="s">
        <v>103</v>
      </c>
      <c r="H3" s="175"/>
      <c r="K3" s="153"/>
      <c r="L3" s="153"/>
      <c r="O3" t="str">
        <f>IF(G3=K3,"Správně","špatně")</f>
        <v>špatně</v>
      </c>
    </row>
    <row r="4" spans="1:15">
      <c r="G4" s="175"/>
      <c r="H4" s="175"/>
      <c r="K4" s="153"/>
      <c r="L4" s="153"/>
    </row>
    <row r="5" spans="1:15">
      <c r="B5" t="s">
        <v>96</v>
      </c>
      <c r="C5" t="s">
        <v>97</v>
      </c>
      <c r="G5" s="175" t="s">
        <v>105</v>
      </c>
      <c r="H5" s="175"/>
      <c r="K5" s="153"/>
      <c r="L5" s="153"/>
      <c r="O5" t="str">
        <f t="shared" ref="O5:O9" si="0">IF(G5=K5,"Správně","špatně")</f>
        <v>špatně</v>
      </c>
    </row>
    <row r="6" spans="1:15">
      <c r="G6" s="175"/>
      <c r="H6" s="175"/>
      <c r="K6" s="153"/>
      <c r="L6" s="153"/>
    </row>
    <row r="7" spans="1:15">
      <c r="B7" t="s">
        <v>96</v>
      </c>
      <c r="C7" t="s">
        <v>97</v>
      </c>
      <c r="G7" s="175" t="s">
        <v>106</v>
      </c>
      <c r="H7" s="175"/>
      <c r="K7" s="153"/>
      <c r="L7" s="153"/>
      <c r="O7" t="str">
        <f t="shared" si="0"/>
        <v>špatně</v>
      </c>
    </row>
    <row r="8" spans="1:15">
      <c r="G8" s="175"/>
      <c r="H8" s="175"/>
      <c r="K8" s="153"/>
      <c r="L8" s="153"/>
    </row>
    <row r="9" spans="1:15">
      <c r="B9" t="s">
        <v>107</v>
      </c>
      <c r="C9" s="90">
        <v>12</v>
      </c>
      <c r="D9" t="s">
        <v>108</v>
      </c>
      <c r="G9" s="175" t="s">
        <v>109</v>
      </c>
      <c r="H9" s="175"/>
      <c r="K9" s="153"/>
      <c r="L9" s="153"/>
      <c r="O9" t="str">
        <f t="shared" si="0"/>
        <v>špatně</v>
      </c>
    </row>
    <row r="10" spans="1:15">
      <c r="C10" s="90"/>
      <c r="G10" s="175"/>
      <c r="H10" s="175"/>
      <c r="K10" s="153"/>
      <c r="L10" s="153"/>
    </row>
    <row r="11" spans="1:15">
      <c r="B11" s="92" t="s">
        <v>110</v>
      </c>
      <c r="C11">
        <v>12</v>
      </c>
      <c r="E11" s="92"/>
      <c r="G11" s="176" t="s">
        <v>173</v>
      </c>
      <c r="H11" s="176" t="s">
        <v>175</v>
      </c>
      <c r="K11" s="153"/>
      <c r="L11" s="153"/>
      <c r="O11" t="str">
        <f>IF(G11=K11,"správně","špatně")</f>
        <v>špatně</v>
      </c>
    </row>
    <row r="12" spans="1:15">
      <c r="B12" s="92" t="s">
        <v>111</v>
      </c>
      <c r="C12" s="91">
        <v>19.600000000000001</v>
      </c>
      <c r="E12" s="92"/>
      <c r="F12" s="179"/>
    </row>
    <row r="14" spans="1:15">
      <c r="A14" s="173"/>
      <c r="B14" s="183" t="s">
        <v>112</v>
      </c>
      <c r="C14" s="174"/>
    </row>
    <row r="15" spans="1:15" ht="13.5" thickBot="1"/>
    <row r="16" spans="1:15" ht="14.25">
      <c r="B16" t="s">
        <v>110</v>
      </c>
      <c r="C16">
        <v>15</v>
      </c>
      <c r="E16" s="184"/>
      <c r="F16" s="185"/>
      <c r="G16" s="186"/>
    </row>
    <row r="17" spans="2:7" ht="14.25">
      <c r="B17" t="s">
        <v>113</v>
      </c>
      <c r="C17">
        <v>33</v>
      </c>
      <c r="E17" s="187"/>
      <c r="F17" s="189" t="str">
        <f>C17&amp;" ("&amp;C16&amp;"; "&amp;C18&amp;")"</f>
        <v>33 (15; 132)</v>
      </c>
      <c r="G17" s="188"/>
    </row>
    <row r="18" spans="2:7" ht="15.75" thickBot="1">
      <c r="B18" t="s">
        <v>111</v>
      </c>
      <c r="C18">
        <v>132</v>
      </c>
      <c r="E18" s="180"/>
      <c r="F18" s="181"/>
      <c r="G18" s="182"/>
    </row>
    <row r="20" spans="2:7" ht="13.5" thickBot="1"/>
    <row r="21" spans="2:7" ht="13.5" thickBot="1">
      <c r="B21" t="s">
        <v>114</v>
      </c>
      <c r="C21" s="91">
        <f>1342/6</f>
        <v>223.66666666666666</v>
      </c>
      <c r="E21" s="197" t="str">
        <f xml:space="preserve"> IF(C21&gt;C24,ROUND(C21,2),ROUND(C24,2))&amp;" ("&amp;ROUND(C22,2)&amp;"; "&amp;ROUND(C23,2)&amp;")"</f>
        <v>223,67 (13,32; 1345,14)</v>
      </c>
      <c r="F21" s="198"/>
      <c r="G21" s="199"/>
    </row>
    <row r="22" spans="2:7">
      <c r="B22" s="92" t="s">
        <v>115</v>
      </c>
      <c r="C22" s="91">
        <v>13.32</v>
      </c>
    </row>
    <row r="23" spans="2:7">
      <c r="B23" s="92" t="s">
        <v>116</v>
      </c>
      <c r="C23" s="93">
        <v>1345.14</v>
      </c>
    </row>
    <row r="24" spans="2:7">
      <c r="B24" s="92" t="s">
        <v>117</v>
      </c>
      <c r="C24">
        <v>202.34100000000001</v>
      </c>
    </row>
  </sheetData>
  <mergeCells count="1">
    <mergeCell ref="E21:G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37"/>
  <sheetViews>
    <sheetView showGridLines="0" workbookViewId="0">
      <selection activeCell="C24" sqref="C24"/>
    </sheetView>
  </sheetViews>
  <sheetFormatPr defaultRowHeight="12.75"/>
  <sheetData>
    <row r="2" spans="1:16" ht="15.75">
      <c r="A2" s="11" t="s">
        <v>60</v>
      </c>
      <c r="I2" s="11" t="s">
        <v>82</v>
      </c>
      <c r="J2" s="10"/>
      <c r="K2" s="10"/>
      <c r="L2" s="10"/>
      <c r="M2" s="10"/>
      <c r="N2" s="10"/>
      <c r="O2" s="10"/>
    </row>
    <row r="4" spans="1:16">
      <c r="A4" s="10" t="s">
        <v>3</v>
      </c>
      <c r="I4" s="10" t="s">
        <v>3</v>
      </c>
    </row>
    <row r="6" spans="1:16">
      <c r="A6" s="72">
        <v>10</v>
      </c>
      <c r="B6" s="17">
        <v>2</v>
      </c>
      <c r="C6">
        <f>+A6*B6</f>
        <v>20</v>
      </c>
      <c r="I6" s="1"/>
      <c r="J6" s="2" t="s">
        <v>0</v>
      </c>
      <c r="K6" s="16">
        <v>1</v>
      </c>
      <c r="L6" s="16">
        <v>5</v>
      </c>
      <c r="M6" s="16">
        <v>5</v>
      </c>
      <c r="N6" s="16">
        <v>7</v>
      </c>
      <c r="O6" s="16">
        <v>4</v>
      </c>
      <c r="P6" s="17">
        <v>6</v>
      </c>
    </row>
    <row r="7" spans="1:16">
      <c r="A7" s="12">
        <v>12</v>
      </c>
      <c r="B7" s="18">
        <v>3</v>
      </c>
      <c r="C7">
        <f t="shared" ref="C7:C12" si="0">+A7*B7</f>
        <v>36</v>
      </c>
      <c r="I7" s="4" t="s">
        <v>0</v>
      </c>
      <c r="J7" s="5" t="s">
        <v>1</v>
      </c>
      <c r="K7" s="13">
        <v>3</v>
      </c>
      <c r="L7" s="13">
        <v>5</v>
      </c>
      <c r="M7" s="13">
        <v>8</v>
      </c>
      <c r="N7" s="13">
        <v>7</v>
      </c>
      <c r="O7" s="13">
        <v>9</v>
      </c>
      <c r="P7" s="18">
        <v>6</v>
      </c>
    </row>
    <row r="8" spans="1:16">
      <c r="A8" s="12">
        <v>5</v>
      </c>
      <c r="B8" s="18">
        <v>4</v>
      </c>
      <c r="C8">
        <f t="shared" si="0"/>
        <v>20</v>
      </c>
      <c r="I8" s="12">
        <v>1</v>
      </c>
      <c r="J8" s="13">
        <v>3</v>
      </c>
      <c r="K8" s="1">
        <f t="shared" ref="K8:K13" si="1">+SQRT(($I8-K$6)^2+($J8-K$7)^2)</f>
        <v>0</v>
      </c>
      <c r="L8" s="2">
        <f t="shared" ref="L8:P13" si="2">+SQRT(($I8-L$6)^2+($J8-L$7)^2)</f>
        <v>4.4721359549995796</v>
      </c>
      <c r="M8" s="2">
        <f t="shared" si="2"/>
        <v>6.4031242374328485</v>
      </c>
      <c r="N8" s="2">
        <f t="shared" si="2"/>
        <v>7.2111025509279782</v>
      </c>
      <c r="O8" s="2">
        <f t="shared" si="2"/>
        <v>6.7082039324993694</v>
      </c>
      <c r="P8" s="3">
        <f t="shared" si="2"/>
        <v>5.8309518948453007</v>
      </c>
    </row>
    <row r="9" spans="1:16">
      <c r="A9" s="12">
        <v>8</v>
      </c>
      <c r="B9" s="18">
        <v>5</v>
      </c>
      <c r="C9">
        <f t="shared" si="0"/>
        <v>40</v>
      </c>
      <c r="I9" s="12">
        <v>5</v>
      </c>
      <c r="J9" s="13">
        <v>5</v>
      </c>
      <c r="K9" s="4">
        <f t="shared" si="1"/>
        <v>4.4721359549995796</v>
      </c>
      <c r="L9" s="5">
        <f t="shared" si="2"/>
        <v>0</v>
      </c>
      <c r="M9" s="5">
        <f t="shared" si="2"/>
        <v>3</v>
      </c>
      <c r="N9" s="5">
        <f t="shared" si="2"/>
        <v>2.8284271247461903</v>
      </c>
      <c r="O9" s="5">
        <f t="shared" si="2"/>
        <v>4.1231056256176606</v>
      </c>
      <c r="P9" s="6">
        <f t="shared" si="2"/>
        <v>1.4142135623730951</v>
      </c>
    </row>
    <row r="10" spans="1:16">
      <c r="A10" s="12">
        <v>4</v>
      </c>
      <c r="B10" s="18">
        <v>8</v>
      </c>
      <c r="C10">
        <f t="shared" si="0"/>
        <v>32</v>
      </c>
      <c r="I10" s="12">
        <v>5</v>
      </c>
      <c r="J10" s="13">
        <v>8</v>
      </c>
      <c r="K10" s="4">
        <f t="shared" si="1"/>
        <v>6.4031242374328485</v>
      </c>
      <c r="L10" s="5">
        <f t="shared" si="2"/>
        <v>3</v>
      </c>
      <c r="M10" s="5">
        <f t="shared" si="2"/>
        <v>0</v>
      </c>
      <c r="N10" s="5">
        <f t="shared" si="2"/>
        <v>2.2360679774997898</v>
      </c>
      <c r="O10" s="5">
        <f t="shared" si="2"/>
        <v>1.4142135623730951</v>
      </c>
      <c r="P10" s="6">
        <f t="shared" si="2"/>
        <v>2.2360679774997898</v>
      </c>
    </row>
    <row r="11" spans="1:16">
      <c r="A11" s="12">
        <v>7</v>
      </c>
      <c r="B11" s="18">
        <v>9</v>
      </c>
      <c r="C11">
        <f t="shared" si="0"/>
        <v>63</v>
      </c>
      <c r="I11" s="12">
        <v>7</v>
      </c>
      <c r="J11" s="13">
        <v>7</v>
      </c>
      <c r="K11" s="4">
        <f t="shared" si="1"/>
        <v>7.2111025509279782</v>
      </c>
      <c r="L11" s="5">
        <f t="shared" si="2"/>
        <v>2.8284271247461903</v>
      </c>
      <c r="M11" s="5">
        <f t="shared" si="2"/>
        <v>2.2360679774997898</v>
      </c>
      <c r="N11" s="5">
        <f t="shared" si="2"/>
        <v>0</v>
      </c>
      <c r="O11" s="5">
        <f t="shared" si="2"/>
        <v>3.6055512754639891</v>
      </c>
      <c r="P11" s="6">
        <f t="shared" si="2"/>
        <v>1.4142135623730951</v>
      </c>
    </row>
    <row r="12" spans="1:16">
      <c r="A12" s="14">
        <v>9</v>
      </c>
      <c r="B12" s="73">
        <v>11</v>
      </c>
      <c r="C12">
        <f t="shared" si="0"/>
        <v>99</v>
      </c>
      <c r="I12" s="12">
        <v>4</v>
      </c>
      <c r="J12" s="13">
        <v>9</v>
      </c>
      <c r="K12" s="4">
        <f t="shared" si="1"/>
        <v>6.7082039324993694</v>
      </c>
      <c r="L12" s="5">
        <f t="shared" si="2"/>
        <v>4.1231056256176606</v>
      </c>
      <c r="M12" s="5">
        <f t="shared" si="2"/>
        <v>1.4142135623730951</v>
      </c>
      <c r="N12" s="5">
        <f t="shared" si="2"/>
        <v>3.6055512754639891</v>
      </c>
      <c r="O12" s="5">
        <f t="shared" si="2"/>
        <v>0</v>
      </c>
      <c r="P12" s="6">
        <f t="shared" si="2"/>
        <v>3.6055512754639891</v>
      </c>
    </row>
    <row r="13" spans="1:16">
      <c r="A13" t="s">
        <v>81</v>
      </c>
      <c r="C13" s="74">
        <f>SUM(C6:C12)</f>
        <v>310</v>
      </c>
      <c r="I13" s="14">
        <v>6</v>
      </c>
      <c r="J13" s="15">
        <v>6</v>
      </c>
      <c r="K13" s="7">
        <f t="shared" si="1"/>
        <v>5.8309518948453007</v>
      </c>
      <c r="L13" s="8">
        <f t="shared" si="2"/>
        <v>1.4142135623730951</v>
      </c>
      <c r="M13" s="8">
        <f t="shared" si="2"/>
        <v>2.2360679774997898</v>
      </c>
      <c r="N13" s="8">
        <f t="shared" si="2"/>
        <v>1.4142135623730951</v>
      </c>
      <c r="O13" s="8">
        <f t="shared" si="2"/>
        <v>3.6055512754639891</v>
      </c>
      <c r="P13" s="9">
        <f t="shared" si="2"/>
        <v>0</v>
      </c>
    </row>
    <row r="15" spans="1:16">
      <c r="A15" s="10" t="s">
        <v>2</v>
      </c>
      <c r="I15" s="10" t="s">
        <v>2</v>
      </c>
    </row>
    <row r="17" spans="1:16">
      <c r="A17" s="72">
        <v>10</v>
      </c>
      <c r="B17" s="17">
        <v>2</v>
      </c>
      <c r="I17" s="1"/>
      <c r="J17" s="2" t="s">
        <v>0</v>
      </c>
      <c r="K17" s="16">
        <v>1</v>
      </c>
      <c r="L17" s="16">
        <v>5</v>
      </c>
      <c r="M17" s="16">
        <v>5</v>
      </c>
      <c r="N17" s="16">
        <v>7</v>
      </c>
      <c r="O17" s="16">
        <v>4</v>
      </c>
      <c r="P17" s="17">
        <v>6</v>
      </c>
    </row>
    <row r="18" spans="1:16">
      <c r="A18" s="12">
        <v>12</v>
      </c>
      <c r="B18" s="18">
        <v>3</v>
      </c>
      <c r="I18" s="4" t="s">
        <v>0</v>
      </c>
      <c r="J18" s="5" t="s">
        <v>1</v>
      </c>
      <c r="K18" s="13">
        <v>3</v>
      </c>
      <c r="L18" s="13">
        <v>5</v>
      </c>
      <c r="M18" s="13">
        <v>8</v>
      </c>
      <c r="N18" s="13">
        <v>7</v>
      </c>
      <c r="O18" s="13">
        <v>9</v>
      </c>
      <c r="P18" s="18">
        <v>6</v>
      </c>
    </row>
    <row r="19" spans="1:16">
      <c r="A19" s="12">
        <v>5</v>
      </c>
      <c r="B19" s="18">
        <v>4</v>
      </c>
      <c r="I19" s="12">
        <v>1</v>
      </c>
      <c r="J19" s="13">
        <v>3</v>
      </c>
      <c r="K19" s="1">
        <f t="array" ref="K19:P24">+SQRT(($I19:$I24-K$17:P$17)^2+($J19:$J24-K$18:P$18)^2)</f>
        <v>0</v>
      </c>
      <c r="L19" s="2">
        <v>4.4721359549995796</v>
      </c>
      <c r="M19" s="2">
        <v>6.4031242374328485</v>
      </c>
      <c r="N19" s="2">
        <v>7.2111025509279782</v>
      </c>
      <c r="O19" s="2">
        <v>6.7082039324993694</v>
      </c>
      <c r="P19" s="3">
        <v>5.8309518948453007</v>
      </c>
    </row>
    <row r="20" spans="1:16">
      <c r="A20" s="12">
        <v>8</v>
      </c>
      <c r="B20" s="18">
        <v>5</v>
      </c>
      <c r="I20" s="12">
        <v>5</v>
      </c>
      <c r="J20" s="13">
        <v>5</v>
      </c>
      <c r="K20" s="4">
        <v>4.4721359549995796</v>
      </c>
      <c r="L20" s="5">
        <v>0</v>
      </c>
      <c r="M20" s="5">
        <v>3</v>
      </c>
      <c r="N20" s="5">
        <v>2.8284271247461903</v>
      </c>
      <c r="O20" s="5">
        <v>4.1231056256176606</v>
      </c>
      <c r="P20" s="6">
        <v>1.4142135623730951</v>
      </c>
    </row>
    <row r="21" spans="1:16">
      <c r="A21" s="12">
        <v>4</v>
      </c>
      <c r="B21" s="18">
        <v>8</v>
      </c>
      <c r="I21" s="12">
        <v>5</v>
      </c>
      <c r="J21" s="13">
        <v>8</v>
      </c>
      <c r="K21" s="4">
        <v>6.4031242374328485</v>
      </c>
      <c r="L21" s="5">
        <v>3</v>
      </c>
      <c r="M21" s="5">
        <v>0</v>
      </c>
      <c r="N21" s="5">
        <v>2.2360679774997898</v>
      </c>
      <c r="O21" s="5">
        <v>1.4142135623730951</v>
      </c>
      <c r="P21" s="6">
        <v>2.2360679774997898</v>
      </c>
    </row>
    <row r="22" spans="1:16">
      <c r="A22" s="12">
        <v>7</v>
      </c>
      <c r="B22" s="18">
        <v>9</v>
      </c>
      <c r="I22" s="12">
        <v>7</v>
      </c>
      <c r="J22" s="13">
        <v>7</v>
      </c>
      <c r="K22" s="4">
        <v>7.2111025509279782</v>
      </c>
      <c r="L22" s="5">
        <v>2.8284271247461903</v>
      </c>
      <c r="M22" s="5">
        <v>2.2360679774997898</v>
      </c>
      <c r="N22" s="5">
        <v>0</v>
      </c>
      <c r="O22" s="5">
        <v>3.6055512754639891</v>
      </c>
      <c r="P22" s="6">
        <v>1.4142135623730951</v>
      </c>
    </row>
    <row r="23" spans="1:16">
      <c r="A23" s="14">
        <v>9</v>
      </c>
      <c r="B23" s="73">
        <v>11</v>
      </c>
      <c r="I23" s="12">
        <v>4</v>
      </c>
      <c r="J23" s="13">
        <v>9</v>
      </c>
      <c r="K23" s="4">
        <v>6.7082039324993694</v>
      </c>
      <c r="L23" s="5">
        <v>4.1231056256176606</v>
      </c>
      <c r="M23" s="5">
        <v>1.4142135623730951</v>
      </c>
      <c r="N23" s="5">
        <v>3.6055512754639891</v>
      </c>
      <c r="O23" s="5">
        <v>0</v>
      </c>
      <c r="P23" s="6">
        <v>3.6055512754639891</v>
      </c>
    </row>
    <row r="24" spans="1:16">
      <c r="A24" t="s">
        <v>81</v>
      </c>
      <c r="C24" s="74">
        <f t="array" ref="C24">+SUM(A17:A23*B17:B23)</f>
        <v>310</v>
      </c>
      <c r="I24" s="14">
        <v>6</v>
      </c>
      <c r="J24" s="15">
        <v>6</v>
      </c>
      <c r="K24" s="7">
        <v>5.8309518948453007</v>
      </c>
      <c r="L24" s="8">
        <v>1.4142135623730951</v>
      </c>
      <c r="M24" s="8">
        <v>2.2360679774997898</v>
      </c>
      <c r="N24" s="8">
        <v>1.4142135623730951</v>
      </c>
      <c r="O24" s="8">
        <v>3.6055512754639891</v>
      </c>
      <c r="P24" s="9">
        <v>0</v>
      </c>
    </row>
    <row r="26" spans="1:16" ht="15.75">
      <c r="A26" s="11" t="s">
        <v>83</v>
      </c>
      <c r="B26" s="11"/>
      <c r="C26" s="11"/>
      <c r="D26" s="11"/>
      <c r="E26" s="11"/>
    </row>
    <row r="27" spans="1:16">
      <c r="A27" t="s">
        <v>84</v>
      </c>
    </row>
    <row r="29" spans="1:16">
      <c r="B29" s="1">
        <v>2</v>
      </c>
      <c r="C29" s="3">
        <v>-3</v>
      </c>
      <c r="E29" s="1">
        <v>-2</v>
      </c>
      <c r="F29" s="2">
        <v>3</v>
      </c>
      <c r="G29" s="3">
        <v>-3</v>
      </c>
    </row>
    <row r="30" spans="1:16">
      <c r="B30" s="4">
        <v>-1</v>
      </c>
      <c r="C30" s="6">
        <v>0</v>
      </c>
      <c r="E30" s="7">
        <v>5</v>
      </c>
      <c r="F30" s="8">
        <v>1</v>
      </c>
      <c r="G30" s="9">
        <v>2</v>
      </c>
    </row>
    <row r="31" spans="1:16">
      <c r="B31" s="4">
        <v>1</v>
      </c>
      <c r="C31" s="6">
        <v>3</v>
      </c>
    </row>
    <row r="32" spans="1:16">
      <c r="B32" s="7">
        <v>4</v>
      </c>
      <c r="C32" s="9">
        <v>2</v>
      </c>
    </row>
    <row r="34" spans="5:7">
      <c r="E34" s="74">
        <f t="array" ref="E34:G37">MMULT(B29:C32,E29:G30)</f>
        <v>-19</v>
      </c>
      <c r="F34" s="74">
        <v>3</v>
      </c>
      <c r="G34" s="74">
        <v>-12</v>
      </c>
    </row>
    <row r="35" spans="5:7">
      <c r="E35" s="74">
        <v>2</v>
      </c>
      <c r="F35" s="74">
        <v>-3</v>
      </c>
      <c r="G35" s="74">
        <v>3</v>
      </c>
    </row>
    <row r="36" spans="5:7">
      <c r="E36" s="74">
        <v>13</v>
      </c>
      <c r="F36" s="74">
        <v>6</v>
      </c>
      <c r="G36" s="74">
        <v>3</v>
      </c>
    </row>
    <row r="37" spans="5:7">
      <c r="E37" s="74">
        <v>2</v>
      </c>
      <c r="F37" s="74">
        <v>14</v>
      </c>
      <c r="G37" s="74">
        <v>-8</v>
      </c>
    </row>
  </sheetData>
  <phoneticPr fontId="1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67"/>
  <sheetViews>
    <sheetView showGridLines="0" workbookViewId="0">
      <selection activeCell="P64" sqref="P64"/>
    </sheetView>
  </sheetViews>
  <sheetFormatPr defaultRowHeight="12.75"/>
  <cols>
    <col min="1" max="2" width="8.7109375" customWidth="1"/>
    <col min="3" max="3" width="1.7109375" style="19" customWidth="1"/>
    <col min="4" max="4" width="18.7109375" style="19" customWidth="1"/>
    <col min="5" max="6" width="8.7109375" style="19" customWidth="1"/>
    <col min="7" max="7" width="1.7109375" style="19" customWidth="1"/>
    <col min="8" max="8" width="18" style="19" customWidth="1"/>
    <col min="9" max="9" width="6.5703125" customWidth="1"/>
  </cols>
  <sheetData>
    <row r="1" spans="1:20" ht="15.75">
      <c r="A1" s="200" t="s">
        <v>21</v>
      </c>
      <c r="B1" s="202"/>
      <c r="D1" s="200" t="s">
        <v>23</v>
      </c>
      <c r="E1" s="201"/>
      <c r="F1" s="202"/>
      <c r="H1" s="49" t="s">
        <v>24</v>
      </c>
      <c r="I1" s="48"/>
      <c r="J1" s="2"/>
      <c r="K1" s="2"/>
      <c r="L1" s="2"/>
      <c r="M1" s="2"/>
      <c r="N1" s="2"/>
      <c r="O1" s="2"/>
      <c r="P1" s="2"/>
      <c r="Q1" s="2"/>
      <c r="R1" s="3"/>
      <c r="T1" s="87"/>
    </row>
    <row r="2" spans="1:20" ht="15.75">
      <c r="A2" s="47"/>
      <c r="B2" s="6"/>
      <c r="D2" s="47"/>
      <c r="E2" s="22"/>
      <c r="F2" s="32"/>
      <c r="H2" s="31"/>
      <c r="I2" s="5"/>
      <c r="J2" s="5"/>
      <c r="K2" s="5"/>
      <c r="L2" s="5"/>
      <c r="M2" s="5"/>
      <c r="N2" s="5"/>
      <c r="O2" s="5"/>
      <c r="P2" s="5"/>
      <c r="Q2" s="5"/>
      <c r="R2" s="6"/>
      <c r="T2" s="87"/>
    </row>
    <row r="3" spans="1:20">
      <c r="A3" s="25" t="s">
        <v>17</v>
      </c>
      <c r="B3" s="26" t="s">
        <v>16</v>
      </c>
      <c r="C3" s="21"/>
      <c r="D3" s="31"/>
      <c r="E3" s="37" t="s">
        <v>17</v>
      </c>
      <c r="F3" s="26" t="s">
        <v>16</v>
      </c>
      <c r="H3" s="50" t="s">
        <v>11</v>
      </c>
      <c r="I3" s="51">
        <f>FTEST(PAN,PBIN)</f>
        <v>1.1446996435478362E-11</v>
      </c>
      <c r="J3" s="5" t="str">
        <f>+IF(I3&lt;0.05,"Různý rozptyl - nelze použít T-test","")</f>
        <v>Různý rozptyl - nelze použít T-test</v>
      </c>
      <c r="K3" s="5"/>
      <c r="L3" s="5"/>
      <c r="M3" s="5"/>
      <c r="N3" s="5"/>
      <c r="O3" s="5"/>
      <c r="P3" s="5"/>
      <c r="Q3" s="5"/>
      <c r="R3" s="6"/>
      <c r="T3" s="87"/>
    </row>
    <row r="4" spans="1:20">
      <c r="A4" s="27" t="s">
        <v>22</v>
      </c>
      <c r="B4" s="28" t="s">
        <v>22</v>
      </c>
      <c r="C4" s="22"/>
      <c r="D4" s="41"/>
      <c r="E4" s="27" t="s">
        <v>22</v>
      </c>
      <c r="F4" s="28" t="s">
        <v>22</v>
      </c>
      <c r="G4" s="20"/>
      <c r="H4" s="50" t="s">
        <v>12</v>
      </c>
      <c r="I4" s="51">
        <f>TTEST(PAN,PBIN,2,2)</f>
        <v>4.4760065638446324E-217</v>
      </c>
      <c r="J4" s="55" t="str">
        <f>+IF(I3&lt;0.05,
IF(I4&lt;0.05,"Oba soubory se významně liší, ale vzhledem k různému rozptylu není vhodné T-test použít","Oba soubory se významně neliší a vzhledem k různému rozptylu není vhodné T-test použít"),
IF(I4&lt;0.05,"Oba soubory se významně liší","Oba soubory se významně neliší")
)</f>
        <v>Oba soubory se významně liší, ale vzhledem k různému rozptylu není vhodné T-test použít</v>
      </c>
      <c r="K4" s="56"/>
      <c r="L4" s="54"/>
      <c r="M4" s="54"/>
      <c r="N4" s="5"/>
      <c r="O4" s="5"/>
      <c r="P4" s="5"/>
      <c r="Q4" s="5"/>
      <c r="R4" s="6"/>
      <c r="T4" s="87"/>
    </row>
    <row r="5" spans="1:20">
      <c r="A5" s="4">
        <v>9.8769999999999997E-2</v>
      </c>
      <c r="B5" s="6">
        <v>6.6280000000000006E-2</v>
      </c>
      <c r="C5" s="24"/>
      <c r="D5" s="46" t="s">
        <v>7</v>
      </c>
      <c r="E5" s="29">
        <f>AVERAGE(PAN)</f>
        <v>0.11933950276243099</v>
      </c>
      <c r="F5" s="30">
        <f>AVERAGE(PBIN)</f>
        <v>7.289176E-2</v>
      </c>
      <c r="G5" s="20"/>
      <c r="H5" s="31"/>
      <c r="I5" s="5"/>
      <c r="J5" s="5"/>
      <c r="K5" s="5"/>
      <c r="L5" s="5"/>
      <c r="M5" s="5"/>
      <c r="N5" s="5"/>
      <c r="O5" s="5"/>
      <c r="P5" s="5"/>
      <c r="Q5" s="5"/>
      <c r="R5" s="6"/>
      <c r="T5" s="87"/>
    </row>
    <row r="6" spans="1:20">
      <c r="A6" s="4">
        <v>0.10213999999999999</v>
      </c>
      <c r="B6" s="6">
        <v>6.6669999999999993E-2</v>
      </c>
      <c r="C6" s="24"/>
      <c r="D6" s="46" t="s">
        <v>9</v>
      </c>
      <c r="E6" s="31">
        <f>MEDIAN(PAN)</f>
        <v>0.11909</v>
      </c>
      <c r="F6" s="34">
        <f>+MEDIAN(PBIN)</f>
        <v>7.2480000000000003E-2</v>
      </c>
      <c r="G6" s="20"/>
      <c r="H6" s="35"/>
      <c r="I6" s="8"/>
      <c r="J6" s="8"/>
      <c r="K6" s="8"/>
      <c r="L6" s="8"/>
      <c r="M6" s="8"/>
      <c r="N6" s="8"/>
      <c r="O6" s="8"/>
      <c r="P6" s="8"/>
      <c r="Q6" s="8"/>
      <c r="R6" s="9"/>
      <c r="T6" s="87"/>
    </row>
    <row r="7" spans="1:20">
      <c r="A7" s="4">
        <v>0.10675999999999999</v>
      </c>
      <c r="B7" s="6">
        <v>6.7110000000000003E-2</v>
      </c>
      <c r="C7" s="24"/>
      <c r="D7" s="46" t="s">
        <v>13</v>
      </c>
      <c r="E7" s="31">
        <f>COUNTIF(PAN,"&gt;0")</f>
        <v>181</v>
      </c>
      <c r="F7" s="32">
        <f>COUNTIF(PBIN,"&gt;0")</f>
        <v>125</v>
      </c>
      <c r="G7" s="20"/>
      <c r="H7" s="20"/>
      <c r="T7" s="87"/>
    </row>
    <row r="8" spans="1:20">
      <c r="A8" s="4">
        <v>0.10677</v>
      </c>
      <c r="B8" s="6">
        <v>6.7739999999999995E-2</v>
      </c>
      <c r="C8" s="24"/>
      <c r="D8" s="46" t="s">
        <v>8</v>
      </c>
      <c r="E8" s="31">
        <f>STDEVA(PAN)</f>
        <v>5.4176940847398963E-3</v>
      </c>
      <c r="F8" s="32">
        <f>STDEVA(PBIN)</f>
        <v>2.982646871704782E-3</v>
      </c>
      <c r="G8" s="20"/>
      <c r="H8" s="20"/>
      <c r="T8" s="87"/>
    </row>
    <row r="9" spans="1:20">
      <c r="A9" s="4">
        <v>0.10757</v>
      </c>
      <c r="B9" s="6">
        <v>6.7979999999999999E-2</v>
      </c>
      <c r="C9" s="24"/>
      <c r="D9" s="46" t="s">
        <v>14</v>
      </c>
      <c r="E9" s="33">
        <f>+MIN(PAN)</f>
        <v>9.8769999999999997E-2</v>
      </c>
      <c r="F9" s="34">
        <f>+MIN(PBIN)</f>
        <v>6.6280000000000006E-2</v>
      </c>
      <c r="G9" s="20"/>
      <c r="H9" s="20"/>
      <c r="T9" s="87"/>
    </row>
    <row r="10" spans="1:20" ht="15.75">
      <c r="A10" s="4">
        <v>0.10903</v>
      </c>
      <c r="B10" s="6">
        <v>6.8140000000000006E-2</v>
      </c>
      <c r="C10" s="24"/>
      <c r="D10" s="46" t="s">
        <v>15</v>
      </c>
      <c r="E10" s="31">
        <f>+MAX(PAN)</f>
        <v>0.13333999999999999</v>
      </c>
      <c r="F10" s="32">
        <f>+MAX(PBIN)</f>
        <v>8.2720000000000002E-2</v>
      </c>
      <c r="G10" s="20"/>
      <c r="H10" s="200" t="s">
        <v>25</v>
      </c>
      <c r="I10" s="201"/>
      <c r="J10" s="201"/>
      <c r="K10" s="201"/>
      <c r="L10" s="201"/>
      <c r="M10" s="201"/>
      <c r="N10" s="201"/>
      <c r="O10" s="3"/>
      <c r="T10" s="87"/>
    </row>
    <row r="11" spans="1:20">
      <c r="A11" s="4">
        <v>0.10914</v>
      </c>
      <c r="B11" s="6">
        <v>6.8159999999999998E-2</v>
      </c>
      <c r="C11" s="24"/>
      <c r="D11" s="57" t="s">
        <v>26</v>
      </c>
      <c r="E11" s="35">
        <f>CONFIDENCE(0.05,E8,E7)</f>
        <v>7.8926579546092709E-4</v>
      </c>
      <c r="F11" s="36">
        <f>CONFIDENCE(0.05,F8,F7)</f>
        <v>5.2287144272589365E-4</v>
      </c>
      <c r="G11" s="20"/>
      <c r="H11" s="41"/>
      <c r="I11" s="5"/>
      <c r="J11" s="5"/>
      <c r="K11" s="5"/>
      <c r="L11" s="5"/>
      <c r="M11" s="5"/>
      <c r="N11" s="5"/>
      <c r="O11" s="6"/>
      <c r="T11" s="87"/>
    </row>
    <row r="12" spans="1:20">
      <c r="A12" s="4">
        <v>0.10957</v>
      </c>
      <c r="B12" s="6">
        <v>6.8430000000000005E-2</v>
      </c>
      <c r="C12" s="24"/>
      <c r="D12" s="76" t="s">
        <v>85</v>
      </c>
      <c r="E12" s="75">
        <f>1.96*E8/SQRT(E7)</f>
        <v>7.8928029867163262E-4</v>
      </c>
      <c r="F12" s="63">
        <f>1.96*F8/SQRT(F7)</f>
        <v>5.2288105078790459E-4</v>
      </c>
      <c r="G12"/>
      <c r="H12" s="4"/>
      <c r="I12" s="5"/>
      <c r="J12" s="5"/>
      <c r="K12" s="5"/>
      <c r="L12" s="5"/>
      <c r="M12" s="5"/>
      <c r="N12" s="5"/>
      <c r="O12" s="6"/>
      <c r="T12" s="87"/>
    </row>
    <row r="13" spans="1:20">
      <c r="A13" s="4">
        <v>0.10972999999999999</v>
      </c>
      <c r="B13" s="6">
        <v>6.8459999999999993E-2</v>
      </c>
      <c r="C13" s="24"/>
      <c r="D13" s="43"/>
      <c r="E13" s="64"/>
      <c r="F13" s="36"/>
      <c r="G13"/>
      <c r="H13" s="4"/>
      <c r="I13" s="5"/>
      <c r="J13" s="5"/>
      <c r="K13" s="5"/>
      <c r="L13" s="5"/>
      <c r="M13" s="5"/>
      <c r="N13" s="5"/>
      <c r="O13" s="6"/>
      <c r="T13" s="87"/>
    </row>
    <row r="14" spans="1:20">
      <c r="A14" s="4">
        <v>0.11019</v>
      </c>
      <c r="B14" s="6">
        <v>6.8919999999999995E-2</v>
      </c>
      <c r="C14" s="24"/>
      <c r="D14" s="38" t="s">
        <v>20</v>
      </c>
      <c r="E14" s="39" t="s">
        <v>17</v>
      </c>
      <c r="F14" s="40" t="s">
        <v>16</v>
      </c>
      <c r="G14"/>
      <c r="H14" s="4"/>
      <c r="I14" s="5"/>
      <c r="J14" s="5"/>
      <c r="K14" s="5"/>
      <c r="L14" s="5"/>
      <c r="M14" s="5"/>
      <c r="N14" s="5"/>
      <c r="O14" s="6"/>
      <c r="T14" s="87"/>
    </row>
    <row r="15" spans="1:20">
      <c r="A15" s="4">
        <v>0.11031000000000001</v>
      </c>
      <c r="B15" s="6">
        <v>6.905E-2</v>
      </c>
      <c r="C15" s="24"/>
      <c r="D15" s="41">
        <v>0.06</v>
      </c>
      <c r="E15" s="24">
        <f t="array" ref="E15:E47">+FREQUENCY(PAN,interval)</f>
        <v>0</v>
      </c>
      <c r="F15" s="42">
        <f t="array" ref="F15:F47">+FREQUENCY(PBIN,interval)</f>
        <v>0</v>
      </c>
      <c r="G15"/>
      <c r="H15" s="4"/>
      <c r="I15" s="5"/>
      <c r="J15" s="5"/>
      <c r="K15" s="5"/>
      <c r="L15" s="5"/>
      <c r="M15" s="5"/>
      <c r="N15" s="5"/>
      <c r="O15" s="6"/>
      <c r="T15" s="87"/>
    </row>
    <row r="16" spans="1:20">
      <c r="A16" s="4">
        <v>0.11036</v>
      </c>
      <c r="B16" s="6">
        <v>6.9110000000000005E-2</v>
      </c>
      <c r="C16" s="24"/>
      <c r="D16" s="41">
        <f>+D15+0.0025</f>
        <v>6.25E-2</v>
      </c>
      <c r="E16" s="24">
        <v>0</v>
      </c>
      <c r="F16" s="42">
        <v>0</v>
      </c>
      <c r="G16"/>
      <c r="H16" s="4"/>
      <c r="I16" s="5"/>
      <c r="J16" s="5"/>
      <c r="K16" s="5"/>
      <c r="L16" s="5"/>
      <c r="M16" s="5"/>
      <c r="N16" s="5"/>
      <c r="O16" s="6"/>
      <c r="T16" s="87"/>
    </row>
    <row r="17" spans="1:20">
      <c r="A17" s="4">
        <v>0.11039</v>
      </c>
      <c r="B17" s="6">
        <v>6.9199999999999998E-2</v>
      </c>
      <c r="C17" s="24"/>
      <c r="D17" s="41">
        <f t="shared" ref="D17:D47" si="0">+D16+0.0025</f>
        <v>6.5000000000000002E-2</v>
      </c>
      <c r="E17" s="24">
        <v>0</v>
      </c>
      <c r="F17" s="42">
        <v>0</v>
      </c>
      <c r="G17"/>
      <c r="H17" s="4"/>
      <c r="I17" s="5"/>
      <c r="J17" s="5"/>
      <c r="K17" s="5"/>
      <c r="L17" s="5"/>
      <c r="M17" s="5"/>
      <c r="N17" s="5"/>
      <c r="O17" s="6"/>
      <c r="T17" s="87"/>
    </row>
    <row r="18" spans="1:20">
      <c r="A18" s="4">
        <v>0.11049</v>
      </c>
      <c r="B18" s="6">
        <v>6.9320000000000007E-2</v>
      </c>
      <c r="C18" s="24"/>
      <c r="D18" s="41">
        <f t="shared" si="0"/>
        <v>6.7500000000000004E-2</v>
      </c>
      <c r="E18" s="24">
        <v>0</v>
      </c>
      <c r="F18" s="42">
        <v>3</v>
      </c>
      <c r="G18"/>
      <c r="H18" s="4"/>
      <c r="I18" s="5"/>
      <c r="J18" s="5"/>
      <c r="K18" s="5"/>
      <c r="L18" s="5"/>
      <c r="M18" s="5"/>
      <c r="N18" s="5"/>
      <c r="O18" s="6"/>
      <c r="T18" s="87"/>
    </row>
    <row r="19" spans="1:20">
      <c r="A19" s="4">
        <v>0.11146</v>
      </c>
      <c r="B19" s="6">
        <v>6.9430000000000006E-2</v>
      </c>
      <c r="C19" s="24"/>
      <c r="D19" s="41">
        <f t="shared" si="0"/>
        <v>7.0000000000000007E-2</v>
      </c>
      <c r="E19" s="24">
        <v>0</v>
      </c>
      <c r="F19" s="42">
        <v>16</v>
      </c>
      <c r="G19"/>
      <c r="H19" s="4"/>
      <c r="I19" s="5"/>
      <c r="J19" s="5"/>
      <c r="K19" s="5"/>
      <c r="L19" s="5"/>
      <c r="M19" s="5"/>
      <c r="N19" s="5"/>
      <c r="O19" s="6"/>
      <c r="T19" s="87"/>
    </row>
    <row r="20" spans="1:20">
      <c r="A20" s="4">
        <v>0.11176</v>
      </c>
      <c r="B20" s="6">
        <v>6.9570000000000007E-2</v>
      </c>
      <c r="C20" s="24"/>
      <c r="D20" s="41">
        <f t="shared" si="0"/>
        <v>7.2500000000000009E-2</v>
      </c>
      <c r="E20" s="24">
        <v>0</v>
      </c>
      <c r="F20" s="42">
        <v>45</v>
      </c>
      <c r="G20"/>
      <c r="H20" s="4"/>
      <c r="I20" s="5"/>
      <c r="J20" s="5"/>
      <c r="K20" s="5"/>
      <c r="L20" s="5"/>
      <c r="M20" s="5"/>
      <c r="N20" s="5"/>
      <c r="O20" s="6"/>
      <c r="T20" s="87"/>
    </row>
    <row r="21" spans="1:20">
      <c r="A21" s="4">
        <v>0.1118</v>
      </c>
      <c r="B21" s="6">
        <v>6.9750000000000006E-2</v>
      </c>
      <c r="C21" s="24"/>
      <c r="D21" s="41">
        <f t="shared" si="0"/>
        <v>7.5000000000000011E-2</v>
      </c>
      <c r="E21" s="24">
        <v>0</v>
      </c>
      <c r="F21" s="42">
        <v>33</v>
      </c>
      <c r="G21"/>
      <c r="H21" s="4"/>
      <c r="I21" s="5"/>
      <c r="J21" s="5"/>
      <c r="K21" s="5"/>
      <c r="L21" s="5"/>
      <c r="M21" s="5"/>
      <c r="N21" s="5"/>
      <c r="O21" s="6"/>
      <c r="T21" s="87"/>
    </row>
    <row r="22" spans="1:20">
      <c r="A22" s="4">
        <v>0.11204</v>
      </c>
      <c r="B22" s="6">
        <v>6.9860000000000005E-2</v>
      </c>
      <c r="C22" s="24"/>
      <c r="D22" s="41">
        <f t="shared" si="0"/>
        <v>7.7500000000000013E-2</v>
      </c>
      <c r="E22" s="24">
        <v>0</v>
      </c>
      <c r="F22" s="42">
        <v>18</v>
      </c>
      <c r="G22"/>
      <c r="H22" s="4"/>
      <c r="I22" s="5"/>
      <c r="J22" s="5"/>
      <c r="K22" s="5"/>
      <c r="L22" s="5"/>
      <c r="M22" s="5"/>
      <c r="N22" s="5"/>
      <c r="O22" s="6"/>
      <c r="T22" s="87"/>
    </row>
    <row r="23" spans="1:20">
      <c r="A23" s="4">
        <v>0.11209</v>
      </c>
      <c r="B23" s="6">
        <v>6.9959999999999994E-2</v>
      </c>
      <c r="C23" s="24"/>
      <c r="D23" s="41">
        <f t="shared" si="0"/>
        <v>8.0000000000000016E-2</v>
      </c>
      <c r="E23" s="24">
        <v>0</v>
      </c>
      <c r="F23" s="42">
        <v>8</v>
      </c>
      <c r="G23"/>
      <c r="H23" s="4"/>
      <c r="I23" s="5"/>
      <c r="J23" s="5"/>
      <c r="K23" s="5"/>
      <c r="L23" s="5"/>
      <c r="M23" s="5"/>
      <c r="N23" s="5"/>
      <c r="O23" s="6"/>
      <c r="T23" s="87"/>
    </row>
    <row r="24" spans="1:20">
      <c r="A24" s="4">
        <v>0.11275</v>
      </c>
      <c r="B24" s="6">
        <v>7.0080000000000003E-2</v>
      </c>
      <c r="C24" s="24"/>
      <c r="D24" s="41">
        <f t="shared" si="0"/>
        <v>8.2500000000000018E-2</v>
      </c>
      <c r="E24" s="24">
        <v>0</v>
      </c>
      <c r="F24" s="42">
        <v>1</v>
      </c>
      <c r="G24"/>
      <c r="H24" s="4"/>
      <c r="I24" s="5"/>
      <c r="J24" s="5"/>
      <c r="K24" s="5"/>
      <c r="L24" s="5"/>
      <c r="M24" s="5"/>
      <c r="N24" s="5"/>
      <c r="O24" s="6"/>
      <c r="T24" s="87"/>
    </row>
    <row r="25" spans="1:20">
      <c r="A25" s="4">
        <v>0.11280999999999999</v>
      </c>
      <c r="B25" s="6">
        <v>7.0279999999999995E-2</v>
      </c>
      <c r="C25" s="24"/>
      <c r="D25" s="41">
        <f t="shared" si="0"/>
        <v>8.500000000000002E-2</v>
      </c>
      <c r="E25" s="24">
        <v>0</v>
      </c>
      <c r="F25" s="42">
        <v>1</v>
      </c>
      <c r="G25"/>
      <c r="H25" s="4"/>
      <c r="I25" s="5"/>
      <c r="J25" s="5"/>
      <c r="K25" s="5"/>
      <c r="L25" s="5"/>
      <c r="M25" s="5"/>
      <c r="N25" s="5"/>
      <c r="O25" s="6"/>
      <c r="T25" s="87"/>
    </row>
    <row r="26" spans="1:20">
      <c r="A26" s="4">
        <v>0.11319</v>
      </c>
      <c r="B26" s="6">
        <v>7.0300000000000001E-2</v>
      </c>
      <c r="C26" s="24"/>
      <c r="D26" s="41">
        <f t="shared" si="0"/>
        <v>8.7500000000000022E-2</v>
      </c>
      <c r="E26" s="24">
        <v>0</v>
      </c>
      <c r="F26" s="42">
        <v>0</v>
      </c>
      <c r="G26"/>
      <c r="H26" s="4"/>
      <c r="I26" s="5"/>
      <c r="J26" s="5"/>
      <c r="K26" s="5"/>
      <c r="L26" s="5"/>
      <c r="M26" s="5"/>
      <c r="N26" s="5"/>
      <c r="O26" s="6"/>
      <c r="T26" s="87"/>
    </row>
    <row r="27" spans="1:20">
      <c r="A27" s="4">
        <v>0.11357</v>
      </c>
      <c r="B27" s="6">
        <v>7.0379999999999998E-2</v>
      </c>
      <c r="C27" s="24"/>
      <c r="D27" s="41">
        <f t="shared" si="0"/>
        <v>9.0000000000000024E-2</v>
      </c>
      <c r="E27" s="24">
        <v>0</v>
      </c>
      <c r="F27" s="42">
        <v>0</v>
      </c>
      <c r="G27"/>
      <c r="H27" s="7"/>
      <c r="I27" s="8"/>
      <c r="J27" s="8"/>
      <c r="K27" s="8"/>
      <c r="L27" s="8"/>
      <c r="M27" s="8"/>
      <c r="N27" s="8"/>
      <c r="O27" s="9"/>
      <c r="T27" s="87"/>
    </row>
    <row r="28" spans="1:20">
      <c r="A28" s="4">
        <v>0.11416999999999999</v>
      </c>
      <c r="B28" s="6">
        <v>7.041E-2</v>
      </c>
      <c r="C28" s="24"/>
      <c r="D28" s="41">
        <f t="shared" si="0"/>
        <v>9.2500000000000027E-2</v>
      </c>
      <c r="E28" s="24">
        <v>0</v>
      </c>
      <c r="F28" s="42">
        <v>0</v>
      </c>
      <c r="G28"/>
      <c r="H28"/>
      <c r="T28" s="87"/>
    </row>
    <row r="29" spans="1:20">
      <c r="A29" s="4">
        <v>0.11437</v>
      </c>
      <c r="B29" s="6">
        <v>7.041E-2</v>
      </c>
      <c r="C29" s="24"/>
      <c r="D29" s="41">
        <f t="shared" si="0"/>
        <v>9.5000000000000029E-2</v>
      </c>
      <c r="E29" s="24">
        <v>0</v>
      </c>
      <c r="F29" s="42">
        <v>0</v>
      </c>
      <c r="G29"/>
      <c r="H29" s="53"/>
      <c r="I29" s="52"/>
      <c r="J29" s="52"/>
      <c r="K29" s="52"/>
      <c r="T29" s="87"/>
    </row>
    <row r="30" spans="1:20">
      <c r="A30" s="4">
        <v>0.11448</v>
      </c>
      <c r="B30" s="6">
        <v>7.0499999999999993E-2</v>
      </c>
      <c r="C30" s="24"/>
      <c r="D30" s="41">
        <f t="shared" si="0"/>
        <v>9.7500000000000031E-2</v>
      </c>
      <c r="E30" s="24">
        <v>0</v>
      </c>
      <c r="F30" s="42">
        <v>0</v>
      </c>
      <c r="G30"/>
      <c r="H30" s="24"/>
      <c r="I30" s="52"/>
      <c r="J30" s="52"/>
      <c r="K30" s="52"/>
      <c r="T30" s="87"/>
    </row>
    <row r="31" spans="1:20">
      <c r="A31" s="4">
        <v>0.11479</v>
      </c>
      <c r="B31" s="6">
        <v>7.0650000000000004E-2</v>
      </c>
      <c r="C31" s="24"/>
      <c r="D31" s="41">
        <f t="shared" si="0"/>
        <v>0.10000000000000003</v>
      </c>
      <c r="E31" s="24">
        <v>1</v>
      </c>
      <c r="F31" s="42">
        <v>0</v>
      </c>
      <c r="G31"/>
      <c r="H31" s="53"/>
      <c r="I31" s="24"/>
      <c r="J31" s="24"/>
      <c r="K31" s="52"/>
      <c r="T31" s="87"/>
    </row>
    <row r="32" spans="1:20" ht="24" customHeight="1">
      <c r="A32" s="4">
        <v>0.11481</v>
      </c>
      <c r="B32" s="6">
        <v>7.077E-2</v>
      </c>
      <c r="C32" s="24"/>
      <c r="D32" s="41">
        <f t="shared" si="0"/>
        <v>0.10250000000000004</v>
      </c>
      <c r="E32" s="24">
        <v>1</v>
      </c>
      <c r="F32" s="42">
        <v>0</v>
      </c>
      <c r="G32"/>
      <c r="H32" s="65"/>
      <c r="I32" s="52"/>
      <c r="J32" s="52"/>
      <c r="K32" s="52"/>
      <c r="T32" s="87"/>
    </row>
    <row r="33" spans="1:20" ht="24" customHeight="1">
      <c r="A33" s="4">
        <v>0.11491999999999999</v>
      </c>
      <c r="B33" s="6">
        <v>7.0930000000000007E-2</v>
      </c>
      <c r="C33" s="24"/>
      <c r="D33" s="41">
        <f t="shared" si="0"/>
        <v>0.10500000000000004</v>
      </c>
      <c r="E33" s="24">
        <v>0</v>
      </c>
      <c r="F33" s="42">
        <v>0</v>
      </c>
      <c r="G33" s="20"/>
      <c r="H33" s="65"/>
      <c r="I33" s="52"/>
      <c r="J33" s="52"/>
      <c r="K33" s="52"/>
      <c r="T33" s="87"/>
    </row>
    <row r="34" spans="1:20">
      <c r="A34" s="4">
        <v>0.11511</v>
      </c>
      <c r="B34" s="6">
        <v>7.0949999999999999E-2</v>
      </c>
      <c r="C34" s="24"/>
      <c r="D34" s="41">
        <f>+D33+0.0025</f>
        <v>0.10750000000000004</v>
      </c>
      <c r="E34" s="24">
        <v>2</v>
      </c>
      <c r="F34" s="42">
        <v>0</v>
      </c>
      <c r="G34" s="20"/>
      <c r="H34" s="52"/>
      <c r="I34" s="52"/>
      <c r="J34" s="52"/>
      <c r="K34" s="52"/>
      <c r="T34" s="87"/>
    </row>
    <row r="35" spans="1:20">
      <c r="A35" s="4">
        <v>0.11529</v>
      </c>
      <c r="B35" s="6">
        <v>7.0970000000000005E-2</v>
      </c>
      <c r="C35" s="24"/>
      <c r="D35" s="41">
        <f t="shared" si="0"/>
        <v>0.11000000000000004</v>
      </c>
      <c r="E35" s="24">
        <v>5</v>
      </c>
      <c r="F35" s="42">
        <v>0</v>
      </c>
      <c r="G35" s="20"/>
      <c r="H35" s="52"/>
      <c r="I35" s="52"/>
      <c r="J35" s="52"/>
      <c r="K35" s="52"/>
      <c r="T35" s="87"/>
    </row>
    <row r="36" spans="1:20">
      <c r="A36" s="4">
        <v>0.11547</v>
      </c>
      <c r="B36" s="6">
        <v>7.0999999999999994E-2</v>
      </c>
      <c r="C36" s="24"/>
      <c r="D36" s="41">
        <f t="shared" si="0"/>
        <v>0.11250000000000004</v>
      </c>
      <c r="E36" s="24">
        <v>10</v>
      </c>
      <c r="F36" s="42">
        <v>0</v>
      </c>
      <c r="G36" s="20"/>
      <c r="H36" s="52"/>
      <c r="I36" s="52"/>
      <c r="J36" s="52"/>
      <c r="K36" s="52"/>
      <c r="T36" s="87"/>
    </row>
    <row r="37" spans="1:20">
      <c r="A37" s="4">
        <v>0.11557000000000001</v>
      </c>
      <c r="B37" s="6">
        <v>7.1069999999999994E-2</v>
      </c>
      <c r="C37" s="24"/>
      <c r="D37" s="41">
        <f t="shared" si="0"/>
        <v>0.11500000000000005</v>
      </c>
      <c r="E37" s="24">
        <v>10</v>
      </c>
      <c r="F37" s="42">
        <v>0</v>
      </c>
      <c r="G37" s="20"/>
      <c r="H37"/>
      <c r="T37" s="87"/>
    </row>
    <row r="38" spans="1:20">
      <c r="A38" s="4">
        <v>0.11572</v>
      </c>
      <c r="B38" s="6">
        <v>7.1110000000000007E-2</v>
      </c>
      <c r="C38" s="24"/>
      <c r="D38" s="41">
        <f t="shared" si="0"/>
        <v>0.11750000000000005</v>
      </c>
      <c r="E38" s="24">
        <v>33</v>
      </c>
      <c r="F38" s="42">
        <v>0</v>
      </c>
      <c r="G38" s="20"/>
      <c r="H38"/>
      <c r="T38" s="87"/>
    </row>
    <row r="39" spans="1:20">
      <c r="A39" s="4">
        <v>0.11589000000000001</v>
      </c>
      <c r="B39" s="6">
        <v>7.1300000000000002E-2</v>
      </c>
      <c r="C39" s="24"/>
      <c r="D39" s="41">
        <f t="shared" si="0"/>
        <v>0.12000000000000005</v>
      </c>
      <c r="E39" s="24">
        <v>39</v>
      </c>
      <c r="F39" s="42">
        <v>0</v>
      </c>
      <c r="G39" s="20"/>
      <c r="H39"/>
      <c r="T39" s="87"/>
    </row>
    <row r="40" spans="1:20" ht="17.25" customHeight="1">
      <c r="A40" s="4">
        <v>0.11608</v>
      </c>
      <c r="B40" s="6">
        <v>7.1429999999999993E-2</v>
      </c>
      <c r="C40" s="20"/>
      <c r="D40" s="41">
        <f t="shared" si="0"/>
        <v>0.12250000000000005</v>
      </c>
      <c r="E40" s="24">
        <v>37</v>
      </c>
      <c r="F40" s="42">
        <v>0</v>
      </c>
      <c r="G40" s="20"/>
      <c r="H40" s="203" t="s">
        <v>31</v>
      </c>
      <c r="I40" s="204"/>
      <c r="J40" s="204"/>
      <c r="K40" s="204"/>
      <c r="L40" s="204"/>
      <c r="M40" s="204"/>
      <c r="N40" s="205"/>
      <c r="T40" s="87"/>
    </row>
    <row r="41" spans="1:20">
      <c r="A41" s="4">
        <v>0.11624</v>
      </c>
      <c r="B41" s="6">
        <v>7.1440000000000003E-2</v>
      </c>
      <c r="C41" s="20"/>
      <c r="D41" s="41">
        <f>+D40+0.0025</f>
        <v>0.12500000000000006</v>
      </c>
      <c r="E41" s="24">
        <v>18</v>
      </c>
      <c r="F41" s="42">
        <v>0</v>
      </c>
      <c r="G41" s="20"/>
      <c r="H41" s="41"/>
      <c r="I41" s="5"/>
      <c r="J41" s="5"/>
      <c r="K41" s="5"/>
      <c r="L41" s="5"/>
      <c r="M41" s="5"/>
      <c r="N41" s="6"/>
      <c r="T41" s="87"/>
    </row>
    <row r="42" spans="1:20">
      <c r="A42" s="4">
        <v>0.11627</v>
      </c>
      <c r="B42" s="6">
        <v>7.1489999999999998E-2</v>
      </c>
      <c r="C42" s="20"/>
      <c r="D42" s="41">
        <f t="shared" si="0"/>
        <v>0.12750000000000006</v>
      </c>
      <c r="E42" s="24">
        <v>14</v>
      </c>
      <c r="F42" s="42">
        <v>0</v>
      </c>
      <c r="G42" s="20"/>
      <c r="H42" s="41"/>
      <c r="I42" s="5"/>
      <c r="J42" s="5"/>
      <c r="K42" s="5"/>
      <c r="L42" s="5"/>
      <c r="M42" s="5"/>
      <c r="N42" s="6"/>
      <c r="T42" s="87"/>
    </row>
    <row r="43" spans="1:20">
      <c r="A43" s="4">
        <v>0.11635</v>
      </c>
      <c r="B43" s="6">
        <v>7.1540000000000006E-2</v>
      </c>
      <c r="C43" s="20"/>
      <c r="D43" s="41">
        <f t="shared" si="0"/>
        <v>0.13000000000000006</v>
      </c>
      <c r="E43" s="24">
        <v>7</v>
      </c>
      <c r="F43" s="42">
        <v>0</v>
      </c>
      <c r="G43" s="20"/>
      <c r="H43" s="41"/>
      <c r="I43" s="5"/>
      <c r="J43" s="5"/>
      <c r="K43" s="5"/>
      <c r="L43" s="5"/>
      <c r="M43" s="5"/>
      <c r="N43" s="6"/>
      <c r="T43" s="87"/>
    </row>
    <row r="44" spans="1:20">
      <c r="A44" s="4">
        <v>0.11636000000000001</v>
      </c>
      <c r="B44" s="6">
        <v>7.1609999999999993E-2</v>
      </c>
      <c r="C44" s="20"/>
      <c r="D44" s="41">
        <f t="shared" si="0"/>
        <v>0.13250000000000006</v>
      </c>
      <c r="E44" s="24">
        <v>3</v>
      </c>
      <c r="F44" s="42">
        <v>0</v>
      </c>
      <c r="G44" s="20"/>
      <c r="H44" s="41"/>
      <c r="I44" s="5"/>
      <c r="J44" s="5"/>
      <c r="K44" s="5"/>
      <c r="L44" s="5"/>
      <c r="M44" s="5"/>
      <c r="N44" s="6"/>
      <c r="T44" s="87"/>
    </row>
    <row r="45" spans="1:20">
      <c r="A45" s="4">
        <v>0.1164</v>
      </c>
      <c r="B45" s="6">
        <v>7.1620000000000003E-2</v>
      </c>
      <c r="C45" s="20"/>
      <c r="D45" s="41">
        <f>+D44+0.0025</f>
        <v>0.13500000000000006</v>
      </c>
      <c r="E45" s="24">
        <v>1</v>
      </c>
      <c r="F45" s="42">
        <v>0</v>
      </c>
      <c r="G45" s="20"/>
      <c r="H45" s="41"/>
      <c r="I45" s="5"/>
      <c r="J45" s="5"/>
      <c r="K45" s="5"/>
      <c r="L45" s="5"/>
      <c r="M45" s="5"/>
      <c r="N45" s="6"/>
      <c r="T45" s="87"/>
    </row>
    <row r="46" spans="1:20">
      <c r="A46" s="4">
        <v>0.11641</v>
      </c>
      <c r="B46" s="6">
        <v>7.1620000000000003E-2</v>
      </c>
      <c r="C46" s="20"/>
      <c r="D46" s="41">
        <f t="shared" si="0"/>
        <v>0.13750000000000007</v>
      </c>
      <c r="E46" s="24">
        <v>0</v>
      </c>
      <c r="F46" s="42">
        <v>0</v>
      </c>
      <c r="G46" s="20"/>
      <c r="H46" s="41"/>
      <c r="I46" s="5"/>
      <c r="J46" s="5"/>
      <c r="K46" s="5"/>
      <c r="L46" s="5"/>
      <c r="M46" s="5"/>
      <c r="N46" s="6"/>
      <c r="T46" s="87"/>
    </row>
    <row r="47" spans="1:20">
      <c r="A47" s="4">
        <v>0.11658</v>
      </c>
      <c r="B47" s="6">
        <v>7.1669999999999998E-2</v>
      </c>
      <c r="C47" s="20"/>
      <c r="D47" s="43">
        <f t="shared" si="0"/>
        <v>0.14000000000000007</v>
      </c>
      <c r="E47" s="44">
        <v>0</v>
      </c>
      <c r="F47" s="45">
        <v>0</v>
      </c>
      <c r="G47" s="20"/>
      <c r="H47" s="41"/>
      <c r="I47" s="5"/>
      <c r="J47" s="5"/>
      <c r="K47" s="5"/>
      <c r="L47" s="5"/>
      <c r="M47" s="5"/>
      <c r="N47" s="6"/>
      <c r="T47" s="87"/>
    </row>
    <row r="48" spans="1:20">
      <c r="A48" s="4">
        <v>0.11672</v>
      </c>
      <c r="B48" s="6">
        <v>7.177E-2</v>
      </c>
      <c r="C48" s="20"/>
      <c r="D48" s="41"/>
      <c r="E48" s="24"/>
      <c r="F48" s="42"/>
      <c r="G48" s="20"/>
      <c r="H48" s="41"/>
      <c r="I48" s="5"/>
      <c r="J48" s="5"/>
      <c r="K48" s="5"/>
      <c r="L48" s="5"/>
      <c r="M48" s="5"/>
      <c r="N48" s="6"/>
      <c r="T48" s="87"/>
    </row>
    <row r="49" spans="1:20">
      <c r="A49" s="4">
        <v>0.11674</v>
      </c>
      <c r="B49" s="6">
        <v>7.1919999999999998E-2</v>
      </c>
      <c r="C49" s="20"/>
      <c r="D49" s="38" t="s">
        <v>10</v>
      </c>
      <c r="E49" s="39" t="s">
        <v>17</v>
      </c>
      <c r="F49" s="40" t="s">
        <v>16</v>
      </c>
      <c r="G49" s="20"/>
      <c r="H49" s="41"/>
      <c r="I49" s="5"/>
      <c r="J49" s="5"/>
      <c r="K49" s="5"/>
      <c r="L49" s="5"/>
      <c r="M49" s="5"/>
      <c r="N49" s="6"/>
      <c r="T49" s="87"/>
    </row>
    <row r="50" spans="1:20">
      <c r="A50" s="4">
        <v>0.11685</v>
      </c>
      <c r="B50" s="6">
        <v>7.1929999999999994E-2</v>
      </c>
      <c r="C50" s="20"/>
      <c r="D50" s="89">
        <v>2.5</v>
      </c>
      <c r="E50" s="67">
        <f t="shared" ref="E50:E71" si="1">+PERCENTILE(PAN,D50/100)</f>
        <v>0.10830000000000001</v>
      </c>
      <c r="F50" s="68">
        <f t="shared" ref="F50:F71" si="2">+PERCENTILE(PBIN,D50/100)</f>
        <v>6.7763999999999991E-2</v>
      </c>
      <c r="G50" s="20"/>
      <c r="H50" s="41"/>
      <c r="I50" s="5"/>
      <c r="J50" s="5"/>
      <c r="K50" s="5"/>
      <c r="L50" s="5"/>
      <c r="M50" s="5"/>
      <c r="N50" s="6"/>
      <c r="T50" s="87"/>
    </row>
    <row r="51" spans="1:20">
      <c r="A51" s="4">
        <v>0.11688</v>
      </c>
      <c r="B51" s="6">
        <v>7.195E-2</v>
      </c>
      <c r="C51" s="20"/>
      <c r="D51" s="41">
        <v>5</v>
      </c>
      <c r="E51" s="24">
        <f t="shared" si="1"/>
        <v>0.11019</v>
      </c>
      <c r="F51" s="42">
        <f t="shared" si="2"/>
        <v>6.8213999999999997E-2</v>
      </c>
      <c r="G51" s="20"/>
      <c r="H51" s="41"/>
      <c r="I51" s="5"/>
      <c r="J51" s="5"/>
      <c r="K51" s="5"/>
      <c r="L51" s="5"/>
      <c r="M51" s="5"/>
      <c r="N51" s="6"/>
      <c r="T51" s="87"/>
    </row>
    <row r="52" spans="1:20">
      <c r="A52" s="4">
        <v>0.11688</v>
      </c>
      <c r="B52" s="6">
        <v>7.1980000000000002E-2</v>
      </c>
      <c r="C52" s="20"/>
      <c r="D52" s="41">
        <f>+D51+5</f>
        <v>10</v>
      </c>
      <c r="E52" s="24">
        <f t="shared" si="1"/>
        <v>0.11209</v>
      </c>
      <c r="F52" s="42">
        <f t="shared" si="2"/>
        <v>6.9248000000000004E-2</v>
      </c>
      <c r="G52" s="20"/>
      <c r="H52" s="41"/>
      <c r="I52" s="5"/>
      <c r="J52" s="5"/>
      <c r="K52" s="5"/>
      <c r="L52" s="5"/>
      <c r="M52" s="5"/>
      <c r="N52" s="6"/>
      <c r="T52" s="87"/>
    </row>
    <row r="53" spans="1:20">
      <c r="A53" s="4">
        <v>0.11692</v>
      </c>
      <c r="B53" s="6">
        <v>7.2020000000000001E-2</v>
      </c>
      <c r="C53" s="20"/>
      <c r="D53" s="41">
        <f t="shared" ref="D53:D69" si="3">+D52+5</f>
        <v>15</v>
      </c>
      <c r="E53" s="24">
        <f t="shared" si="1"/>
        <v>0.11481</v>
      </c>
      <c r="F53" s="42">
        <f t="shared" si="2"/>
        <v>7.0031999999999997E-2</v>
      </c>
      <c r="G53" s="20"/>
      <c r="H53" s="41"/>
      <c r="I53" s="5"/>
      <c r="J53" s="5"/>
      <c r="K53" s="5"/>
      <c r="L53" s="5"/>
      <c r="M53" s="5"/>
      <c r="N53" s="6"/>
      <c r="T53" s="87"/>
    </row>
    <row r="54" spans="1:20">
      <c r="A54" s="4">
        <v>0.11692</v>
      </c>
      <c r="B54" s="6">
        <v>7.2020000000000001E-2</v>
      </c>
      <c r="C54" s="20"/>
      <c r="D54" s="41">
        <f t="shared" si="3"/>
        <v>20</v>
      </c>
      <c r="E54" s="24">
        <f t="shared" si="1"/>
        <v>0.11624</v>
      </c>
      <c r="F54" s="42">
        <f t="shared" si="2"/>
        <v>7.0481999999999989E-2</v>
      </c>
      <c r="G54" s="20"/>
      <c r="H54" s="41"/>
      <c r="I54" s="5"/>
      <c r="J54" s="5"/>
      <c r="K54" s="5"/>
      <c r="L54" s="5"/>
      <c r="M54" s="5"/>
      <c r="N54" s="6"/>
      <c r="T54" s="87"/>
    </row>
    <row r="55" spans="1:20">
      <c r="A55" s="4">
        <v>0.11698</v>
      </c>
      <c r="B55" s="6">
        <v>7.2020000000000001E-2</v>
      </c>
      <c r="C55" s="20"/>
      <c r="D55" s="41">
        <f t="shared" si="3"/>
        <v>25</v>
      </c>
      <c r="E55" s="24">
        <f t="shared" si="1"/>
        <v>0.11685</v>
      </c>
      <c r="F55" s="42">
        <f t="shared" si="2"/>
        <v>7.0999999999999994E-2</v>
      </c>
      <c r="G55" s="20"/>
      <c r="H55" s="41"/>
      <c r="I55" s="5"/>
      <c r="J55" s="5"/>
      <c r="K55" s="5"/>
      <c r="L55" s="5"/>
      <c r="M55" s="5"/>
      <c r="N55" s="6"/>
      <c r="T55" s="87"/>
    </row>
    <row r="56" spans="1:20">
      <c r="A56" s="4">
        <v>0.11699</v>
      </c>
      <c r="B56" s="6">
        <v>7.2050000000000003E-2</v>
      </c>
      <c r="C56" s="20"/>
      <c r="D56" s="41">
        <f t="shared" si="3"/>
        <v>30</v>
      </c>
      <c r="E56" s="24">
        <f t="shared" si="1"/>
        <v>0.11709</v>
      </c>
      <c r="F56" s="42">
        <f t="shared" si="2"/>
        <v>7.1499999999999994E-2</v>
      </c>
      <c r="G56" s="20"/>
      <c r="H56" s="41"/>
      <c r="I56" s="5"/>
      <c r="J56" s="5"/>
      <c r="K56" s="5"/>
      <c r="L56" s="5"/>
      <c r="M56" s="5"/>
      <c r="N56" s="6"/>
      <c r="T56" s="87"/>
    </row>
    <row r="57" spans="1:20">
      <c r="A57" s="4">
        <v>0.11700000000000001</v>
      </c>
      <c r="B57" s="6">
        <v>7.2059999999999999E-2</v>
      </c>
      <c r="C57" s="20"/>
      <c r="D57" s="41">
        <f t="shared" si="3"/>
        <v>35</v>
      </c>
      <c r="E57" s="24">
        <f t="shared" si="1"/>
        <v>0.11752</v>
      </c>
      <c r="F57" s="42">
        <f t="shared" si="2"/>
        <v>7.1830000000000005E-2</v>
      </c>
      <c r="G57" s="20"/>
      <c r="H57" s="43"/>
      <c r="I57" s="8"/>
      <c r="J57" s="8"/>
      <c r="K57" s="8"/>
      <c r="L57" s="8"/>
      <c r="M57" s="8"/>
      <c r="N57" s="9"/>
      <c r="T57" s="87"/>
    </row>
    <row r="58" spans="1:20">
      <c r="A58" s="4">
        <v>0.11701</v>
      </c>
      <c r="B58" s="6">
        <v>7.2109999999999994E-2</v>
      </c>
      <c r="C58" s="20"/>
      <c r="D58" s="41">
        <f t="shared" si="3"/>
        <v>40</v>
      </c>
      <c r="E58" s="24">
        <f t="shared" si="1"/>
        <v>0.1181</v>
      </c>
      <c r="F58" s="42">
        <f t="shared" si="2"/>
        <v>7.2020000000000001E-2</v>
      </c>
      <c r="G58" s="20"/>
      <c r="H58" s="20"/>
      <c r="T58" s="87"/>
    </row>
    <row r="59" spans="1:20">
      <c r="A59" s="4">
        <v>0.11709</v>
      </c>
      <c r="B59" s="6">
        <v>7.2120000000000004E-2</v>
      </c>
      <c r="C59" s="20"/>
      <c r="D59" s="41">
        <f t="shared" si="3"/>
        <v>45</v>
      </c>
      <c r="E59" s="24">
        <f t="shared" si="1"/>
        <v>0.1187</v>
      </c>
      <c r="F59" s="42">
        <f t="shared" si="2"/>
        <v>7.2188000000000002E-2</v>
      </c>
      <c r="G59" s="20"/>
      <c r="H59" s="20"/>
      <c r="T59" s="87"/>
    </row>
    <row r="60" spans="1:20" ht="34.5" customHeight="1">
      <c r="A60" s="4">
        <v>0.11712</v>
      </c>
      <c r="B60" s="6">
        <v>7.2139999999999996E-2</v>
      </c>
      <c r="C60" s="20"/>
      <c r="D60" s="66">
        <f t="shared" si="3"/>
        <v>50</v>
      </c>
      <c r="E60" s="67">
        <f t="shared" si="1"/>
        <v>0.11909</v>
      </c>
      <c r="F60" s="68">
        <f t="shared" si="2"/>
        <v>7.2480000000000003E-2</v>
      </c>
      <c r="G60" s="20"/>
      <c r="H60" s="203" t="s">
        <v>30</v>
      </c>
      <c r="I60" s="204"/>
      <c r="J60" s="204"/>
      <c r="K60" s="204"/>
      <c r="L60" s="204"/>
      <c r="M60" s="204"/>
      <c r="N60" s="205"/>
      <c r="T60" s="87"/>
    </row>
    <row r="61" spans="1:20">
      <c r="A61" s="4">
        <v>0.1172</v>
      </c>
      <c r="B61" s="6">
        <v>7.22E-2</v>
      </c>
      <c r="C61" s="20"/>
      <c r="D61" s="41">
        <f t="shared" si="3"/>
        <v>55</v>
      </c>
      <c r="E61" s="24">
        <f t="shared" si="1"/>
        <v>0.11998</v>
      </c>
      <c r="F61" s="42">
        <f t="shared" si="2"/>
        <v>7.2725999999999999E-2</v>
      </c>
      <c r="G61" s="20"/>
      <c r="H61" s="41"/>
      <c r="I61" s="5"/>
      <c r="J61" s="5"/>
      <c r="K61" s="5"/>
      <c r="L61" s="5"/>
      <c r="M61" s="5"/>
      <c r="N61" s="6"/>
      <c r="T61" s="87"/>
    </row>
    <row r="62" spans="1:20">
      <c r="A62" s="4">
        <v>0.11720999999999999</v>
      </c>
      <c r="B62" s="6">
        <v>7.2249999999999995E-2</v>
      </c>
      <c r="C62" s="20"/>
      <c r="D62" s="41">
        <f t="shared" si="3"/>
        <v>60</v>
      </c>
      <c r="E62" s="24">
        <f t="shared" si="1"/>
        <v>0.12071999999999999</v>
      </c>
      <c r="F62" s="42">
        <f t="shared" si="2"/>
        <v>7.3136000000000007E-2</v>
      </c>
      <c r="G62" s="20"/>
      <c r="H62" s="41"/>
      <c r="I62" s="5"/>
      <c r="J62" s="5"/>
      <c r="K62" s="5"/>
      <c r="L62" s="5"/>
      <c r="M62" s="5"/>
      <c r="N62" s="6"/>
      <c r="T62" s="87"/>
    </row>
    <row r="63" spans="1:20">
      <c r="A63" s="4">
        <v>0.11720999999999999</v>
      </c>
      <c r="B63" s="6">
        <v>7.2260000000000005E-2</v>
      </c>
      <c r="C63" s="20"/>
      <c r="D63" s="41">
        <f t="shared" si="3"/>
        <v>65</v>
      </c>
      <c r="E63" s="24">
        <f t="shared" si="1"/>
        <v>0.12125</v>
      </c>
      <c r="F63" s="42">
        <f t="shared" si="2"/>
        <v>7.3452000000000003E-2</v>
      </c>
      <c r="G63" s="20"/>
      <c r="H63" s="41"/>
      <c r="I63" s="5"/>
      <c r="J63" s="5"/>
      <c r="K63" s="5"/>
      <c r="L63" s="5"/>
      <c r="M63" s="5"/>
      <c r="N63" s="6"/>
      <c r="T63" s="87"/>
    </row>
    <row r="64" spans="1:20">
      <c r="A64" s="4">
        <v>0.1174</v>
      </c>
      <c r="B64" s="6">
        <v>7.2349999999999998E-2</v>
      </c>
      <c r="C64" s="20"/>
      <c r="D64" s="41">
        <f t="shared" si="3"/>
        <v>70</v>
      </c>
      <c r="E64" s="24">
        <f t="shared" si="1"/>
        <v>0.1217</v>
      </c>
      <c r="F64" s="42">
        <f t="shared" si="2"/>
        <v>7.4102000000000001E-2</v>
      </c>
      <c r="G64" s="20"/>
      <c r="H64" s="41"/>
      <c r="I64" s="5"/>
      <c r="J64" s="5"/>
      <c r="K64" s="5"/>
      <c r="L64" s="5"/>
      <c r="M64" s="5"/>
      <c r="N64" s="6"/>
      <c r="T64" s="87"/>
    </row>
    <row r="65" spans="1:20">
      <c r="A65" s="4">
        <v>0.11741</v>
      </c>
      <c r="B65" s="6">
        <v>7.2410000000000002E-2</v>
      </c>
      <c r="C65" s="20"/>
      <c r="D65" s="41">
        <f t="shared" si="3"/>
        <v>75</v>
      </c>
      <c r="E65" s="24">
        <f t="shared" si="1"/>
        <v>0.12235</v>
      </c>
      <c r="F65" s="42">
        <f t="shared" si="2"/>
        <v>7.4709999999999999E-2</v>
      </c>
      <c r="G65" s="20"/>
      <c r="H65" s="41"/>
      <c r="I65" s="5"/>
      <c r="J65" s="5"/>
      <c r="K65" s="5"/>
      <c r="L65" s="5"/>
      <c r="M65" s="5"/>
      <c r="N65" s="6"/>
      <c r="T65" s="87"/>
    </row>
    <row r="66" spans="1:20">
      <c r="A66" s="4">
        <v>0.11747</v>
      </c>
      <c r="B66" s="6">
        <v>7.2440000000000004E-2</v>
      </c>
      <c r="C66" s="20"/>
      <c r="D66" s="41">
        <f>+D65+5</f>
        <v>80</v>
      </c>
      <c r="E66" s="24">
        <f t="shared" si="1"/>
        <v>0.12357</v>
      </c>
      <c r="F66" s="42">
        <f t="shared" si="2"/>
        <v>7.5440000000000007E-2</v>
      </c>
      <c r="G66" s="20"/>
      <c r="H66" s="41"/>
      <c r="I66" s="5"/>
      <c r="J66" s="5"/>
      <c r="K66" s="5"/>
      <c r="L66" s="5"/>
      <c r="M66" s="5"/>
      <c r="N66" s="6"/>
      <c r="T66" s="87"/>
    </row>
    <row r="67" spans="1:20">
      <c r="A67" s="4">
        <v>0.11751</v>
      </c>
      <c r="B67" s="6">
        <v>7.2480000000000003E-2</v>
      </c>
      <c r="C67" s="20"/>
      <c r="D67" s="41">
        <f t="shared" si="3"/>
        <v>85</v>
      </c>
      <c r="E67" s="24">
        <f t="shared" si="1"/>
        <v>0.12467</v>
      </c>
      <c r="F67" s="42">
        <f t="shared" si="2"/>
        <v>7.6041999999999998E-2</v>
      </c>
      <c r="G67" s="20"/>
      <c r="H67" s="41"/>
      <c r="I67" s="5"/>
      <c r="J67" s="5"/>
      <c r="K67" s="5"/>
      <c r="L67" s="5"/>
      <c r="M67" s="5"/>
      <c r="N67" s="6"/>
      <c r="T67" s="87"/>
    </row>
    <row r="68" spans="1:20">
      <c r="A68" s="4">
        <v>0.11752</v>
      </c>
      <c r="B68" s="6">
        <v>7.2499999999999995E-2</v>
      </c>
      <c r="C68" s="20"/>
      <c r="D68" s="41">
        <f t="shared" si="3"/>
        <v>90</v>
      </c>
      <c r="E68" s="24">
        <f t="shared" si="1"/>
        <v>0.12656000000000001</v>
      </c>
      <c r="F68" s="42">
        <f t="shared" si="2"/>
        <v>7.6968000000000009E-2</v>
      </c>
      <c r="G68" s="20"/>
      <c r="H68" s="41"/>
      <c r="I68" s="5"/>
      <c r="J68" s="5"/>
      <c r="K68" s="5"/>
      <c r="L68" s="5"/>
      <c r="M68" s="5"/>
      <c r="N68" s="6"/>
      <c r="T68" s="87"/>
    </row>
    <row r="69" spans="1:20">
      <c r="A69" s="4">
        <v>0.11767</v>
      </c>
      <c r="B69" s="6">
        <v>7.2539999999999993E-2</v>
      </c>
      <c r="C69" s="20"/>
      <c r="D69" s="41">
        <f t="shared" si="3"/>
        <v>95</v>
      </c>
      <c r="E69" s="24">
        <f t="shared" si="1"/>
        <v>0.128</v>
      </c>
      <c r="F69" s="42">
        <f t="shared" si="2"/>
        <v>7.7736E-2</v>
      </c>
      <c r="G69" s="20"/>
      <c r="H69" s="41"/>
      <c r="I69" s="5"/>
      <c r="J69" s="5"/>
      <c r="K69" s="5"/>
      <c r="L69" s="5"/>
      <c r="M69" s="5"/>
      <c r="N69" s="6"/>
      <c r="T69" s="87"/>
    </row>
    <row r="70" spans="1:20">
      <c r="A70" s="4">
        <v>0.11769</v>
      </c>
      <c r="B70" s="6">
        <v>7.2539999999999993E-2</v>
      </c>
      <c r="C70" s="20"/>
      <c r="D70" s="66">
        <v>97.5</v>
      </c>
      <c r="E70" s="67">
        <f t="shared" si="1"/>
        <v>0.129465</v>
      </c>
      <c r="F70" s="68">
        <f t="shared" si="2"/>
        <v>7.8290999999999999E-2</v>
      </c>
      <c r="G70" s="20"/>
      <c r="H70" s="41"/>
      <c r="I70" s="5"/>
      <c r="J70" s="5"/>
      <c r="K70" s="5"/>
      <c r="L70" s="5"/>
      <c r="M70" s="5"/>
      <c r="N70" s="6"/>
      <c r="T70" s="87"/>
    </row>
    <row r="71" spans="1:20">
      <c r="A71" s="4">
        <v>0.1177</v>
      </c>
      <c r="B71" s="6">
        <v>7.2580000000000006E-2</v>
      </c>
      <c r="C71" s="20"/>
      <c r="D71" s="43">
        <f>+D69+5</f>
        <v>100</v>
      </c>
      <c r="E71" s="44">
        <f t="shared" si="1"/>
        <v>0.13333999999999999</v>
      </c>
      <c r="F71" s="45">
        <f t="shared" si="2"/>
        <v>8.2720000000000002E-2</v>
      </c>
      <c r="G71" s="20"/>
      <c r="H71" s="41"/>
      <c r="I71" s="5"/>
      <c r="J71" s="5"/>
      <c r="K71" s="5"/>
      <c r="L71" s="5"/>
      <c r="M71" s="5"/>
      <c r="N71" s="6"/>
      <c r="T71" s="87"/>
    </row>
    <row r="72" spans="1:20">
      <c r="A72" s="4">
        <v>0.11778</v>
      </c>
      <c r="B72" s="6">
        <v>7.2580000000000006E-2</v>
      </c>
      <c r="C72" s="20"/>
      <c r="D72" s="20"/>
      <c r="E72" s="20"/>
      <c r="F72" s="20"/>
      <c r="G72" s="20"/>
      <c r="H72" s="41"/>
      <c r="I72" s="5"/>
      <c r="J72" s="5"/>
      <c r="K72" s="5"/>
      <c r="L72" s="5"/>
      <c r="M72" s="5"/>
      <c r="N72" s="6"/>
      <c r="T72" s="87"/>
    </row>
    <row r="73" spans="1:20">
      <c r="A73" s="4">
        <v>0.11778</v>
      </c>
      <c r="B73" s="6">
        <v>7.2709999999999997E-2</v>
      </c>
      <c r="C73" s="20"/>
      <c r="D73" s="61" t="s">
        <v>29</v>
      </c>
      <c r="E73" s="58" t="s">
        <v>17</v>
      </c>
      <c r="F73" s="59" t="s">
        <v>16</v>
      </c>
      <c r="G73" s="20"/>
      <c r="H73" s="41"/>
      <c r="I73" s="5"/>
      <c r="J73" s="5"/>
      <c r="K73" s="5"/>
      <c r="L73" s="5"/>
      <c r="M73" s="5"/>
      <c r="N73" s="6"/>
      <c r="T73" s="87"/>
    </row>
    <row r="74" spans="1:20">
      <c r="A74" s="4">
        <v>0.11783</v>
      </c>
      <c r="B74" s="6">
        <v>7.2789999999999994E-2</v>
      </c>
      <c r="C74" s="20"/>
      <c r="D74" s="41"/>
      <c r="E74" s="1" t="s">
        <v>22</v>
      </c>
      <c r="F74" s="3" t="s">
        <v>22</v>
      </c>
      <c r="G74" s="20"/>
      <c r="H74" s="41"/>
      <c r="I74" s="5"/>
      <c r="J74" s="5"/>
      <c r="K74" s="5"/>
      <c r="L74" s="5"/>
      <c r="M74" s="5"/>
      <c r="N74" s="6"/>
      <c r="T74" s="87"/>
    </row>
    <row r="75" spans="1:20" ht="25.5">
      <c r="A75" s="4">
        <v>0.11787</v>
      </c>
      <c r="B75" s="6">
        <v>7.2830000000000006E-2</v>
      </c>
      <c r="C75" s="20"/>
      <c r="D75" s="62" t="s">
        <v>28</v>
      </c>
      <c r="E75" s="2">
        <f>+E77+E11</f>
        <v>0.12012876855789192</v>
      </c>
      <c r="F75" s="3">
        <f>+F77+F11</f>
        <v>7.3414631442725892E-2</v>
      </c>
      <c r="G75" s="20"/>
      <c r="H75" s="43"/>
      <c r="I75" s="8"/>
      <c r="J75" s="8"/>
      <c r="K75" s="8"/>
      <c r="L75" s="8"/>
      <c r="M75" s="8"/>
      <c r="N75" s="9"/>
      <c r="T75" s="87"/>
    </row>
    <row r="76" spans="1:20" ht="25.5">
      <c r="A76" s="4">
        <v>0.11794</v>
      </c>
      <c r="B76" s="6">
        <v>7.2959999999999997E-2</v>
      </c>
      <c r="C76" s="20"/>
      <c r="D76" s="60" t="s">
        <v>27</v>
      </c>
      <c r="E76" s="5">
        <f>+E77-E11</f>
        <v>0.11855023696697006</v>
      </c>
      <c r="F76" s="6">
        <f>+F77-F11</f>
        <v>7.2368888557274108E-2</v>
      </c>
      <c r="G76" s="20"/>
      <c r="H76" s="20"/>
      <c r="T76" s="87"/>
    </row>
    <row r="77" spans="1:20">
      <c r="A77" s="4">
        <v>0.1181</v>
      </c>
      <c r="B77" s="6">
        <v>7.2999999999999995E-2</v>
      </c>
      <c r="C77" s="20"/>
      <c r="D77" s="57" t="s">
        <v>7</v>
      </c>
      <c r="E77" s="64">
        <f>AVERAGE(PAN)</f>
        <v>0.11933950276243099</v>
      </c>
      <c r="F77" s="36">
        <f>AVERAGE(PBIN)</f>
        <v>7.289176E-2</v>
      </c>
      <c r="G77" s="20"/>
      <c r="H77" s="20"/>
      <c r="T77" s="87"/>
    </row>
    <row r="78" spans="1:20">
      <c r="A78" s="4">
        <v>0.11815000000000001</v>
      </c>
      <c r="B78" s="6">
        <v>7.3010000000000005E-2</v>
      </c>
      <c r="C78" s="20"/>
      <c r="G78" s="20"/>
      <c r="H78" s="20"/>
      <c r="T78" s="87"/>
    </row>
    <row r="79" spans="1:20">
      <c r="A79" s="4">
        <v>0.11821</v>
      </c>
      <c r="B79" s="6">
        <v>7.3099999999999998E-2</v>
      </c>
      <c r="C79" s="20"/>
      <c r="G79" s="20"/>
      <c r="H79" s="20"/>
      <c r="T79" s="87"/>
    </row>
    <row r="80" spans="1:20">
      <c r="A80" s="4">
        <v>0.11831</v>
      </c>
      <c r="B80" s="6">
        <v>7.3190000000000005E-2</v>
      </c>
      <c r="C80" s="20"/>
      <c r="D80" s="20"/>
      <c r="E80" s="88"/>
      <c r="F80" s="88"/>
      <c r="G80" s="88"/>
      <c r="H80" s="88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1:8">
      <c r="A81" s="4">
        <v>0.11835</v>
      </c>
      <c r="B81" s="6">
        <v>7.3209999999999997E-2</v>
      </c>
      <c r="C81" s="20"/>
      <c r="D81" s="20"/>
      <c r="E81" s="88"/>
      <c r="F81" s="20"/>
      <c r="G81" s="20"/>
      <c r="H81" s="20"/>
    </row>
    <row r="82" spans="1:8">
      <c r="A82" s="4">
        <v>0.11846</v>
      </c>
      <c r="B82" s="6">
        <v>7.324E-2</v>
      </c>
      <c r="C82" s="20"/>
      <c r="D82" s="20"/>
      <c r="E82" s="88"/>
      <c r="F82" s="20"/>
      <c r="G82" s="20"/>
      <c r="H82" s="20"/>
    </row>
    <row r="83" spans="1:8">
      <c r="A83" s="4">
        <v>0.11847000000000001</v>
      </c>
      <c r="B83" s="6">
        <v>7.3249999999999996E-2</v>
      </c>
      <c r="C83" s="20"/>
      <c r="D83" s="20"/>
      <c r="E83" s="88"/>
      <c r="F83" s="20"/>
      <c r="G83" s="20"/>
      <c r="H83" s="20"/>
    </row>
    <row r="84" spans="1:8">
      <c r="A84" s="4">
        <v>0.11855</v>
      </c>
      <c r="B84" s="6">
        <v>7.3419999999999999E-2</v>
      </c>
      <c r="C84" s="20"/>
      <c r="D84" s="20"/>
      <c r="E84" s="88"/>
      <c r="F84" s="20"/>
      <c r="G84" s="20"/>
      <c r="H84" s="20"/>
    </row>
    <row r="85" spans="1:8">
      <c r="A85" s="4">
        <v>0.11856999999999999</v>
      </c>
      <c r="B85" s="6">
        <v>7.3440000000000005E-2</v>
      </c>
      <c r="C85" s="20"/>
      <c r="D85" s="20"/>
      <c r="E85" s="88"/>
      <c r="F85" s="20"/>
      <c r="G85" s="20"/>
      <c r="H85" s="20"/>
    </row>
    <row r="86" spans="1:8">
      <c r="A86" s="4">
        <v>0.1187</v>
      </c>
      <c r="B86" s="6">
        <v>7.3459999999999998E-2</v>
      </c>
      <c r="C86" s="20"/>
      <c r="D86" s="20"/>
      <c r="E86" s="88"/>
      <c r="F86" s="20"/>
      <c r="G86" s="20"/>
      <c r="H86" s="20"/>
    </row>
    <row r="87" spans="1:8">
      <c r="A87" s="4">
        <v>0.11876</v>
      </c>
      <c r="B87" s="6">
        <v>7.374E-2</v>
      </c>
      <c r="C87" s="20"/>
      <c r="D87" s="20"/>
      <c r="E87" s="88"/>
      <c r="F87" s="20"/>
      <c r="G87" s="20"/>
      <c r="H87" s="20"/>
    </row>
    <row r="88" spans="1:8">
      <c r="A88" s="4">
        <v>0.11881</v>
      </c>
      <c r="B88" s="6">
        <v>7.3889999999999997E-2</v>
      </c>
      <c r="C88" s="20"/>
      <c r="D88" s="20"/>
      <c r="E88" s="88"/>
      <c r="F88" s="20"/>
      <c r="G88" s="20"/>
      <c r="H88" s="20"/>
    </row>
    <row r="89" spans="1:8">
      <c r="A89" s="4">
        <v>0.11891</v>
      </c>
      <c r="B89" s="6">
        <v>7.3959999999999998E-2</v>
      </c>
      <c r="C89" s="20"/>
      <c r="D89" s="20"/>
      <c r="E89" s="88"/>
      <c r="F89" s="20"/>
      <c r="G89" s="20"/>
      <c r="H89" s="20"/>
    </row>
    <row r="90" spans="1:8">
      <c r="A90" s="4">
        <v>0.11891</v>
      </c>
      <c r="B90" s="6">
        <v>7.4020000000000002E-2</v>
      </c>
      <c r="C90" s="20"/>
      <c r="D90" s="20"/>
      <c r="E90" s="88"/>
      <c r="F90" s="20"/>
      <c r="G90" s="20"/>
      <c r="H90" s="20"/>
    </row>
    <row r="91" spans="1:8">
      <c r="A91" s="4">
        <v>0.11902</v>
      </c>
      <c r="B91" s="6">
        <v>7.4069999999999997E-2</v>
      </c>
      <c r="C91" s="20"/>
      <c r="D91" s="20"/>
      <c r="E91" s="88"/>
      <c r="F91" s="20"/>
      <c r="G91" s="20"/>
      <c r="H91" s="20"/>
    </row>
    <row r="92" spans="1:8">
      <c r="A92" s="4">
        <v>0.11905</v>
      </c>
      <c r="B92" s="6">
        <v>7.4109999999999995E-2</v>
      </c>
      <c r="C92" s="20"/>
      <c r="D92" s="20"/>
      <c r="E92" s="88"/>
      <c r="F92" s="20"/>
      <c r="G92" s="20"/>
      <c r="H92" s="20"/>
    </row>
    <row r="93" spans="1:8">
      <c r="A93" s="4">
        <v>0.11906</v>
      </c>
      <c r="B93" s="6">
        <v>7.4389999999999998E-2</v>
      </c>
      <c r="C93" s="20"/>
      <c r="D93" s="20"/>
      <c r="E93" s="88"/>
      <c r="F93" s="20"/>
      <c r="G93" s="20"/>
      <c r="H93" s="20"/>
    </row>
    <row r="94" spans="1:8">
      <c r="A94" s="4">
        <v>0.11907</v>
      </c>
      <c r="B94" s="6">
        <v>7.4579999999999994E-2</v>
      </c>
      <c r="C94" s="20"/>
      <c r="D94" s="20"/>
      <c r="E94" s="88"/>
      <c r="F94" s="20"/>
      <c r="G94" s="20"/>
      <c r="H94" s="20"/>
    </row>
    <row r="95" spans="1:8">
      <c r="A95" s="4">
        <v>0.11909</v>
      </c>
      <c r="B95" s="6">
        <v>7.46E-2</v>
      </c>
      <c r="C95" s="20"/>
      <c r="D95" s="20"/>
      <c r="E95" s="88"/>
      <c r="F95" s="20"/>
      <c r="G95" s="20"/>
      <c r="H95" s="20"/>
    </row>
    <row r="96" spans="1:8">
      <c r="A96" s="4">
        <v>0.11910999999999999</v>
      </c>
      <c r="B96" s="6">
        <v>7.4649999999999994E-2</v>
      </c>
      <c r="C96" s="20"/>
      <c r="D96" s="20"/>
      <c r="E96" s="88"/>
      <c r="F96" s="20"/>
      <c r="G96" s="20"/>
      <c r="H96" s="20"/>
    </row>
    <row r="97" spans="1:8">
      <c r="A97" s="4">
        <v>0.11912</v>
      </c>
      <c r="B97" s="6">
        <v>7.467E-2</v>
      </c>
      <c r="C97" s="20"/>
      <c r="D97" s="20"/>
      <c r="E97" s="88"/>
      <c r="F97" s="20"/>
      <c r="G97" s="20"/>
      <c r="H97" s="20"/>
    </row>
    <row r="98" spans="1:8">
      <c r="A98" s="4">
        <v>0.11942</v>
      </c>
      <c r="B98" s="6">
        <v>7.4709999999999999E-2</v>
      </c>
      <c r="C98" s="20"/>
      <c r="D98" s="20"/>
      <c r="E98" s="88"/>
      <c r="F98" s="20"/>
      <c r="G98" s="20"/>
      <c r="H98" s="20"/>
    </row>
    <row r="99" spans="1:8">
      <c r="A99" s="4">
        <v>0.1195</v>
      </c>
      <c r="B99" s="6">
        <v>7.4800000000000005E-2</v>
      </c>
      <c r="C99" s="20"/>
      <c r="D99" s="20"/>
      <c r="E99" s="88"/>
      <c r="F99" s="20"/>
      <c r="G99" s="20"/>
      <c r="H99" s="20"/>
    </row>
    <row r="100" spans="1:8">
      <c r="A100" s="4">
        <v>0.11962</v>
      </c>
      <c r="B100" s="6">
        <v>7.4910000000000004E-2</v>
      </c>
      <c r="C100" s="20"/>
      <c r="D100" s="20"/>
      <c r="E100" s="88"/>
      <c r="F100" s="20"/>
      <c r="G100" s="20"/>
    </row>
    <row r="101" spans="1:8">
      <c r="A101" s="4">
        <v>0.11988</v>
      </c>
      <c r="B101" s="6">
        <v>7.4959999999999999E-2</v>
      </c>
      <c r="D101" s="20"/>
      <c r="E101" s="88"/>
      <c r="F101" s="20"/>
    </row>
    <row r="102" spans="1:8">
      <c r="A102" s="4">
        <v>0.11995</v>
      </c>
      <c r="B102" s="6">
        <v>7.5310000000000002E-2</v>
      </c>
      <c r="D102" s="20"/>
      <c r="E102" s="88"/>
      <c r="F102" s="20"/>
    </row>
    <row r="103" spans="1:8">
      <c r="A103" s="4">
        <v>0.11996</v>
      </c>
      <c r="B103" s="6">
        <v>7.5370000000000006E-2</v>
      </c>
      <c r="D103" s="20"/>
      <c r="E103" s="88"/>
      <c r="F103" s="20"/>
    </row>
    <row r="104" spans="1:8">
      <c r="A104" s="4">
        <v>0.11998</v>
      </c>
      <c r="B104" s="6">
        <v>7.5420000000000001E-2</v>
      </c>
      <c r="D104" s="20"/>
      <c r="E104" s="88"/>
      <c r="F104" s="20"/>
    </row>
    <row r="105" spans="1:8">
      <c r="A105" s="4">
        <v>0.12</v>
      </c>
      <c r="B105" s="6">
        <v>7.5520000000000004E-2</v>
      </c>
      <c r="D105" s="20"/>
      <c r="E105" s="88"/>
      <c r="F105" s="20"/>
    </row>
    <row r="106" spans="1:8">
      <c r="A106" s="4">
        <v>0.12003</v>
      </c>
      <c r="B106" s="6">
        <v>7.5689999999999993E-2</v>
      </c>
      <c r="D106" s="20"/>
      <c r="E106" s="88"/>
      <c r="F106" s="20"/>
    </row>
    <row r="107" spans="1:8">
      <c r="A107" s="4">
        <v>0.12005</v>
      </c>
      <c r="B107" s="6">
        <v>7.5700000000000003E-2</v>
      </c>
      <c r="D107" s="20"/>
      <c r="E107" s="88"/>
      <c r="F107" s="20"/>
    </row>
    <row r="108" spans="1:8">
      <c r="A108" s="4">
        <v>0.12021</v>
      </c>
      <c r="B108" s="6">
        <v>7.571E-2</v>
      </c>
      <c r="E108" s="88"/>
      <c r="F108" s="20"/>
    </row>
    <row r="109" spans="1:8">
      <c r="A109" s="4">
        <v>0.12032</v>
      </c>
      <c r="B109" s="6">
        <v>7.5899999999999995E-2</v>
      </c>
      <c r="E109" s="88"/>
      <c r="F109" s="20"/>
    </row>
    <row r="110" spans="1:8">
      <c r="A110" s="4">
        <v>0.12058000000000001</v>
      </c>
      <c r="B110" s="6">
        <v>7.5950000000000004E-2</v>
      </c>
      <c r="E110" s="88"/>
      <c r="F110" s="20"/>
    </row>
    <row r="111" spans="1:8">
      <c r="A111" s="4">
        <v>0.12063</v>
      </c>
      <c r="B111" s="6">
        <v>7.6179999999999998E-2</v>
      </c>
      <c r="E111" s="88"/>
      <c r="F111" s="20"/>
    </row>
    <row r="112" spans="1:8">
      <c r="A112" s="4">
        <v>0.12064999999999999</v>
      </c>
      <c r="B112" s="6">
        <v>7.6579999999999995E-2</v>
      </c>
      <c r="E112" s="88"/>
      <c r="F112" s="20"/>
    </row>
    <row r="113" spans="1:6">
      <c r="A113" s="4">
        <v>0.12071999999999999</v>
      </c>
      <c r="B113" s="6">
        <v>7.6679999999999998E-2</v>
      </c>
      <c r="E113" s="88"/>
      <c r="F113" s="20"/>
    </row>
    <row r="114" spans="1:6">
      <c r="A114" s="4">
        <v>0.12075</v>
      </c>
      <c r="B114" s="6">
        <v>7.6880000000000004E-2</v>
      </c>
      <c r="E114" s="88"/>
      <c r="F114" s="20"/>
    </row>
    <row r="115" spans="1:6">
      <c r="A115" s="4">
        <v>0.12078999999999999</v>
      </c>
      <c r="B115" s="6">
        <v>7.6899999999999996E-2</v>
      </c>
      <c r="E115" s="88"/>
    </row>
    <row r="116" spans="1:6">
      <c r="A116" s="4">
        <v>0.121</v>
      </c>
      <c r="B116" s="6">
        <v>7.6950000000000005E-2</v>
      </c>
      <c r="E116" s="88"/>
    </row>
    <row r="117" spans="1:6">
      <c r="A117" s="4">
        <v>0.121</v>
      </c>
      <c r="B117" s="6">
        <v>7.6980000000000007E-2</v>
      </c>
      <c r="E117" s="88"/>
    </row>
    <row r="118" spans="1:6">
      <c r="A118" s="4">
        <v>0.12106</v>
      </c>
      <c r="B118" s="6">
        <v>7.714E-2</v>
      </c>
      <c r="E118" s="88"/>
    </row>
    <row r="119" spans="1:6">
      <c r="A119" s="4">
        <v>0.12114999999999999</v>
      </c>
      <c r="B119" s="6">
        <v>7.7299999999999994E-2</v>
      </c>
      <c r="E119" s="88"/>
    </row>
    <row r="120" spans="1:6">
      <c r="A120" s="4">
        <v>0.12114999999999999</v>
      </c>
      <c r="B120" s="6">
        <v>7.7530000000000002E-2</v>
      </c>
      <c r="E120" s="88"/>
    </row>
    <row r="121" spans="1:6">
      <c r="A121" s="4">
        <v>0.12116</v>
      </c>
      <c r="B121" s="6">
        <v>7.7539999999999998E-2</v>
      </c>
      <c r="E121" s="88"/>
    </row>
    <row r="122" spans="1:6">
      <c r="A122" s="4">
        <v>0.12125</v>
      </c>
      <c r="B122" s="6">
        <v>7.7560000000000004E-2</v>
      </c>
      <c r="E122" s="88"/>
    </row>
    <row r="123" spans="1:6">
      <c r="A123" s="4">
        <v>0.12129</v>
      </c>
      <c r="B123" s="6">
        <v>7.7780000000000002E-2</v>
      </c>
      <c r="E123" s="88"/>
    </row>
    <row r="124" spans="1:6">
      <c r="A124" s="4">
        <v>0.12134</v>
      </c>
      <c r="B124" s="6">
        <v>7.7850000000000003E-2</v>
      </c>
      <c r="E124" s="88"/>
    </row>
    <row r="125" spans="1:6">
      <c r="A125" s="4">
        <v>0.12141</v>
      </c>
      <c r="B125" s="6">
        <v>7.8210000000000002E-2</v>
      </c>
      <c r="E125" s="88"/>
    </row>
    <row r="126" spans="1:6">
      <c r="A126" s="4">
        <v>0.1216</v>
      </c>
      <c r="B126" s="6">
        <v>7.8299999999999995E-2</v>
      </c>
      <c r="E126" s="88"/>
    </row>
    <row r="127" spans="1:6">
      <c r="A127" s="4">
        <v>0.12164</v>
      </c>
      <c r="B127" s="6">
        <v>7.8649999999999998E-2</v>
      </c>
      <c r="E127" s="88"/>
    </row>
    <row r="128" spans="1:6">
      <c r="A128" s="4">
        <v>0.12164</v>
      </c>
      <c r="B128" s="6">
        <v>8.1610000000000002E-2</v>
      </c>
      <c r="E128" s="88"/>
    </row>
    <row r="129" spans="1:5">
      <c r="A129" s="4">
        <v>0.12164999999999999</v>
      </c>
      <c r="B129" s="6">
        <v>8.2720000000000002E-2</v>
      </c>
      <c r="E129" s="88"/>
    </row>
    <row r="130" spans="1:5">
      <c r="A130" s="4">
        <v>0.12166</v>
      </c>
      <c r="B130" s="6"/>
      <c r="E130" s="88"/>
    </row>
    <row r="131" spans="1:5">
      <c r="A131" s="4">
        <v>0.1217</v>
      </c>
      <c r="B131" s="6"/>
      <c r="E131" s="88"/>
    </row>
    <row r="132" spans="1:5">
      <c r="A132" s="4">
        <v>0.12184</v>
      </c>
      <c r="B132" s="6"/>
      <c r="E132" s="88"/>
    </row>
    <row r="133" spans="1:5">
      <c r="A133" s="4">
        <v>0.12197</v>
      </c>
      <c r="B133" s="6"/>
      <c r="E133" s="88"/>
    </row>
    <row r="134" spans="1:5">
      <c r="A134" s="4">
        <v>0.122</v>
      </c>
      <c r="B134" s="6"/>
      <c r="E134" s="88"/>
    </row>
    <row r="135" spans="1:5">
      <c r="A135" s="4">
        <v>0.12203</v>
      </c>
      <c r="B135" s="6"/>
      <c r="E135" s="88"/>
    </row>
    <row r="136" spans="1:5">
      <c r="A136" s="4">
        <v>0.12212000000000001</v>
      </c>
      <c r="B136" s="6"/>
      <c r="E136" s="88"/>
    </row>
    <row r="137" spans="1:5">
      <c r="A137" s="4">
        <v>0.12221</v>
      </c>
      <c r="B137" s="6"/>
      <c r="E137" s="88"/>
    </row>
    <row r="138" spans="1:5">
      <c r="A138" s="4">
        <v>0.12225999999999999</v>
      </c>
      <c r="B138" s="6"/>
      <c r="E138" s="88"/>
    </row>
    <row r="139" spans="1:5">
      <c r="A139" s="4">
        <v>0.12232</v>
      </c>
      <c r="B139" s="6"/>
      <c r="E139" s="88"/>
    </row>
    <row r="140" spans="1:5">
      <c r="A140" s="4">
        <v>0.12235</v>
      </c>
      <c r="B140" s="6"/>
      <c r="E140" s="88"/>
    </row>
    <row r="141" spans="1:5">
      <c r="A141" s="4">
        <v>0.12243</v>
      </c>
      <c r="B141" s="6"/>
      <c r="E141" s="88"/>
    </row>
    <row r="142" spans="1:5">
      <c r="A142" s="4">
        <v>0.12249</v>
      </c>
      <c r="B142" s="6"/>
      <c r="E142" s="88"/>
    </row>
    <row r="143" spans="1:5">
      <c r="A143" s="4">
        <v>0.12259</v>
      </c>
      <c r="B143" s="6"/>
      <c r="E143" s="88"/>
    </row>
    <row r="144" spans="1:5">
      <c r="A144" s="4">
        <v>0.12268</v>
      </c>
      <c r="B144" s="6"/>
      <c r="E144" s="88"/>
    </row>
    <row r="145" spans="1:5">
      <c r="A145" s="4">
        <v>0.12285</v>
      </c>
      <c r="B145" s="6"/>
      <c r="E145" s="88"/>
    </row>
    <row r="146" spans="1:5">
      <c r="A146" s="4">
        <v>0.12321</v>
      </c>
      <c r="B146" s="6"/>
      <c r="E146" s="88"/>
    </row>
    <row r="147" spans="1:5">
      <c r="A147" s="4">
        <v>0.12329</v>
      </c>
      <c r="B147" s="6"/>
      <c r="E147" s="88"/>
    </row>
    <row r="148" spans="1:5">
      <c r="A148" s="4">
        <v>0.12347</v>
      </c>
      <c r="B148" s="6"/>
      <c r="E148" s="88"/>
    </row>
    <row r="149" spans="1:5">
      <c r="A149" s="4">
        <v>0.12357</v>
      </c>
      <c r="B149" s="6"/>
      <c r="E149" s="88"/>
    </row>
    <row r="150" spans="1:5">
      <c r="A150" s="4">
        <v>0.12361999999999999</v>
      </c>
      <c r="B150" s="6"/>
      <c r="E150" s="88"/>
    </row>
    <row r="151" spans="1:5">
      <c r="A151" s="4">
        <v>0.12363</v>
      </c>
      <c r="B151" s="6"/>
      <c r="E151" s="88"/>
    </row>
    <row r="152" spans="1:5">
      <c r="A152" s="4">
        <v>0.12368999999999999</v>
      </c>
      <c r="B152" s="6"/>
      <c r="E152" s="88"/>
    </row>
    <row r="153" spans="1:5">
      <c r="A153" s="4">
        <v>0.12384000000000001</v>
      </c>
      <c r="B153" s="6"/>
      <c r="E153" s="88"/>
    </row>
    <row r="154" spans="1:5">
      <c r="A154" s="4">
        <v>0.12404999999999999</v>
      </c>
      <c r="B154" s="6"/>
      <c r="E154" s="88"/>
    </row>
    <row r="155" spans="1:5">
      <c r="A155" s="4">
        <v>0.12404999999999999</v>
      </c>
      <c r="B155" s="6"/>
      <c r="E155" s="88"/>
    </row>
    <row r="156" spans="1:5">
      <c r="A156" s="4">
        <v>0.12411</v>
      </c>
      <c r="B156" s="6"/>
      <c r="E156" s="88"/>
    </row>
    <row r="157" spans="1:5">
      <c r="A157" s="4">
        <v>0.12431</v>
      </c>
      <c r="B157" s="6"/>
      <c r="E157" s="88"/>
    </row>
    <row r="158" spans="1:5">
      <c r="A158" s="4">
        <v>0.12467</v>
      </c>
      <c r="B158" s="6"/>
      <c r="E158" s="88"/>
    </row>
    <row r="159" spans="1:5">
      <c r="A159" s="4">
        <v>0.12470000000000001</v>
      </c>
      <c r="B159" s="6"/>
      <c r="E159" s="88"/>
    </row>
    <row r="160" spans="1:5">
      <c r="A160" s="4">
        <v>0.12493</v>
      </c>
      <c r="B160" s="6"/>
      <c r="E160" s="88"/>
    </row>
    <row r="161" spans="1:5">
      <c r="A161" s="4">
        <v>0.12523999999999999</v>
      </c>
      <c r="B161" s="6"/>
      <c r="E161" s="88"/>
    </row>
    <row r="162" spans="1:5">
      <c r="A162" s="4">
        <v>0.1255</v>
      </c>
      <c r="B162" s="6"/>
      <c r="E162" s="88"/>
    </row>
    <row r="163" spans="1:5">
      <c r="A163" s="4">
        <v>0.12554000000000001</v>
      </c>
      <c r="B163" s="6"/>
      <c r="E163" s="88"/>
    </row>
    <row r="164" spans="1:5">
      <c r="A164" s="4">
        <v>0.12587999999999999</v>
      </c>
      <c r="B164" s="6"/>
      <c r="E164" s="88"/>
    </row>
    <row r="165" spans="1:5">
      <c r="A165" s="4">
        <v>0.12594</v>
      </c>
      <c r="B165" s="6"/>
      <c r="E165" s="88"/>
    </row>
    <row r="166" spans="1:5">
      <c r="A166" s="4">
        <v>0.12647</v>
      </c>
      <c r="B166" s="6"/>
      <c r="E166" s="88"/>
    </row>
    <row r="167" spans="1:5">
      <c r="A167" s="4">
        <v>0.12656000000000001</v>
      </c>
      <c r="B167" s="6"/>
      <c r="E167" s="88"/>
    </row>
    <row r="168" spans="1:5">
      <c r="A168" s="4">
        <v>0.12659999999999999</v>
      </c>
      <c r="B168" s="6"/>
      <c r="E168" s="88"/>
    </row>
    <row r="169" spans="1:5">
      <c r="A169" s="4">
        <v>0.12687999999999999</v>
      </c>
      <c r="B169" s="6"/>
      <c r="E169" s="88"/>
    </row>
    <row r="170" spans="1:5">
      <c r="A170" s="4">
        <v>0.12698000000000001</v>
      </c>
      <c r="B170" s="6"/>
      <c r="E170" s="88"/>
    </row>
    <row r="171" spans="1:5">
      <c r="A171" s="4">
        <v>0.12701000000000001</v>
      </c>
      <c r="B171" s="6"/>
      <c r="E171" s="88"/>
    </row>
    <row r="172" spans="1:5">
      <c r="A172" s="4">
        <v>0.12717000000000001</v>
      </c>
      <c r="B172" s="6"/>
      <c r="E172" s="88"/>
    </row>
    <row r="173" spans="1:5">
      <c r="A173" s="4">
        <v>0.12737000000000001</v>
      </c>
      <c r="B173" s="6"/>
      <c r="E173" s="88"/>
    </row>
    <row r="174" spans="1:5">
      <c r="A174" s="4">
        <v>0.12742000000000001</v>
      </c>
      <c r="B174" s="6"/>
      <c r="E174" s="88"/>
    </row>
    <row r="175" spans="1:5">
      <c r="A175" s="4">
        <v>0.12791</v>
      </c>
      <c r="B175" s="6"/>
      <c r="E175" s="88"/>
    </row>
    <row r="176" spans="1:5">
      <c r="A176" s="4">
        <v>0.128</v>
      </c>
      <c r="B176" s="6"/>
      <c r="E176" s="88"/>
    </row>
    <row r="177" spans="1:5">
      <c r="A177" s="4">
        <v>0.12831999999999999</v>
      </c>
      <c r="B177" s="6"/>
      <c r="E177" s="88"/>
    </row>
    <row r="178" spans="1:5">
      <c r="A178" s="4">
        <v>0.12851000000000001</v>
      </c>
      <c r="B178" s="6"/>
      <c r="E178" s="88"/>
    </row>
    <row r="179" spans="1:5">
      <c r="A179" s="4">
        <v>0.12909000000000001</v>
      </c>
      <c r="B179" s="6"/>
      <c r="E179" s="88"/>
    </row>
    <row r="180" spans="1:5">
      <c r="A180" s="4">
        <v>0.12909000000000001</v>
      </c>
      <c r="B180" s="6"/>
      <c r="E180" s="88"/>
    </row>
    <row r="181" spans="1:5">
      <c r="A181" s="4">
        <v>0.12984000000000001</v>
      </c>
      <c r="B181" s="6"/>
      <c r="E181" s="88"/>
    </row>
    <row r="182" spans="1:5">
      <c r="A182" s="4">
        <v>0.13023000000000001</v>
      </c>
      <c r="B182" s="6"/>
      <c r="E182" s="88"/>
    </row>
    <row r="183" spans="1:5">
      <c r="A183" s="4">
        <v>0.13053999999999999</v>
      </c>
      <c r="B183" s="6"/>
      <c r="E183" s="88"/>
    </row>
    <row r="184" spans="1:5">
      <c r="A184" s="4">
        <v>0.13095999999999999</v>
      </c>
      <c r="B184" s="6"/>
      <c r="E184" s="88"/>
    </row>
    <row r="185" spans="1:5">
      <c r="A185" s="7">
        <v>0.13333999999999999</v>
      </c>
      <c r="B185" s="9"/>
      <c r="E185" s="88"/>
    </row>
    <row r="186" spans="1:5">
      <c r="E186" s="88"/>
    </row>
    <row r="187" spans="1:5">
      <c r="E187" s="88"/>
    </row>
    <row r="188" spans="1:5">
      <c r="A188" s="87"/>
      <c r="B188" s="87"/>
      <c r="C188" s="88"/>
      <c r="D188" s="88"/>
      <c r="E188" s="88"/>
    </row>
    <row r="383" spans="2:2">
      <c r="B383">
        <v>7.6759999999999995E-2</v>
      </c>
    </row>
    <row r="387" spans="2:2">
      <c r="B387">
        <v>7.2910000000000003E-2</v>
      </c>
    </row>
    <row r="389" spans="2:2">
      <c r="B389">
        <v>6.241E-2</v>
      </c>
    </row>
    <row r="390" spans="2:2">
      <c r="B390">
        <v>7.5719999999999996E-2</v>
      </c>
    </row>
    <row r="391" spans="2:2">
      <c r="B391">
        <v>7.0370000000000002E-2</v>
      </c>
    </row>
    <row r="395" spans="2:2">
      <c r="B395">
        <v>7.0150000000000004E-2</v>
      </c>
    </row>
    <row r="399" spans="2:2">
      <c r="B399">
        <v>7.5289999999999996E-2</v>
      </c>
    </row>
    <row r="407" spans="2:2">
      <c r="B407">
        <v>6.9150000000000003E-2</v>
      </c>
    </row>
    <row r="409" spans="2:2">
      <c r="B409">
        <v>7.1179999999999993E-2</v>
      </c>
    </row>
    <row r="410" spans="2:2">
      <c r="B410">
        <v>7.2029999999999997E-2</v>
      </c>
    </row>
    <row r="411" spans="2:2">
      <c r="B411">
        <v>7.1650000000000005E-2</v>
      </c>
    </row>
    <row r="412" spans="2:2">
      <c r="B412">
        <v>7.7990000000000004E-2</v>
      </c>
    </row>
    <row r="413" spans="2:2">
      <c r="B413">
        <v>7.7130000000000004E-2</v>
      </c>
    </row>
    <row r="414" spans="2:2">
      <c r="B414">
        <v>7.3580000000000007E-2</v>
      </c>
    </row>
    <row r="415" spans="2:2">
      <c r="B415">
        <v>7.0169999999999996E-2</v>
      </c>
    </row>
    <row r="418" spans="2:2">
      <c r="B418">
        <v>8.0369999999999997E-2</v>
      </c>
    </row>
    <row r="419" spans="2:2">
      <c r="B419">
        <v>7.4020000000000002E-2</v>
      </c>
    </row>
    <row r="420" spans="2:2">
      <c r="B420">
        <v>7.2069999999999995E-2</v>
      </c>
    </row>
    <row r="422" spans="2:2">
      <c r="B422">
        <v>7.671E-2</v>
      </c>
    </row>
    <row r="423" spans="2:2">
      <c r="B423">
        <v>7.7670000000000003E-2</v>
      </c>
    </row>
    <row r="424" spans="2:2">
      <c r="B424">
        <v>7.4859999999999996E-2</v>
      </c>
    </row>
    <row r="427" spans="2:2">
      <c r="B427">
        <v>7.2419999999999998E-2</v>
      </c>
    </row>
    <row r="428" spans="2:2">
      <c r="B428">
        <v>7.7859999999999999E-2</v>
      </c>
    </row>
    <row r="429" spans="2:2">
      <c r="B429">
        <v>7.9589999999999994E-2</v>
      </c>
    </row>
    <row r="430" spans="2:2">
      <c r="B430">
        <v>7.5109999999999996E-2</v>
      </c>
    </row>
    <row r="431" spans="2:2">
      <c r="B431">
        <v>7.1870000000000003E-2</v>
      </c>
    </row>
    <row r="435" spans="2:2">
      <c r="B435">
        <v>7.7950000000000005E-2</v>
      </c>
    </row>
    <row r="436" spans="2:2">
      <c r="B436">
        <v>7.4060000000000001E-2</v>
      </c>
    </row>
    <row r="437" spans="2:2">
      <c r="B437">
        <v>7.5770000000000004E-2</v>
      </c>
    </row>
    <row r="440" spans="2:2">
      <c r="B440">
        <v>7.4499999999999997E-2</v>
      </c>
    </row>
    <row r="442" spans="2:2">
      <c r="B442">
        <v>7.4999999999999997E-2</v>
      </c>
    </row>
    <row r="443" spans="2:2">
      <c r="B443">
        <v>7.5719999999999996E-2</v>
      </c>
    </row>
    <row r="444" spans="2:2">
      <c r="B444">
        <v>7.9740000000000005E-2</v>
      </c>
    </row>
    <row r="445" spans="2:2">
      <c r="B445">
        <v>7.7259999999999995E-2</v>
      </c>
    </row>
    <row r="447" spans="2:2">
      <c r="B447">
        <v>7.639E-2</v>
      </c>
    </row>
    <row r="453" spans="2:2">
      <c r="B453">
        <v>7.3810000000000001E-2</v>
      </c>
    </row>
    <row r="454" spans="2:2">
      <c r="B454">
        <v>7.4630000000000002E-2</v>
      </c>
    </row>
    <row r="455" spans="2:2">
      <c r="B455">
        <v>7.5800000000000006E-2</v>
      </c>
    </row>
    <row r="456" spans="2:2">
      <c r="B456">
        <v>7.0889999999999995E-2</v>
      </c>
    </row>
    <row r="457" spans="2:2">
      <c r="B457">
        <v>7.6950000000000005E-2</v>
      </c>
    </row>
    <row r="458" spans="2:2">
      <c r="B458">
        <v>7.3899999999999993E-2</v>
      </c>
    </row>
    <row r="459" spans="2:2">
      <c r="B459">
        <v>7.8030000000000002E-2</v>
      </c>
    </row>
    <row r="461" spans="2:2">
      <c r="B461">
        <v>6.9919999999999996E-2</v>
      </c>
    </row>
    <row r="473" spans="2:2">
      <c r="B473">
        <v>7.4099999999999999E-2</v>
      </c>
    </row>
    <row r="477" spans="2:2">
      <c r="B477">
        <v>7.571E-2</v>
      </c>
    </row>
    <row r="479" spans="2:2">
      <c r="B479">
        <v>7.3980000000000004E-2</v>
      </c>
    </row>
    <row r="480" spans="2:2">
      <c r="B480">
        <v>7.2230000000000003E-2</v>
      </c>
    </row>
    <row r="481" spans="2:2">
      <c r="B481">
        <v>6.6129999999999994E-2</v>
      </c>
    </row>
    <row r="482" spans="2:2">
      <c r="B482">
        <v>7.8310000000000005E-2</v>
      </c>
    </row>
    <row r="483" spans="2:2">
      <c r="B483">
        <v>7.5289999999999996E-2</v>
      </c>
    </row>
    <row r="484" spans="2:2">
      <c r="B484">
        <v>7.2300000000000003E-2</v>
      </c>
    </row>
    <row r="486" spans="2:2">
      <c r="B486">
        <v>7.3590000000000003E-2</v>
      </c>
    </row>
    <row r="488" spans="2:2">
      <c r="B488">
        <v>7.6530000000000001E-2</v>
      </c>
    </row>
    <row r="489" spans="2:2">
      <c r="B489">
        <v>7.5969999999999996E-2</v>
      </c>
    </row>
    <row r="491" spans="2:2">
      <c r="B491">
        <v>6.9589999999999999E-2</v>
      </c>
    </row>
    <row r="492" spans="2:2">
      <c r="B492">
        <v>7.4550000000000005E-2</v>
      </c>
    </row>
    <row r="494" spans="2:2">
      <c r="B494">
        <v>7.6289999999999997E-2</v>
      </c>
    </row>
    <row r="495" spans="2:2">
      <c r="B495">
        <v>7.5740000000000002E-2</v>
      </c>
    </row>
    <row r="496" spans="2:2">
      <c r="B496">
        <v>7.2319999999999995E-2</v>
      </c>
    </row>
    <row r="497" spans="2:2">
      <c r="B497">
        <v>7.0709999999999995E-2</v>
      </c>
    </row>
    <row r="498" spans="2:2">
      <c r="B498">
        <v>7.4069999999999997E-2</v>
      </c>
    </row>
    <row r="499" spans="2:2">
      <c r="B499">
        <v>7.4179999999999996E-2</v>
      </c>
    </row>
    <row r="500" spans="2:2">
      <c r="B500">
        <v>7.1370000000000003E-2</v>
      </c>
    </row>
    <row r="501" spans="2:2">
      <c r="B501">
        <v>7.1419999999999997E-2</v>
      </c>
    </row>
    <row r="502" spans="2:2">
      <c r="B502">
        <v>7.2059999999999999E-2</v>
      </c>
    </row>
    <row r="503" spans="2:2">
      <c r="B503">
        <v>7.4279999999999999E-2</v>
      </c>
    </row>
    <row r="504" spans="2:2">
      <c r="B504">
        <v>7.6350000000000001E-2</v>
      </c>
    </row>
    <row r="505" spans="2:2">
      <c r="B505">
        <v>7.6259999999999994E-2</v>
      </c>
    </row>
    <row r="506" spans="2:2">
      <c r="B506">
        <v>7.3459999999999998E-2</v>
      </c>
    </row>
    <row r="507" spans="2:2">
      <c r="B507">
        <v>7.4649999999999994E-2</v>
      </c>
    </row>
    <row r="508" spans="2:2">
      <c r="B508">
        <v>7.1260000000000004E-2</v>
      </c>
    </row>
    <row r="509" spans="2:2">
      <c r="B509">
        <v>7.2770000000000001E-2</v>
      </c>
    </row>
    <row r="510" spans="2:2">
      <c r="B510">
        <v>7.1849999999999997E-2</v>
      </c>
    </row>
    <row r="511" spans="2:2">
      <c r="B511">
        <v>6.8790000000000004E-2</v>
      </c>
    </row>
    <row r="512" spans="2:2">
      <c r="B512">
        <v>7.3539999999999994E-2</v>
      </c>
    </row>
    <row r="513" spans="2:2">
      <c r="B513">
        <v>7.0300000000000001E-2</v>
      </c>
    </row>
    <row r="514" spans="2:2">
      <c r="B514">
        <v>7.5370000000000006E-2</v>
      </c>
    </row>
    <row r="515" spans="2:2">
      <c r="B515">
        <v>7.2459999999999997E-2</v>
      </c>
    </row>
    <row r="516" spans="2:2">
      <c r="B516">
        <v>7.3950000000000002E-2</v>
      </c>
    </row>
    <row r="517" spans="2:2">
      <c r="B517">
        <v>7.3279999999999998E-2</v>
      </c>
    </row>
    <row r="521" spans="2:2">
      <c r="B521">
        <v>7.5639999999999999E-2</v>
      </c>
    </row>
    <row r="522" spans="2:2">
      <c r="B522">
        <v>7.3099999999999998E-2</v>
      </c>
    </row>
    <row r="523" spans="2:2">
      <c r="B523">
        <v>7.2760000000000005E-2</v>
      </c>
    </row>
    <row r="530" spans="2:2">
      <c r="B530">
        <v>7.5719999999999996E-2</v>
      </c>
    </row>
    <row r="532" spans="2:2">
      <c r="B532">
        <v>7.3529999999999998E-2</v>
      </c>
    </row>
    <row r="533" spans="2:2">
      <c r="B533">
        <v>7.2609999999999994E-2</v>
      </c>
    </row>
    <row r="534" spans="2:2">
      <c r="B534">
        <v>7.6310000000000003E-2</v>
      </c>
    </row>
    <row r="535" spans="2:2">
      <c r="B535">
        <v>7.2510000000000005E-2</v>
      </c>
    </row>
    <row r="536" spans="2:2">
      <c r="B536">
        <v>7.7270000000000005E-2</v>
      </c>
    </row>
    <row r="537" spans="2:2">
      <c r="B537">
        <v>7.621E-2</v>
      </c>
    </row>
    <row r="538" spans="2:2">
      <c r="B538">
        <v>7.596E-2</v>
      </c>
    </row>
    <row r="541" spans="2:2">
      <c r="B541">
        <v>7.1029999999999996E-2</v>
      </c>
    </row>
    <row r="542" spans="2:2">
      <c r="B542">
        <v>7.3810000000000001E-2</v>
      </c>
    </row>
    <row r="543" spans="2:2">
      <c r="B543">
        <v>7.3380000000000001E-2</v>
      </c>
    </row>
    <row r="544" spans="2:2">
      <c r="B544">
        <v>7.0940000000000003E-2</v>
      </c>
    </row>
    <row r="546" spans="2:2">
      <c r="B546">
        <v>7.3200000000000001E-2</v>
      </c>
    </row>
    <row r="547" spans="2:2">
      <c r="B547">
        <v>7.5870000000000007E-2</v>
      </c>
    </row>
    <row r="548" spans="2:2">
      <c r="B548">
        <v>7.5329999999999994E-2</v>
      </c>
    </row>
    <row r="550" spans="2:2">
      <c r="B550">
        <v>7.3889999999999997E-2</v>
      </c>
    </row>
    <row r="551" spans="2:2">
      <c r="B551">
        <v>7.4550000000000005E-2</v>
      </c>
    </row>
    <row r="552" spans="2:2">
      <c r="B552">
        <v>7.0269999999999999E-2</v>
      </c>
    </row>
    <row r="553" spans="2:2">
      <c r="B553">
        <v>7.5639999999999999E-2</v>
      </c>
    </row>
    <row r="559" spans="2:2">
      <c r="B559">
        <v>6.9440000000000002E-2</v>
      </c>
    </row>
    <row r="560" spans="2:2">
      <c r="B560">
        <v>7.4719999999999995E-2</v>
      </c>
    </row>
    <row r="561" spans="2:2">
      <c r="B561">
        <v>7.2510000000000005E-2</v>
      </c>
    </row>
    <row r="565" spans="2:2">
      <c r="B565">
        <v>7.2950000000000001E-2</v>
      </c>
    </row>
    <row r="569" spans="2:2">
      <c r="B569">
        <v>7.7920000000000003E-2</v>
      </c>
    </row>
    <row r="570" spans="2:2">
      <c r="B570">
        <v>7.4759999999999993E-2</v>
      </c>
    </row>
    <row r="571" spans="2:2">
      <c r="B571">
        <v>7.4310000000000001E-2</v>
      </c>
    </row>
    <row r="573" spans="2:2">
      <c r="B573">
        <v>7.2819999999999996E-2</v>
      </c>
    </row>
    <row r="575" spans="2:2">
      <c r="B575">
        <v>7.4370000000000006E-2</v>
      </c>
    </row>
    <row r="578" spans="2:2">
      <c r="B578">
        <v>7.5009999999999993E-2</v>
      </c>
    </row>
    <row r="580" spans="2:2">
      <c r="B580">
        <v>7.8170000000000003E-2</v>
      </c>
    </row>
    <row r="581" spans="2:2">
      <c r="B581">
        <v>7.4609999999999996E-2</v>
      </c>
    </row>
    <row r="582" spans="2:2">
      <c r="B582">
        <v>7.6550000000000007E-2</v>
      </c>
    </row>
    <row r="583" spans="2:2">
      <c r="B583">
        <v>7.3450000000000001E-2</v>
      </c>
    </row>
    <row r="584" spans="2:2">
      <c r="B584">
        <v>7.5579999999999994E-2</v>
      </c>
    </row>
    <row r="585" spans="2:2">
      <c r="B585">
        <v>7.22E-2</v>
      </c>
    </row>
    <row r="586" spans="2:2">
      <c r="B586">
        <v>7.7119999999999994E-2</v>
      </c>
    </row>
    <row r="587" spans="2:2">
      <c r="B587">
        <v>7.2050000000000003E-2</v>
      </c>
    </row>
    <row r="588" spans="2:2">
      <c r="B588">
        <v>7.4969999999999995E-2</v>
      </c>
    </row>
    <row r="589" spans="2:2">
      <c r="B589">
        <v>7.7259999999999995E-2</v>
      </c>
    </row>
    <row r="590" spans="2:2">
      <c r="B590">
        <v>7.3020000000000002E-2</v>
      </c>
    </row>
    <row r="591" spans="2:2">
      <c r="B591">
        <v>7.5670000000000001E-2</v>
      </c>
    </row>
    <row r="592" spans="2:2">
      <c r="B592">
        <v>7.4649999999999994E-2</v>
      </c>
    </row>
    <row r="593" spans="2:2">
      <c r="B593">
        <v>7.2969999999999993E-2</v>
      </c>
    </row>
    <row r="594" spans="2:2">
      <c r="B594">
        <v>7.1609999999999993E-2</v>
      </c>
    </row>
    <row r="595" spans="2:2">
      <c r="B595">
        <v>7.7130000000000004E-2</v>
      </c>
    </row>
    <row r="596" spans="2:2">
      <c r="B596">
        <v>7.1590000000000001E-2</v>
      </c>
    </row>
    <row r="597" spans="2:2">
      <c r="B597">
        <v>7.9200000000000007E-2</v>
      </c>
    </row>
    <row r="598" spans="2:2">
      <c r="B598">
        <v>7.3300000000000004E-2</v>
      </c>
    </row>
    <row r="599" spans="2:2">
      <c r="B599">
        <v>6.9839999999999999E-2</v>
      </c>
    </row>
    <row r="600" spans="2:2">
      <c r="B600">
        <v>7.3760000000000006E-2</v>
      </c>
    </row>
    <row r="601" spans="2:2">
      <c r="B601">
        <v>6.9809999999999997E-2</v>
      </c>
    </row>
    <row r="602" spans="2:2">
      <c r="B602">
        <v>7.2720000000000007E-2</v>
      </c>
    </row>
    <row r="605" spans="2:2">
      <c r="B605">
        <v>6.794E-2</v>
      </c>
    </row>
    <row r="606" spans="2:2">
      <c r="B606">
        <v>7.6630000000000004E-2</v>
      </c>
    </row>
    <row r="607" spans="2:2">
      <c r="B607">
        <v>7.4039999999999995E-2</v>
      </c>
    </row>
    <row r="608" spans="2:2">
      <c r="B608">
        <v>7.7189999999999995E-2</v>
      </c>
    </row>
    <row r="609" spans="2:2">
      <c r="B609">
        <v>7.621E-2</v>
      </c>
    </row>
    <row r="610" spans="2:2">
      <c r="B610">
        <v>7.4149999999999994E-2</v>
      </c>
    </row>
    <row r="611" spans="2:2">
      <c r="B611">
        <v>7.5660000000000005E-2</v>
      </c>
    </row>
    <row r="614" spans="2:2">
      <c r="B614">
        <v>7.3289999999999994E-2</v>
      </c>
    </row>
    <row r="615" spans="2:2">
      <c r="B615">
        <v>7.6359999999999997E-2</v>
      </c>
    </row>
    <row r="617" spans="2:2">
      <c r="B617">
        <v>7.6450000000000004E-2</v>
      </c>
    </row>
    <row r="618" spans="2:2">
      <c r="B618">
        <v>7.4090000000000003E-2</v>
      </c>
    </row>
    <row r="619" spans="2:2">
      <c r="B619">
        <v>7.4889999999999998E-2</v>
      </c>
    </row>
    <row r="620" spans="2:2">
      <c r="B620">
        <v>7.3779999999999998E-2</v>
      </c>
    </row>
    <row r="621" spans="2:2">
      <c r="B621">
        <v>7.5130000000000002E-2</v>
      </c>
    </row>
    <row r="622" spans="2:2">
      <c r="B622">
        <v>7.2709999999999997E-2</v>
      </c>
    </row>
    <row r="623" spans="2:2">
      <c r="B623">
        <v>7.5130000000000002E-2</v>
      </c>
    </row>
    <row r="624" spans="2:2">
      <c r="B624">
        <v>7.6280000000000001E-2</v>
      </c>
    </row>
    <row r="625" spans="2:2">
      <c r="B625">
        <v>7.7439999999999995E-2</v>
      </c>
    </row>
    <row r="628" spans="2:2">
      <c r="B628">
        <v>7.0830000000000004E-2</v>
      </c>
    </row>
    <row r="629" spans="2:2">
      <c r="B629">
        <v>7.7649999999999997E-2</v>
      </c>
    </row>
    <row r="630" spans="2:2">
      <c r="B630">
        <v>7.1559999999999999E-2</v>
      </c>
    </row>
    <row r="631" spans="2:2">
      <c r="B631">
        <v>7.7429999999999999E-2</v>
      </c>
    </row>
    <row r="632" spans="2:2">
      <c r="B632">
        <v>7.5950000000000004E-2</v>
      </c>
    </row>
    <row r="633" spans="2:2">
      <c r="B633">
        <v>7.9030000000000003E-2</v>
      </c>
    </row>
    <row r="634" spans="2:2">
      <c r="B634">
        <v>7.4990000000000001E-2</v>
      </c>
    </row>
    <row r="635" spans="2:2">
      <c r="B635">
        <v>7.1349999999999997E-2</v>
      </c>
    </row>
    <row r="636" spans="2:2">
      <c r="B636">
        <v>7.5399999999999995E-2</v>
      </c>
    </row>
    <row r="638" spans="2:2">
      <c r="B638">
        <v>7.2800000000000004E-2</v>
      </c>
    </row>
    <row r="639" spans="2:2">
      <c r="B639">
        <v>7.4740000000000001E-2</v>
      </c>
    </row>
    <row r="640" spans="2:2">
      <c r="B640">
        <v>7.578E-2</v>
      </c>
    </row>
    <row r="644" spans="2:2">
      <c r="B644">
        <v>7.6990000000000003E-2</v>
      </c>
    </row>
    <row r="645" spans="2:2">
      <c r="B645">
        <v>7.5950000000000004E-2</v>
      </c>
    </row>
    <row r="646" spans="2:2">
      <c r="B646">
        <v>7.9030000000000003E-2</v>
      </c>
    </row>
    <row r="647" spans="2:2">
      <c r="B647">
        <v>7.4230000000000004E-2</v>
      </c>
    </row>
    <row r="649" spans="2:2">
      <c r="B649">
        <v>7.5730000000000006E-2</v>
      </c>
    </row>
    <row r="651" spans="2:2">
      <c r="B651">
        <v>7.3590000000000003E-2</v>
      </c>
    </row>
    <row r="652" spans="2:2">
      <c r="B652">
        <v>7.7929999999999999E-2</v>
      </c>
    </row>
    <row r="653" spans="2:2">
      <c r="B653">
        <v>8.0250000000000002E-2</v>
      </c>
    </row>
    <row r="654" spans="2:2">
      <c r="B654">
        <v>7.5319999999999998E-2</v>
      </c>
    </row>
    <row r="655" spans="2:2">
      <c r="B655">
        <v>7.7759999999999996E-2</v>
      </c>
    </row>
    <row r="656" spans="2:2">
      <c r="B656">
        <v>7.2529999999999997E-2</v>
      </c>
    </row>
    <row r="658" spans="2:2">
      <c r="B658">
        <v>7.4679999999999996E-2</v>
      </c>
    </row>
    <row r="659" spans="2:2">
      <c r="B659">
        <v>7.7179999999999999E-2</v>
      </c>
    </row>
    <row r="660" spans="2:2">
      <c r="B660">
        <v>7.4060000000000001E-2</v>
      </c>
    </row>
    <row r="661" spans="2:2">
      <c r="B661">
        <v>7.5219999999999995E-2</v>
      </c>
    </row>
    <row r="662" spans="2:2">
      <c r="B662">
        <v>7.1760000000000004E-2</v>
      </c>
    </row>
    <row r="663" spans="2:2">
      <c r="B663">
        <v>7.2120000000000004E-2</v>
      </c>
    </row>
    <row r="664" spans="2:2">
      <c r="B664">
        <v>7.331E-2</v>
      </c>
    </row>
    <row r="665" spans="2:2">
      <c r="B665">
        <v>7.5499999999999998E-2</v>
      </c>
    </row>
    <row r="666" spans="2:2">
      <c r="B666">
        <v>7.8049999999999994E-2</v>
      </c>
    </row>
    <row r="667" spans="2:2">
      <c r="B667">
        <v>7.5789999999999996E-2</v>
      </c>
    </row>
  </sheetData>
  <mergeCells count="5">
    <mergeCell ref="D1:F1"/>
    <mergeCell ref="A1:B1"/>
    <mergeCell ref="H10:N10"/>
    <mergeCell ref="H60:N60"/>
    <mergeCell ref="H40:N40"/>
  </mergeCells>
  <phoneticPr fontId="1" type="noConversion"/>
  <conditionalFormatting sqref="I3:I4">
    <cfRule type="cellIs" dxfId="0" priority="1" stopIfTrue="1" operator="lessThan">
      <formula>0.05</formula>
    </cfRule>
  </conditionalFormatting>
  <pageMargins left="0.75" right="0.75" top="1" bottom="1" header="0.4921259845" footer="0.4921259845"/>
  <pageSetup paperSize="9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21"/>
  <dimension ref="A1:K99"/>
  <sheetViews>
    <sheetView showGridLines="0" workbookViewId="0">
      <selection activeCell="H39" sqref="H39"/>
    </sheetView>
  </sheetViews>
  <sheetFormatPr defaultRowHeight="12.75"/>
  <cols>
    <col min="1" max="1" width="20" style="24" customWidth="1"/>
    <col min="2" max="16384" width="9.140625" style="24"/>
  </cols>
  <sheetData>
    <row r="1" spans="1:11">
      <c r="J1" s="53"/>
    </row>
    <row r="2" spans="1:11" ht="15.75">
      <c r="A2" s="78" t="s">
        <v>86</v>
      </c>
      <c r="G2" s="23"/>
      <c r="H2" s="23"/>
      <c r="I2" s="53"/>
      <c r="J2" s="53"/>
      <c r="K2" s="53"/>
    </row>
    <row r="3" spans="1:11">
      <c r="B3" s="53" t="s">
        <v>87</v>
      </c>
      <c r="G3" s="23"/>
      <c r="H3" s="23"/>
      <c r="I3" s="53"/>
    </row>
    <row r="4" spans="1:11">
      <c r="B4" s="77" t="s">
        <v>18</v>
      </c>
      <c r="C4" s="77" t="s">
        <v>89</v>
      </c>
      <c r="D4" s="77" t="s">
        <v>19</v>
      </c>
      <c r="G4" s="23"/>
      <c r="H4" s="23"/>
      <c r="I4" s="53"/>
    </row>
    <row r="5" spans="1:11">
      <c r="A5" s="53" t="s">
        <v>88</v>
      </c>
      <c r="B5" s="81">
        <v>18</v>
      </c>
      <c r="C5" s="82">
        <v>55</v>
      </c>
      <c r="D5" s="83">
        <v>27</v>
      </c>
      <c r="E5" s="84">
        <f>SUM(B5:D5)</f>
        <v>100</v>
      </c>
      <c r="G5" s="23"/>
      <c r="H5" s="23"/>
      <c r="I5" s="53"/>
    </row>
    <row r="6" spans="1:11">
      <c r="A6" s="53" t="s">
        <v>90</v>
      </c>
      <c r="B6" s="79">
        <f>B7*$E5</f>
        <v>25</v>
      </c>
      <c r="C6" s="79">
        <f>(2/4)*$E5</f>
        <v>50</v>
      </c>
      <c r="D6" s="79">
        <f>(1/4)*$E5</f>
        <v>25</v>
      </c>
      <c r="G6" s="23"/>
      <c r="H6" s="23"/>
      <c r="I6" s="53"/>
    </row>
    <row r="7" spans="1:11">
      <c r="A7" s="53" t="s">
        <v>91</v>
      </c>
      <c r="B7" s="80">
        <v>0.25</v>
      </c>
      <c r="C7" s="80">
        <v>0.5</v>
      </c>
      <c r="D7" s="80">
        <v>0.25</v>
      </c>
      <c r="G7" s="23"/>
      <c r="H7" s="23"/>
      <c r="I7" s="53"/>
    </row>
    <row r="8" spans="1:11">
      <c r="G8" s="23"/>
      <c r="H8" s="23"/>
      <c r="I8" s="53"/>
    </row>
    <row r="9" spans="1:11">
      <c r="G9" s="23"/>
      <c r="H9" s="23"/>
      <c r="I9" s="53"/>
    </row>
    <row r="10" spans="1:11" ht="15.75">
      <c r="A10" s="78" t="s">
        <v>94</v>
      </c>
      <c r="B10" s="24">
        <f>CHITEST(B5:D5,B6:D6)</f>
        <v>0.2698200563959427</v>
      </c>
      <c r="C10" s="24" t="str">
        <f>IF(B10&lt;0.05,"Pozorované četnosti se významně liší od očekávaných","Pozorované četnosti se významně neliší od očekávaných")</f>
        <v>Pozorované četnosti se významně neliší od očekávaných</v>
      </c>
      <c r="G10" s="23"/>
      <c r="H10" s="23"/>
      <c r="I10" s="53"/>
    </row>
    <row r="11" spans="1:11">
      <c r="G11" s="23"/>
      <c r="H11" s="23"/>
    </row>
    <row r="12" spans="1:11" s="67" customFormat="1">
      <c r="G12" s="85"/>
      <c r="H12" s="85"/>
      <c r="I12" s="86"/>
    </row>
    <row r="13" spans="1:11">
      <c r="G13" s="23"/>
      <c r="H13" s="23"/>
    </row>
    <row r="14" spans="1:11" ht="15.75">
      <c r="A14" s="78" t="s">
        <v>95</v>
      </c>
      <c r="B14" s="24">
        <f>CORREL(A17:A27,B17:B27)</f>
        <v>0.89143482791470297</v>
      </c>
      <c r="G14" s="23"/>
      <c r="H14" s="23"/>
    </row>
    <row r="15" spans="1:11">
      <c r="G15" s="23"/>
      <c r="H15" s="23"/>
    </row>
    <row r="16" spans="1:11">
      <c r="A16" s="53" t="s">
        <v>92</v>
      </c>
      <c r="B16" s="53" t="s">
        <v>93</v>
      </c>
      <c r="G16" s="23"/>
      <c r="H16" s="23"/>
    </row>
    <row r="17" spans="1:8">
      <c r="A17" s="79">
        <v>120</v>
      </c>
      <c r="B17" s="79">
        <v>105</v>
      </c>
      <c r="G17" s="23"/>
      <c r="H17" s="23"/>
    </row>
    <row r="18" spans="1:8">
      <c r="A18" s="79">
        <v>82</v>
      </c>
      <c r="B18" s="79">
        <v>110</v>
      </c>
      <c r="G18" s="23"/>
      <c r="H18" s="23"/>
    </row>
    <row r="19" spans="1:8">
      <c r="A19" s="79">
        <v>90</v>
      </c>
      <c r="B19" s="79">
        <v>99</v>
      </c>
      <c r="G19" s="23"/>
      <c r="H19" s="23"/>
    </row>
    <row r="20" spans="1:8">
      <c r="A20" s="79">
        <v>8</v>
      </c>
      <c r="B20" s="79">
        <v>22</v>
      </c>
      <c r="G20" s="23"/>
      <c r="H20" s="23"/>
    </row>
    <row r="21" spans="1:8">
      <c r="A21" s="79">
        <v>38</v>
      </c>
      <c r="B21" s="79">
        <v>50</v>
      </c>
      <c r="G21" s="23"/>
      <c r="H21" s="23"/>
    </row>
    <row r="22" spans="1:8">
      <c r="A22" s="79">
        <v>20</v>
      </c>
      <c r="B22" s="79">
        <v>50</v>
      </c>
      <c r="G22" s="23"/>
      <c r="H22" s="23"/>
    </row>
    <row r="23" spans="1:8">
      <c r="A23" s="79">
        <v>2.8</v>
      </c>
      <c r="B23" s="79">
        <v>7.3</v>
      </c>
      <c r="G23" s="23"/>
      <c r="H23" s="23"/>
    </row>
    <row r="24" spans="1:8">
      <c r="A24" s="79">
        <v>66</v>
      </c>
      <c r="B24" s="79">
        <v>74</v>
      </c>
      <c r="G24" s="23"/>
      <c r="H24" s="23"/>
    </row>
    <row r="25" spans="1:8">
      <c r="A25" s="79">
        <v>2</v>
      </c>
      <c r="B25" s="79">
        <v>7.7</v>
      </c>
      <c r="G25" s="23"/>
      <c r="H25" s="23"/>
    </row>
    <row r="26" spans="1:8">
      <c r="A26" s="79">
        <v>20</v>
      </c>
      <c r="B26" s="79">
        <v>45</v>
      </c>
      <c r="G26" s="23"/>
      <c r="H26" s="23"/>
    </row>
    <row r="27" spans="1:8">
      <c r="A27" s="79">
        <v>85</v>
      </c>
      <c r="B27" s="79">
        <v>51</v>
      </c>
      <c r="G27" s="23"/>
      <c r="H27" s="23"/>
    </row>
    <row r="28" spans="1:8">
      <c r="G28" s="23"/>
      <c r="H28" s="23"/>
    </row>
    <row r="29" spans="1:8">
      <c r="G29" s="23"/>
      <c r="H29" s="23"/>
    </row>
    <row r="30" spans="1:8">
      <c r="G30" s="23"/>
      <c r="H30" s="23"/>
    </row>
    <row r="31" spans="1:8">
      <c r="G31" s="23"/>
      <c r="H31" s="23"/>
    </row>
    <row r="32" spans="1:8">
      <c r="G32" s="23"/>
      <c r="H32" s="23"/>
    </row>
    <row r="33" spans="7:8">
      <c r="G33" s="23"/>
      <c r="H33" s="23"/>
    </row>
    <row r="34" spans="7:8">
      <c r="G34" s="23"/>
      <c r="H34" s="23"/>
    </row>
    <row r="35" spans="7:8">
      <c r="G35" s="23"/>
      <c r="H35" s="23"/>
    </row>
    <row r="36" spans="7:8">
      <c r="G36" s="23"/>
      <c r="H36" s="23"/>
    </row>
    <row r="37" spans="7:8">
      <c r="G37" s="23"/>
      <c r="H37" s="23"/>
    </row>
    <row r="38" spans="7:8">
      <c r="G38" s="23"/>
      <c r="H38" s="23"/>
    </row>
    <row r="39" spans="7:8">
      <c r="G39" s="23"/>
      <c r="H39" s="23"/>
    </row>
    <row r="40" spans="7:8">
      <c r="G40" s="23"/>
      <c r="H40" s="23"/>
    </row>
    <row r="41" spans="7:8">
      <c r="G41" s="23"/>
      <c r="H41" s="23"/>
    </row>
    <row r="42" spans="7:8">
      <c r="G42" s="23"/>
      <c r="H42" s="23"/>
    </row>
    <row r="43" spans="7:8">
      <c r="G43" s="23"/>
      <c r="H43" s="23"/>
    </row>
    <row r="44" spans="7:8">
      <c r="G44" s="23"/>
      <c r="H44" s="23"/>
    </row>
    <row r="45" spans="7:8">
      <c r="G45" s="23"/>
      <c r="H45" s="23"/>
    </row>
    <row r="46" spans="7:8">
      <c r="G46" s="23"/>
      <c r="H46" s="23"/>
    </row>
    <row r="47" spans="7:8">
      <c r="G47" s="23"/>
      <c r="H47" s="23"/>
    </row>
    <row r="48" spans="7:8">
      <c r="G48" s="23"/>
      <c r="H48" s="23"/>
    </row>
    <row r="49" spans="7:8">
      <c r="G49" s="23"/>
      <c r="H49" s="23"/>
    </row>
    <row r="50" spans="7:8">
      <c r="G50" s="23"/>
      <c r="H50" s="23"/>
    </row>
    <row r="51" spans="7:8">
      <c r="G51" s="23"/>
      <c r="H51" s="23"/>
    </row>
    <row r="52" spans="7:8">
      <c r="G52" s="23"/>
      <c r="H52" s="23"/>
    </row>
    <row r="53" spans="7:8">
      <c r="G53" s="23"/>
      <c r="H53" s="23"/>
    </row>
    <row r="54" spans="7:8">
      <c r="G54" s="23"/>
      <c r="H54" s="23"/>
    </row>
    <row r="55" spans="7:8">
      <c r="G55" s="23"/>
      <c r="H55" s="23"/>
    </row>
    <row r="56" spans="7:8">
      <c r="G56" s="23"/>
      <c r="H56" s="23"/>
    </row>
    <row r="57" spans="7:8">
      <c r="G57" s="23"/>
      <c r="H57" s="23"/>
    </row>
    <row r="58" spans="7:8">
      <c r="G58" s="23"/>
      <c r="H58" s="23"/>
    </row>
    <row r="59" spans="7:8">
      <c r="G59" s="23"/>
      <c r="H59" s="23"/>
    </row>
    <row r="60" spans="7:8">
      <c r="G60" s="23"/>
      <c r="H60" s="23"/>
    </row>
    <row r="61" spans="7:8">
      <c r="G61" s="23"/>
      <c r="H61" s="23"/>
    </row>
    <row r="62" spans="7:8">
      <c r="G62" s="23"/>
      <c r="H62" s="23"/>
    </row>
    <row r="63" spans="7:8">
      <c r="G63" s="23"/>
      <c r="H63" s="23"/>
    </row>
    <row r="64" spans="7:8">
      <c r="G64" s="23"/>
      <c r="H64" s="23"/>
    </row>
    <row r="65" spans="7:8">
      <c r="G65" s="23"/>
      <c r="H65" s="23"/>
    </row>
    <row r="66" spans="7:8">
      <c r="G66" s="23"/>
      <c r="H66" s="23"/>
    </row>
    <row r="67" spans="7:8">
      <c r="G67" s="23"/>
      <c r="H67" s="23"/>
    </row>
    <row r="68" spans="7:8">
      <c r="G68" s="23"/>
      <c r="H68" s="23"/>
    </row>
    <row r="69" spans="7:8">
      <c r="G69" s="23"/>
      <c r="H69" s="23"/>
    </row>
    <row r="70" spans="7:8">
      <c r="G70" s="23"/>
      <c r="H70" s="23"/>
    </row>
    <row r="71" spans="7:8">
      <c r="G71" s="23"/>
      <c r="H71" s="23"/>
    </row>
    <row r="72" spans="7:8">
      <c r="G72" s="23"/>
      <c r="H72" s="23"/>
    </row>
    <row r="73" spans="7:8">
      <c r="G73" s="23"/>
      <c r="H73" s="23"/>
    </row>
    <row r="74" spans="7:8">
      <c r="G74" s="23"/>
      <c r="H74" s="23"/>
    </row>
    <row r="75" spans="7:8">
      <c r="G75" s="23"/>
      <c r="H75" s="23"/>
    </row>
    <row r="76" spans="7:8">
      <c r="G76" s="23"/>
      <c r="H76" s="23"/>
    </row>
    <row r="77" spans="7:8">
      <c r="G77" s="23"/>
      <c r="H77" s="23"/>
    </row>
    <row r="78" spans="7:8">
      <c r="G78" s="23"/>
      <c r="H78" s="23"/>
    </row>
    <row r="79" spans="7:8">
      <c r="G79" s="23"/>
      <c r="H79" s="23"/>
    </row>
    <row r="80" spans="7:8">
      <c r="G80" s="23"/>
      <c r="H80" s="23"/>
    </row>
    <row r="81" spans="7:8">
      <c r="G81" s="23"/>
      <c r="H81" s="23"/>
    </row>
    <row r="82" spans="7:8">
      <c r="G82" s="23"/>
      <c r="H82" s="23"/>
    </row>
    <row r="83" spans="7:8">
      <c r="G83" s="23"/>
      <c r="H83" s="23"/>
    </row>
    <row r="84" spans="7:8">
      <c r="G84" s="23"/>
      <c r="H84" s="23"/>
    </row>
    <row r="85" spans="7:8">
      <c r="G85" s="23"/>
      <c r="H85" s="23"/>
    </row>
    <row r="86" spans="7:8">
      <c r="G86" s="23"/>
      <c r="H86" s="23"/>
    </row>
    <row r="87" spans="7:8">
      <c r="G87" s="23"/>
      <c r="H87" s="23"/>
    </row>
    <row r="88" spans="7:8">
      <c r="G88" s="23"/>
      <c r="H88" s="23"/>
    </row>
    <row r="89" spans="7:8">
      <c r="G89" s="23"/>
      <c r="H89" s="23"/>
    </row>
    <row r="90" spans="7:8">
      <c r="G90" s="23"/>
      <c r="H90" s="23"/>
    </row>
    <row r="91" spans="7:8">
      <c r="G91" s="23"/>
      <c r="H91" s="23"/>
    </row>
    <row r="92" spans="7:8">
      <c r="G92" s="23"/>
      <c r="H92" s="23"/>
    </row>
    <row r="93" spans="7:8">
      <c r="G93" s="23"/>
      <c r="H93" s="23"/>
    </row>
    <row r="94" spans="7:8">
      <c r="G94" s="23"/>
      <c r="H94" s="23"/>
    </row>
    <row r="95" spans="7:8">
      <c r="G95" s="23"/>
      <c r="H95" s="23"/>
    </row>
    <row r="96" spans="7:8">
      <c r="G96" s="23"/>
      <c r="H96" s="23"/>
    </row>
    <row r="97" spans="7:8">
      <c r="G97" s="23"/>
      <c r="H97" s="23"/>
    </row>
    <row r="98" spans="7:8">
      <c r="G98" s="23"/>
      <c r="H98" s="23"/>
    </row>
    <row r="99" spans="7:8">
      <c r="G99" s="23"/>
      <c r="H99" s="23"/>
    </row>
  </sheetData>
  <phoneticPr fontId="4" type="noConversion"/>
  <pageMargins left="0.75" right="0.75" top="1" bottom="1" header="0.4921259845" footer="0.492125984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Vzorce I</vt:lpstr>
      <vt:lpstr>Vzorce II typy vzorců</vt:lpstr>
      <vt:lpstr>textové_vzorce_příklady</vt:lpstr>
      <vt:lpstr>Vzorce III maticove vzorce</vt:lpstr>
      <vt:lpstr>IV Statistika &amp; T-test</vt:lpstr>
      <vt:lpstr>VI Chi-square &amp; korelace</vt:lpstr>
      <vt:lpstr>blok2</vt:lpstr>
      <vt:lpstr>interval</vt:lpstr>
      <vt:lpstr>PAN</vt:lpstr>
      <vt:lpstr>PANx</vt:lpstr>
      <vt:lpstr>PBIN</vt:lpstr>
      <vt:lpstr>percent</vt:lpstr>
    </vt:vector>
  </TitlesOfParts>
  <Company>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Erword</dc:creator>
  <cp:lastModifiedBy>kovalcikova</cp:lastModifiedBy>
  <dcterms:created xsi:type="dcterms:W3CDTF">2002-04-08T20:39:51Z</dcterms:created>
  <dcterms:modified xsi:type="dcterms:W3CDTF">2015-09-24T07:04:12Z</dcterms:modified>
</cp:coreProperties>
</file>