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emf" ContentType="image/x-emf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5600" windowHeight="11760" tabRatio="803" activeTab="5"/>
  </bookViews>
  <sheets>
    <sheet name="insulin" sheetId="14" r:id="rId1"/>
    <sheet name="insulin (2)" sheetId="16" r:id="rId2"/>
    <sheet name="prumer" sheetId="8" r:id="rId3"/>
    <sheet name="prumer (2)" sheetId="17" r:id="rId4"/>
    <sheet name="log" sheetId="3" r:id="rId5"/>
    <sheet name="log (2)" sheetId="19" r:id="rId6"/>
    <sheet name="Wcx1" sheetId="20" r:id="rId7"/>
    <sheet name="Wcx1 (2)" sheetId="24" r:id="rId8"/>
    <sheet name="MW2" sheetId="23" r:id="rId9"/>
    <sheet name="MW2 (2)" sheetId="25" r:id="rId10"/>
    <sheet name="P2" sheetId="22" r:id="rId11"/>
    <sheet name="P2 (2)" sheetId="27" r:id="rId12"/>
    <sheet name="KW" sheetId="21" r:id="rId13"/>
    <sheet name="KW (2)" sheetId="28" r:id="rId14"/>
    <sheet name="wilcoxon" sheetId="10" r:id="rId15"/>
    <sheet name="tab.wilcoxon" sheetId="12" r:id="rId16"/>
    <sheet name="tab.sign test" sheetId="11" r:id="rId17"/>
    <sheet name="usek" sheetId="7" r:id="rId18"/>
    <sheet name="usek (2)" sheetId="18" r:id="rId19"/>
    <sheet name="kalibraceIS" sheetId="2" r:id="rId20"/>
    <sheet name="IS" sheetId="6" r:id="rId21"/>
    <sheet name="massart" sheetId="4" r:id="rId22"/>
    <sheet name="log eng" sheetId="9" r:id="rId23"/>
  </sheets>
  <calcPr calcId="125725"/>
</workbook>
</file>

<file path=xl/calcChain.xml><?xml version="1.0" encoding="utf-8"?>
<calcChain xmlns="http://schemas.openxmlformats.org/spreadsheetml/2006/main">
  <c r="V24" i="19"/>
  <c r="U24"/>
  <c r="S24" a="1"/>
  <c r="S24" s="1"/>
  <c r="Y3"/>
  <c r="W3" a="1"/>
  <c r="W3" s="1"/>
  <c r="Q14"/>
  <c r="Q15"/>
  <c r="Q16"/>
  <c r="Q17"/>
  <c r="Q18"/>
  <c r="Q13"/>
  <c r="C11" i="25"/>
  <c r="C12"/>
  <c r="C13"/>
  <c r="C14"/>
  <c r="C15"/>
  <c r="C16"/>
  <c r="C17"/>
  <c r="C18"/>
  <c r="C19"/>
  <c r="C10"/>
  <c r="D13" s="1"/>
  <c r="F13" s="1"/>
  <c r="G19" i="28"/>
  <c r="F35"/>
  <c r="F29"/>
  <c r="F23"/>
  <c r="E35"/>
  <c r="E29"/>
  <c r="E23"/>
  <c r="D35"/>
  <c r="D34"/>
  <c r="D33"/>
  <c r="D31"/>
  <c r="D30"/>
  <c r="D28"/>
  <c r="D26"/>
  <c r="D25"/>
  <c r="D19"/>
  <c r="D20"/>
  <c r="D21"/>
  <c r="D22"/>
  <c r="D23"/>
  <c r="D18"/>
  <c r="C19"/>
  <c r="C20"/>
  <c r="C21"/>
  <c r="C22"/>
  <c r="C23"/>
  <c r="C24"/>
  <c r="C25"/>
  <c r="C26"/>
  <c r="C27"/>
  <c r="C28"/>
  <c r="C29"/>
  <c r="C30"/>
  <c r="C31"/>
  <c r="C32"/>
  <c r="C33"/>
  <c r="C34"/>
  <c r="C35"/>
  <c r="C18"/>
  <c r="D34" i="19"/>
  <c r="D35"/>
  <c r="D36"/>
  <c r="D37"/>
  <c r="D38"/>
  <c r="D39"/>
  <c r="D40"/>
  <c r="D33"/>
  <c r="B21" i="27"/>
  <c r="C19"/>
  <c r="B19"/>
  <c r="J4" i="16"/>
  <c r="I24" i="17"/>
  <c r="G12" i="27"/>
  <c r="G13"/>
  <c r="G14"/>
  <c r="G15"/>
  <c r="D21" i="17" a="1"/>
  <c r="E22" s="1"/>
  <c r="I21"/>
  <c r="H17" i="27"/>
  <c r="G8"/>
  <c r="F9"/>
  <c r="F10"/>
  <c r="F11"/>
  <c r="F12"/>
  <c r="F13"/>
  <c r="F14"/>
  <c r="F15"/>
  <c r="F8"/>
  <c r="E9"/>
  <c r="E10"/>
  <c r="E11"/>
  <c r="E12"/>
  <c r="E13"/>
  <c r="E14"/>
  <c r="E15"/>
  <c r="E8"/>
  <c r="C21"/>
  <c r="C18"/>
  <c r="B18"/>
  <c r="C17"/>
  <c r="B17"/>
  <c r="L14" i="24"/>
  <c r="L13"/>
  <c r="J11"/>
  <c r="K11"/>
  <c r="C10"/>
  <c r="C11" s="1"/>
  <c r="D10"/>
  <c r="E10"/>
  <c r="E11" s="1"/>
  <c r="F10"/>
  <c r="F11" s="1"/>
  <c r="G10"/>
  <c r="G11" s="1"/>
  <c r="H10"/>
  <c r="H11" s="1"/>
  <c r="H12" s="1"/>
  <c r="I10"/>
  <c r="J10"/>
  <c r="K10"/>
  <c r="B10"/>
  <c r="B11" s="1"/>
  <c r="I12" s="1"/>
  <c r="D14" i="19"/>
  <c r="D15"/>
  <c r="D16"/>
  <c r="D17"/>
  <c r="D18"/>
  <c r="D13"/>
  <c r="L3" s="1" a="1"/>
  <c r="L3" s="1"/>
  <c r="D19" i="18" a="1"/>
  <c r="D23" s="1"/>
  <c r="D7"/>
  <c r="D6"/>
  <c r="D5"/>
  <c r="D4"/>
  <c r="D3"/>
  <c r="D3" a="1"/>
  <c r="E7" s="1"/>
  <c r="G21" i="17" a="1"/>
  <c r="G25" s="1"/>
  <c r="E9"/>
  <c r="E8"/>
  <c r="E7"/>
  <c r="E6"/>
  <c r="E5"/>
  <c r="E4"/>
  <c r="E3"/>
  <c r="G4" s="1" a="1"/>
  <c r="E2"/>
  <c r="K8" i="16" a="1"/>
  <c r="K8"/>
  <c r="L8"/>
  <c r="K9"/>
  <c r="L9"/>
  <c r="K10"/>
  <c r="L10"/>
  <c r="K11"/>
  <c r="L11"/>
  <c r="K12"/>
  <c r="L12"/>
  <c r="K2" a="1"/>
  <c r="L6" s="1"/>
  <c r="T28" i="19" l="1"/>
  <c r="T27"/>
  <c r="T26"/>
  <c r="T25"/>
  <c r="T24"/>
  <c r="S28"/>
  <c r="S27"/>
  <c r="S26"/>
  <c r="S25"/>
  <c r="X7"/>
  <c r="X6"/>
  <c r="X5"/>
  <c r="X4"/>
  <c r="X3"/>
  <c r="W7"/>
  <c r="W6"/>
  <c r="W5"/>
  <c r="W4"/>
  <c r="D19" i="25"/>
  <c r="F19" s="1"/>
  <c r="O3" i="19" a="1"/>
  <c r="O3" s="1"/>
  <c r="Q3" s="1"/>
  <c r="P6"/>
  <c r="P4"/>
  <c r="O7"/>
  <c r="O5"/>
  <c r="Q5" s="1"/>
  <c r="M7"/>
  <c r="M6"/>
  <c r="N6" s="1"/>
  <c r="M5"/>
  <c r="M4"/>
  <c r="M3"/>
  <c r="L7"/>
  <c r="L6"/>
  <c r="L5"/>
  <c r="L4"/>
  <c r="E12" i="24"/>
  <c r="C12"/>
  <c r="G12"/>
  <c r="J12"/>
  <c r="F12"/>
  <c r="K12"/>
  <c r="D12"/>
  <c r="G17" i="27"/>
  <c r="E23" i="17"/>
  <c r="E21"/>
  <c r="E25"/>
  <c r="D24"/>
  <c r="D22"/>
  <c r="D25"/>
  <c r="D23"/>
  <c r="D21"/>
  <c r="E24"/>
  <c r="B12" i="24"/>
  <c r="E19" i="18"/>
  <c r="E20"/>
  <c r="E21"/>
  <c r="E22"/>
  <c r="E23"/>
  <c r="E3"/>
  <c r="F3" s="1"/>
  <c r="E4"/>
  <c r="E5"/>
  <c r="E6"/>
  <c r="F6" s="1"/>
  <c r="D19"/>
  <c r="D20"/>
  <c r="D21"/>
  <c r="D22"/>
  <c r="G8" i="17"/>
  <c r="G7"/>
  <c r="G6"/>
  <c r="G5"/>
  <c r="G4"/>
  <c r="H8"/>
  <c r="H7"/>
  <c r="H6"/>
  <c r="H5"/>
  <c r="H4"/>
  <c r="H21"/>
  <c r="H22"/>
  <c r="H23"/>
  <c r="H24"/>
  <c r="H25"/>
  <c r="G21"/>
  <c r="G22"/>
  <c r="G23"/>
  <c r="G24"/>
  <c r="K2" i="16"/>
  <c r="K3"/>
  <c r="K4"/>
  <c r="K5"/>
  <c r="K6"/>
  <c r="L2"/>
  <c r="M2" s="1"/>
  <c r="L3"/>
  <c r="L4"/>
  <c r="L5"/>
  <c r="M5" s="1"/>
  <c r="N3" i="19" l="1"/>
  <c r="O4"/>
  <c r="O6"/>
  <c r="P3"/>
  <c r="P5"/>
  <c r="P7"/>
  <c r="G19" i="10"/>
  <c r="D7"/>
  <c r="L43" i="11"/>
  <c r="K43"/>
  <c r="J43"/>
  <c r="I43"/>
  <c r="H43"/>
  <c r="G43"/>
  <c r="F43"/>
  <c r="E43"/>
  <c r="K42"/>
  <c r="J42"/>
  <c r="I42"/>
  <c r="H42"/>
  <c r="G42"/>
  <c r="F42"/>
  <c r="E42"/>
  <c r="K41"/>
  <c r="J41"/>
  <c r="I41"/>
  <c r="H41"/>
  <c r="G41"/>
  <c r="F41"/>
  <c r="E41"/>
  <c r="D41"/>
  <c r="J40"/>
  <c r="I40"/>
  <c r="H40"/>
  <c r="G40"/>
  <c r="F40"/>
  <c r="E40"/>
  <c r="D40"/>
  <c r="J39"/>
  <c r="I39"/>
  <c r="H39"/>
  <c r="G39"/>
  <c r="F39"/>
  <c r="E39"/>
  <c r="D39"/>
  <c r="I38"/>
  <c r="H38"/>
  <c r="G38"/>
  <c r="F38"/>
  <c r="E38"/>
  <c r="D38"/>
  <c r="I37"/>
  <c r="H37"/>
  <c r="G37"/>
  <c r="F37"/>
  <c r="E37"/>
  <c r="D37"/>
  <c r="C37"/>
  <c r="H36"/>
  <c r="G36"/>
  <c r="F36"/>
  <c r="E36"/>
  <c r="D36"/>
  <c r="C36"/>
  <c r="H35"/>
  <c r="G35"/>
  <c r="F35"/>
  <c r="E35"/>
  <c r="D35"/>
  <c r="C35"/>
  <c r="G34"/>
  <c r="F34"/>
  <c r="E34"/>
  <c r="D34"/>
  <c r="C34"/>
  <c r="G33"/>
  <c r="F33"/>
  <c r="E33"/>
  <c r="D33"/>
  <c r="C33"/>
  <c r="B33"/>
  <c r="F32"/>
  <c r="E32"/>
  <c r="D32"/>
  <c r="C32"/>
  <c r="B32"/>
  <c r="F31"/>
  <c r="E31"/>
  <c r="D31"/>
  <c r="C31"/>
  <c r="B31"/>
  <c r="E30"/>
  <c r="D30"/>
  <c r="C30"/>
  <c r="B30"/>
  <c r="E29"/>
  <c r="D29"/>
  <c r="C29"/>
  <c r="B29"/>
  <c r="D28"/>
  <c r="C28"/>
  <c r="B28"/>
  <c r="D27"/>
  <c r="C27"/>
  <c r="B27"/>
  <c r="G18" i="10"/>
  <c r="D19"/>
  <c r="G8"/>
  <c r="G9"/>
  <c r="G10"/>
  <c r="G11"/>
  <c r="G12"/>
  <c r="G13"/>
  <c r="G14"/>
  <c r="G15"/>
  <c r="G16"/>
  <c r="G7"/>
  <c r="F11"/>
  <c r="F10"/>
  <c r="F8"/>
  <c r="F9"/>
  <c r="C8"/>
  <c r="E8"/>
  <c r="C9"/>
  <c r="E9"/>
  <c r="C10"/>
  <c r="E10"/>
  <c r="C11"/>
  <c r="E11"/>
  <c r="C12"/>
  <c r="E12"/>
  <c r="C13"/>
  <c r="E13"/>
  <c r="C14"/>
  <c r="E14"/>
  <c r="C15"/>
  <c r="E15"/>
  <c r="C16"/>
  <c r="E16"/>
  <c r="C7"/>
  <c r="E7"/>
  <c r="F7"/>
  <c r="C39" i="9"/>
  <c r="C40"/>
  <c r="C41"/>
  <c r="C42"/>
  <c r="C43"/>
  <c r="C44"/>
  <c r="C45"/>
  <c r="C38"/>
  <c r="C46"/>
  <c r="B39"/>
  <c r="B40"/>
  <c r="B41"/>
  <c r="B42"/>
  <c r="B43"/>
  <c r="B44"/>
  <c r="B45"/>
  <c r="B38"/>
  <c r="E41" a="1"/>
  <c r="O5"/>
  <c r="Q12" a="1"/>
  <c r="O6"/>
  <c r="O7"/>
  <c r="O8"/>
  <c r="O9"/>
  <c r="O10"/>
  <c r="O11"/>
  <c r="O12"/>
  <c r="P35"/>
  <c r="E6" a="1"/>
  <c r="E6"/>
  <c r="D34"/>
  <c r="D33"/>
  <c r="B21"/>
  <c r="B22"/>
  <c r="B23"/>
  <c r="B24"/>
  <c r="B25"/>
  <c r="B26"/>
  <c r="B27"/>
  <c r="B20"/>
  <c r="C21"/>
  <c r="C22"/>
  <c r="C23"/>
  <c r="C24"/>
  <c r="C25"/>
  <c r="C26"/>
  <c r="C27"/>
  <c r="C20"/>
  <c r="C28"/>
  <c r="B37" i="6"/>
  <c r="E10"/>
  <c r="A43" a="1"/>
  <c r="A43"/>
  <c r="B43"/>
  <c r="C43"/>
  <c r="B44"/>
  <c r="B46"/>
  <c r="C46"/>
  <c r="B47"/>
  <c r="A37"/>
  <c r="D13"/>
  <c r="D37"/>
  <c r="D21"/>
  <c r="D22"/>
  <c r="D23"/>
  <c r="D24"/>
  <c r="D25"/>
  <c r="D26"/>
  <c r="D27"/>
  <c r="D28"/>
  <c r="D29"/>
  <c r="D30"/>
  <c r="D31"/>
  <c r="D32"/>
  <c r="D33"/>
  <c r="D34"/>
  <c r="D35"/>
  <c r="D36"/>
  <c r="D20"/>
  <c r="D14"/>
  <c r="D15"/>
  <c r="D16"/>
  <c r="D17"/>
  <c r="D18"/>
  <c r="D19"/>
  <c r="A38" i="4"/>
  <c r="D32"/>
  <c r="D38"/>
  <c r="B38"/>
  <c r="D41"/>
  <c r="E37"/>
  <c r="B42" a="1"/>
  <c r="B42"/>
  <c r="C33"/>
  <c r="C42"/>
  <c r="A39"/>
  <c r="B43"/>
  <c r="C43"/>
  <c r="B44"/>
  <c r="C44"/>
  <c r="D44"/>
  <c r="B45"/>
  <c r="C45"/>
  <c r="B46"/>
  <c r="C46"/>
  <c r="A12" i="2"/>
  <c r="F4"/>
  <c r="B12"/>
  <c r="A18" a="1"/>
  <c r="A18"/>
  <c r="C5"/>
  <c r="B18"/>
  <c r="B20"/>
  <c r="B22"/>
  <c r="F24"/>
  <c r="A22"/>
  <c r="A20"/>
  <c r="D37" i="4"/>
  <c r="C36"/>
  <c r="D35"/>
  <c r="C34"/>
  <c r="D33"/>
  <c r="C32"/>
  <c r="C37"/>
  <c r="D36"/>
  <c r="C35"/>
  <c r="D34"/>
  <c r="C4" i="2"/>
  <c r="C7"/>
  <c r="C9"/>
  <c r="C6"/>
  <c r="F10"/>
  <c r="F6"/>
  <c r="A47" i="6"/>
  <c r="A46"/>
  <c r="A45"/>
  <c r="A44"/>
  <c r="A19" i="2"/>
  <c r="A21"/>
  <c r="B21"/>
  <c r="B19"/>
  <c r="F9"/>
  <c r="F5"/>
  <c r="F10" i="9"/>
  <c r="F9"/>
  <c r="F8"/>
  <c r="F7"/>
  <c r="F6"/>
  <c r="E10"/>
  <c r="E9"/>
  <c r="E8"/>
  <c r="E7"/>
  <c r="Q12"/>
  <c r="R16"/>
  <c r="R13"/>
  <c r="Q16"/>
  <c r="Q14"/>
  <c r="R15"/>
  <c r="S15"/>
  <c r="R14"/>
  <c r="R12"/>
  <c r="Q15"/>
  <c r="Q13"/>
  <c r="E36" i="4"/>
  <c r="E35"/>
  <c r="E34"/>
  <c r="C21" i="6"/>
  <c r="C26"/>
  <c r="C27"/>
  <c r="C28"/>
  <c r="C29"/>
  <c r="C34"/>
  <c r="C35"/>
  <c r="C36"/>
  <c r="C13"/>
  <c r="C19"/>
  <c r="C15"/>
  <c r="C17"/>
  <c r="A10"/>
  <c r="C22"/>
  <c r="C23"/>
  <c r="C24"/>
  <c r="C25"/>
  <c r="C30"/>
  <c r="C31"/>
  <c r="C32"/>
  <c r="C33"/>
  <c r="C20"/>
  <c r="C18"/>
  <c r="C16"/>
  <c r="C14"/>
  <c r="E42" i="9"/>
  <c r="E44"/>
  <c r="F41"/>
  <c r="F42"/>
  <c r="F44"/>
  <c r="G44"/>
  <c r="F45"/>
  <c r="E41"/>
  <c r="E43"/>
  <c r="E45"/>
  <c r="F43"/>
  <c r="D20"/>
  <c r="D24"/>
  <c r="D44"/>
  <c r="D40"/>
  <c r="E33" i="4"/>
  <c r="F7" i="2"/>
  <c r="F12"/>
  <c r="F11"/>
  <c r="F8"/>
  <c r="C10"/>
  <c r="C11"/>
  <c r="C8"/>
  <c r="E32" i="4"/>
  <c r="E39"/>
  <c r="B28" i="9"/>
  <c r="D27"/>
  <c r="D38"/>
  <c r="B45" i="6"/>
  <c r="E29"/>
  <c r="E23" i="9" a="1"/>
  <c r="B46"/>
  <c r="D9" i="2"/>
  <c r="D6"/>
  <c r="E9"/>
  <c r="E4"/>
  <c r="D5"/>
  <c r="E5"/>
  <c r="E6"/>
  <c r="D4"/>
  <c r="E7"/>
  <c r="D7"/>
  <c r="D11"/>
  <c r="F27" i="9"/>
  <c r="F25"/>
  <c r="F23"/>
  <c r="E26"/>
  <c r="E24"/>
  <c r="E23"/>
  <c r="F26"/>
  <c r="G26"/>
  <c r="F24"/>
  <c r="E27"/>
  <c r="E25"/>
  <c r="D8" i="2"/>
  <c r="E8"/>
  <c r="D39" i="9"/>
  <c r="D41"/>
  <c r="D43"/>
  <c r="D45"/>
  <c r="D38" i="6"/>
  <c r="I40"/>
  <c r="Q19" i="9"/>
  <c r="R18"/>
  <c r="S12"/>
  <c r="E10" i="2"/>
  <c r="D10"/>
  <c r="B47" i="9"/>
  <c r="D47"/>
  <c r="E11" i="2"/>
  <c r="D42" i="9"/>
  <c r="D46"/>
  <c r="D22"/>
  <c r="D26"/>
  <c r="D21"/>
  <c r="D25"/>
  <c r="E17" i="6"/>
  <c r="E19"/>
  <c r="E35"/>
  <c r="E28"/>
  <c r="E26"/>
  <c r="E33"/>
  <c r="E38"/>
  <c r="K40"/>
  <c r="E18"/>
  <c r="E32"/>
  <c r="E30"/>
  <c r="E23"/>
  <c r="E13"/>
  <c r="E21"/>
  <c r="U5" i="9"/>
  <c r="U7"/>
  <c r="U9"/>
  <c r="U11"/>
  <c r="U6"/>
  <c r="U8"/>
  <c r="U10"/>
  <c r="U12"/>
  <c r="D23"/>
  <c r="D28"/>
  <c r="E15" i="6"/>
  <c r="E36"/>
  <c r="E34"/>
  <c r="E27"/>
  <c r="E14"/>
  <c r="E25"/>
  <c r="E16"/>
  <c r="E20"/>
  <c r="E31"/>
  <c r="E24"/>
  <c r="E22"/>
  <c r="J39"/>
  <c r="M39"/>
  <c r="B29" i="9"/>
  <c r="D29"/>
  <c r="T18"/>
  <c r="B31"/>
  <c r="B33"/>
  <c r="C33"/>
  <c r="B34"/>
  <c r="C34"/>
</calcChain>
</file>

<file path=xl/sharedStrings.xml><?xml version="1.0" encoding="utf-8"?>
<sst xmlns="http://schemas.openxmlformats.org/spreadsheetml/2006/main" count="289" uniqueCount="170">
  <si>
    <t>Rezidua</t>
  </si>
  <si>
    <t>Očekávané snížení hladiny cukru (%)</t>
  </si>
  <si>
    <t>Pozorování</t>
  </si>
  <si>
    <t>REZIDUA</t>
  </si>
  <si>
    <t>množství insulinu (ug)</t>
  </si>
  <si>
    <t>Hranice</t>
  </si>
  <si>
    <t>Horní 95.0%</t>
  </si>
  <si>
    <t>Dolní 95.0%</t>
  </si>
  <si>
    <t>Horní 95%</t>
  </si>
  <si>
    <t>Dolní 95%</t>
  </si>
  <si>
    <t>Hodnota P</t>
  </si>
  <si>
    <t>t Stat</t>
  </si>
  <si>
    <t>Chyba stř. hodnoty</t>
  </si>
  <si>
    <t>Koeficienty</t>
  </si>
  <si>
    <t>Celkem</t>
  </si>
  <si>
    <t>Regrese</t>
  </si>
  <si>
    <t>Významnost F</t>
  </si>
  <si>
    <t>F</t>
  </si>
  <si>
    <t>MS</t>
  </si>
  <si>
    <t>SS</t>
  </si>
  <si>
    <t>Rozdíl</t>
  </si>
  <si>
    <t>ANOVA</t>
  </si>
  <si>
    <t>Nastavená hodnota spolehlivosti R</t>
  </si>
  <si>
    <t>Hodnota spolehlivosti R</t>
  </si>
  <si>
    <t>Násobné R</t>
  </si>
  <si>
    <t>Regresní statistika</t>
  </si>
  <si>
    <t>snížení hladiny cukru (%)</t>
  </si>
  <si>
    <t>VÝSLEDEK</t>
  </si>
  <si>
    <t>Analýza dat:regrese</t>
  </si>
  <si>
    <t>R2</t>
  </si>
  <si>
    <t>ssres</t>
  </si>
  <si>
    <t>ssreg</t>
  </si>
  <si>
    <t>stupvol</t>
  </si>
  <si>
    <t>syx</t>
  </si>
  <si>
    <t>sb</t>
  </si>
  <si>
    <t>sa</t>
  </si>
  <si>
    <t>b</t>
  </si>
  <si>
    <t>a</t>
  </si>
  <si>
    <t>klíč:</t>
  </si>
  <si>
    <t>linregrese()</t>
  </si>
  <si>
    <t>Byl vyvinut nový druh insulinu a zkoumá se závislost snížení hladiny cukru v krvi pacienta na množství nového insulinu určitou dobu před měřením. 
Náhodně vybraným 8 pacientům byla naočkována různá množství insulinu a po určité době bylo těmto pacientům  změřeno snížení cukru v krvi. Výsledky měření: </t>
  </si>
  <si>
    <t>Instrument
 readings</t>
  </si>
  <si>
    <t>Concentration
 of the standards</t>
  </si>
  <si>
    <t>Calibration data</t>
  </si>
  <si>
    <t>dx</t>
  </si>
  <si>
    <t>pás</t>
  </si>
  <si>
    <t>i.s.(x)</t>
  </si>
  <si>
    <t>http://terpconnect.umd.edu/~toh/models/CalibrationCurve.html</t>
  </si>
  <si>
    <r>
      <t>E</t>
    </r>
    <r>
      <rPr>
        <b/>
        <vertAlign val="subscript"/>
        <sz val="11"/>
        <rFont val="Arial"/>
        <family val="2"/>
        <charset val="238"/>
      </rPr>
      <t>meas</t>
    </r>
    <r>
      <rPr>
        <b/>
        <sz val="11"/>
        <rFont val="Arial"/>
        <family val="2"/>
        <charset val="238"/>
      </rPr>
      <t>, mV</t>
    </r>
  </si>
  <si>
    <r>
      <t>In the potentiometric determination of Pb</t>
    </r>
    <r>
      <rPr>
        <vertAlign val="superscript"/>
        <sz val="11"/>
        <rFont val="Arial"/>
        <family val="2"/>
        <charset val="238"/>
      </rPr>
      <t>2+</t>
    </r>
    <r>
      <rPr>
        <sz val="11"/>
        <rFont val="Arial"/>
        <family val="2"/>
        <charset val="238"/>
      </rPr>
      <t xml:space="preserve"> in solution, the following calibration data was collected.</t>
    </r>
  </si>
  <si>
    <t>Example 2</t>
  </si>
  <si>
    <t>% transmittance</t>
  </si>
  <si>
    <t>conc, ppm</t>
  </si>
  <si>
    <t>The following data was obtained in the analysis of copper using flame atomic absorption spectroscopy.</t>
  </si>
  <si>
    <t>https://facultystaff.richmond.edu/~cstevens/301/Calibration3.html</t>
  </si>
  <si>
    <t>Example 1</t>
  </si>
  <si>
    <t>x (ng/ml)</t>
  </si>
  <si>
    <t>i.s.</t>
  </si>
  <si>
    <t>lin.reg.</t>
  </si>
  <si>
    <t>y (a.u.)</t>
  </si>
  <si>
    <t>example 1, p.175</t>
  </si>
  <si>
    <t>Soubor X 1</t>
  </si>
  <si>
    <t>example 2, p.185</t>
  </si>
  <si>
    <t>h0 se zamítá, úsek je významný</t>
  </si>
  <si>
    <t>testování úseku</t>
  </si>
  <si>
    <t>počet bodů je důležitý</t>
  </si>
  <si>
    <t>c(mg/L)</t>
  </si>
  <si>
    <t>signál (mV)</t>
  </si>
  <si>
    <t>průměr</t>
  </si>
  <si>
    <t xml:space="preserve"> </t>
  </si>
  <si>
    <r>
      <t>Pb</t>
    </r>
    <r>
      <rPr>
        <b/>
        <vertAlign val="superscript"/>
        <sz val="11"/>
        <rFont val="Arial"/>
        <family val="2"/>
        <charset val="238"/>
      </rPr>
      <t>2+</t>
    </r>
    <r>
      <rPr>
        <b/>
        <sz val="11"/>
        <rFont val="Arial"/>
        <family val="2"/>
        <charset val="238"/>
      </rPr>
      <t>, ppm</t>
    </r>
  </si>
  <si>
    <r>
      <t>Another solution, whose concentration of Pb</t>
    </r>
    <r>
      <rPr>
        <vertAlign val="superscript"/>
        <sz val="11"/>
        <rFont val="Arial"/>
        <family val="2"/>
        <charset val="238"/>
      </rPr>
      <t>2+</t>
    </r>
    <r>
      <rPr>
        <sz val="11"/>
        <rFont val="Arial"/>
        <family val="2"/>
        <charset val="238"/>
      </rPr>
      <t xml:space="preserve"> was not known, yielded a measured potential of -300.8 mV</t>
    </r>
  </si>
  <si>
    <t>Report the concentration of lead in the solution in the form of a confidence interval.</t>
  </si>
  <si>
    <t>h0 platí, úsek je 0</t>
  </si>
  <si>
    <t>c</t>
  </si>
  <si>
    <t>mAU</t>
  </si>
  <si>
    <t>linregrese</t>
  </si>
  <si>
    <t>výpočet intervalu spolehlivosti</t>
  </si>
  <si>
    <t xml:space="preserve"> =vzorek</t>
  </si>
  <si>
    <t xml:space="preserve"> +/-</t>
  </si>
  <si>
    <t>dolní hranice i.s.=</t>
  </si>
  <si>
    <t>horní hranice i.s.=</t>
  </si>
  <si>
    <t>y</t>
  </si>
  <si>
    <t>log(x)</t>
  </si>
  <si>
    <t>pro i.s.=</t>
  </si>
  <si>
    <t>is=</t>
  </si>
  <si>
    <t>L1</t>
  </si>
  <si>
    <t>L2</t>
  </si>
  <si>
    <t>y*=x/y</t>
  </si>
  <si>
    <t>y*=</t>
  </si>
  <si>
    <t>x=</t>
  </si>
  <si>
    <t>mg/l</t>
  </si>
  <si>
    <t>x/300.8</t>
  </si>
  <si>
    <t>y=1/(b+a/x)</t>
  </si>
  <si>
    <t>ln(x)</t>
  </si>
  <si>
    <t>příklad massart</t>
  </si>
  <si>
    <t>Wilcoxon, str. 344, Tabulka 12.2</t>
  </si>
  <si>
    <t>metoda1</t>
  </si>
  <si>
    <t>metoda2</t>
  </si>
  <si>
    <t>d(i)</t>
  </si>
  <si>
    <t>znaménko</t>
  </si>
  <si>
    <t>-</t>
  </si>
  <si>
    <t>+</t>
  </si>
  <si>
    <t>pořadí</t>
  </si>
  <si>
    <t>abs(di)</t>
  </si>
  <si>
    <t>znam.pořadí</t>
  </si>
  <si>
    <t>stejně jako massart</t>
  </si>
  <si>
    <t>krit.(&gt;25)=</t>
  </si>
  <si>
    <r>
      <rPr>
        <sz val="7"/>
        <rFont val="Times New Roman"/>
        <family val="1"/>
        <charset val="238"/>
      </rPr>
      <t>TABLE 12.3</t>
    </r>
  </si>
  <si>
    <t>p.345</t>
  </si>
  <si>
    <t>n/r</t>
  </si>
  <si>
    <t>Table 12.4., p.346</t>
  </si>
  <si>
    <t>alpha=0.05</t>
  </si>
  <si>
    <t>n</t>
  </si>
  <si>
    <t>one-tailed</t>
  </si>
  <si>
    <t>double-tailed</t>
  </si>
  <si>
    <t>two-sided</t>
  </si>
  <si>
    <r>
      <t>The sign test. The table gives the probability that out of</t>
    </r>
    <r>
      <rPr>
        <i/>
        <sz val="8"/>
        <rFont val="Tahoma"/>
        <family val="2"/>
        <charset val="238"/>
      </rPr>
      <t xml:space="preserve"> n</t>
    </r>
    <r>
      <rPr>
        <sz val="8"/>
        <rFont val="Tahoma"/>
        <family val="2"/>
        <charset val="238"/>
      </rPr>
      <t xml:space="preserve"> positive and negative signs, the smaller number of like</t>
    </r>
  </si>
  <si>
    <r>
      <t>signs is equal to or smaller than</t>
    </r>
    <r>
      <rPr>
        <i/>
        <sz val="8"/>
        <rFont val="Tahoma"/>
        <family val="2"/>
        <charset val="238"/>
      </rPr>
      <t xml:space="preserve"> r.</t>
    </r>
    <r>
      <rPr>
        <sz val="8"/>
        <rFont val="Tahoma"/>
        <family val="2"/>
        <charset val="238"/>
      </rPr>
      <t xml:space="preserve"> The values are for a one-sided test. They should be doubled for a two-sided test.</t>
    </r>
  </si>
  <si>
    <t>H0 platí</t>
  </si>
  <si>
    <t>&gt;</t>
  </si>
  <si>
    <t>p=</t>
  </si>
  <si>
    <t>&gt;0.05</t>
  </si>
  <si>
    <t>Dvěma analytickými metodami byly získány údaje o množství pesticidu v 1 l vody (ug)</t>
  </si>
  <si>
    <t>prokažte silnou korelaci a otestujte významnost úseku regresní přímky.</t>
  </si>
  <si>
    <t>úsek je nevýznamný</t>
  </si>
  <si>
    <t>r(krit.6)=</t>
  </si>
  <si>
    <t>A</t>
  </si>
  <si>
    <t>správná h.=</t>
  </si>
  <si>
    <t>abs</t>
  </si>
  <si>
    <t>rank</t>
  </si>
  <si>
    <t>prům.=</t>
  </si>
  <si>
    <t>s=</t>
  </si>
  <si>
    <t>s2=</t>
  </si>
  <si>
    <t>rozdíly</t>
  </si>
  <si>
    <t>abs()</t>
  </si>
  <si>
    <t>párový t-test</t>
  </si>
  <si>
    <t>Wilcoxonův párový test</t>
  </si>
  <si>
    <t>ověření normality v Gnumeric</t>
  </si>
  <si>
    <t xml:space="preserve"> =T(x)</t>
  </si>
  <si>
    <t xml:space="preserve"> =c(x)</t>
  </si>
  <si>
    <t xml:space="preserve"> =R</t>
  </si>
  <si>
    <t xml:space="preserve">Následující data byla získána při analýze mědi pomocí atomové absorpční spektrofotometrie. </t>
  </si>
  <si>
    <t>Pomocí lineární regrese najděte kalibrační funkci (uveďte a, b, R na čtyři desetinná místa).</t>
  </si>
  <si>
    <t>Vypočítejte koncentraci mědi pro neznámý vzorek s transmitancí 35.6%.</t>
  </si>
  <si>
    <t xml:space="preserve"> =R2</t>
  </si>
  <si>
    <t xml:space="preserve"> =N</t>
  </si>
  <si>
    <t xml:space="preserve"> =s(xy)</t>
  </si>
  <si>
    <t>log c</t>
  </si>
  <si>
    <t>příklad na vylučování nulových rozdílů:</t>
  </si>
  <si>
    <t>vzorek č.</t>
  </si>
  <si>
    <t>N=</t>
  </si>
  <si>
    <t>H=</t>
  </si>
  <si>
    <t>&lt;</t>
  </si>
  <si>
    <r>
      <t>In the potentiometric determination of Pb</t>
    </r>
    <r>
      <rPr>
        <vertAlign val="superscript"/>
        <sz val="11"/>
        <rFont val="Arial"/>
        <family val="2"/>
        <charset val="238"/>
      </rPr>
      <t>2+</t>
    </r>
    <r>
      <rPr>
        <sz val="11"/>
        <rFont val="Arial"/>
        <family val="2"/>
        <charset val="238"/>
      </rPr>
      <t xml:space="preserve"> in solution, the following calibration data were collected.</t>
    </r>
  </si>
  <si>
    <t>The following data were obtained in the analysis of copper using flame atomic absorption spectroscopy.</t>
  </si>
  <si>
    <t>naměřené h.=</t>
  </si>
  <si>
    <t>&gt;8</t>
  </si>
  <si>
    <t>Mann-Whitney U-test</t>
  </si>
  <si>
    <t>stimulátor</t>
  </si>
  <si>
    <t>bez</t>
  </si>
  <si>
    <t>R</t>
  </si>
  <si>
    <t>U</t>
  </si>
  <si>
    <t>N</t>
  </si>
  <si>
    <t xml:space="preserve"> =</t>
  </si>
  <si>
    <t>ln</t>
  </si>
  <si>
    <t>toto řešení je jen ln-transformace bez znalosti Lambert Beerova zákona:</t>
  </si>
  <si>
    <t>loglinregrese</t>
  </si>
  <si>
    <t xml:space="preserve"> -log</t>
  </si>
  <si>
    <t>2-log</t>
  </si>
</sst>
</file>

<file path=xl/styles.xml><?xml version="1.0" encoding="utf-8"?>
<styleSheet xmlns="http://schemas.openxmlformats.org/spreadsheetml/2006/main">
  <numFmts count="5">
    <numFmt numFmtId="164" formatCode="0.0000"/>
    <numFmt numFmtId="165" formatCode="0.0"/>
    <numFmt numFmtId="166" formatCode="0.000"/>
    <numFmt numFmtId="167" formatCode="0.0000000"/>
    <numFmt numFmtId="168" formatCode="#,###"/>
  </numFmts>
  <fonts count="35">
    <font>
      <sz val="10"/>
      <name val="Arial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1"/>
      <name val="Arial"/>
      <family val="2"/>
      <charset val="238"/>
    </font>
    <font>
      <b/>
      <vertAlign val="subscript"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7"/>
      <name val="Times New Roman"/>
      <family val="1"/>
      <charset val="238"/>
    </font>
    <font>
      <sz val="8"/>
      <name val="Arial"/>
      <family val="2"/>
      <charset val="238"/>
    </font>
    <font>
      <sz val="8"/>
      <name val="Tahoma"/>
      <family val="2"/>
      <charset val="238"/>
    </font>
    <font>
      <i/>
      <sz val="8"/>
      <name val="Tahoma"/>
      <family val="2"/>
      <charset val="238"/>
    </font>
    <font>
      <u/>
      <sz val="10"/>
      <color theme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7030A0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sz val="10"/>
      <color rgb="FF00B05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B0F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rgb="FF00B050"/>
      <name val="Arial"/>
      <family val="2"/>
      <charset val="238"/>
    </font>
    <font>
      <i/>
      <sz val="10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i/>
      <sz val="10"/>
      <color theme="9" tint="-0.249977111117893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47">
    <xf numFmtId="0" fontId="0" fillId="0" borderId="0" xfId="0"/>
    <xf numFmtId="0" fontId="0" fillId="0" borderId="0" xfId="0" applyBorder="1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2" xfId="0" applyFont="1" applyFill="1" applyBorder="1" applyAlignment="1">
      <alignment horizontal="centerContinuous"/>
    </xf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5" xfId="0" applyBorder="1"/>
    <xf numFmtId="0" fontId="0" fillId="0" borderId="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6" xfId="0" applyBorder="1"/>
    <xf numFmtId="0" fontId="0" fillId="4" borderId="0" xfId="0" applyFill="1"/>
    <xf numFmtId="0" fontId="0" fillId="0" borderId="7" xfId="0" applyBorder="1" applyAlignment="1">
      <alignment vertical="top" wrapText="1"/>
    </xf>
    <xf numFmtId="0" fontId="0" fillId="0" borderId="0" xfId="0" applyAlignment="1">
      <alignment wrapText="1"/>
    </xf>
    <xf numFmtId="0" fontId="20" fillId="0" borderId="0" xfId="0" applyFont="1"/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wrapText="1"/>
    </xf>
    <xf numFmtId="0" fontId="5" fillId="0" borderId="0" xfId="0" applyFont="1"/>
    <xf numFmtId="164" fontId="21" fillId="0" borderId="0" xfId="0" applyNumberFormat="1" applyFont="1"/>
    <xf numFmtId="164" fontId="21" fillId="4" borderId="0" xfId="0" applyNumberFormat="1" applyFont="1" applyFill="1"/>
    <xf numFmtId="2" fontId="1" fillId="0" borderId="0" xfId="0" applyNumberFormat="1" applyFont="1"/>
    <xf numFmtId="164" fontId="1" fillId="0" borderId="0" xfId="0" applyNumberFormat="1" applyFont="1"/>
    <xf numFmtId="164" fontId="22" fillId="0" borderId="0" xfId="0" applyNumberFormat="1" applyFont="1"/>
    <xf numFmtId="165" fontId="22" fillId="0" borderId="0" xfId="0" applyNumberFormat="1" applyFont="1"/>
    <xf numFmtId="2" fontId="22" fillId="0" borderId="0" xfId="0" applyNumberFormat="1" applyFont="1"/>
    <xf numFmtId="165" fontId="1" fillId="0" borderId="0" xfId="0" applyNumberFormat="1" applyFont="1"/>
    <xf numFmtId="2" fontId="20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left" vertical="top" wrapText="1"/>
    </xf>
    <xf numFmtId="0" fontId="6" fillId="0" borderId="0" xfId="0" applyFont="1"/>
    <xf numFmtId="0" fontId="6" fillId="5" borderId="21" xfId="0" applyFont="1" applyFill="1" applyBorder="1" applyAlignment="1">
      <alignment horizontal="center" wrapText="1"/>
    </xf>
    <xf numFmtId="0" fontId="8" fillId="5" borderId="21" xfId="0" applyFont="1" applyFill="1" applyBorder="1" applyAlignment="1">
      <alignment horizontal="center" vertical="center" wrapText="1"/>
    </xf>
    <xf numFmtId="0" fontId="0" fillId="6" borderId="0" xfId="0" applyFill="1"/>
    <xf numFmtId="0" fontId="18" fillId="0" borderId="0" xfId="0" applyFont="1"/>
    <xf numFmtId="0" fontId="11" fillId="0" borderId="0" xfId="0" applyFont="1"/>
    <xf numFmtId="0" fontId="23" fillId="4" borderId="0" xfId="0" applyFont="1" applyFill="1"/>
    <xf numFmtId="165" fontId="22" fillId="4" borderId="0" xfId="0" applyNumberFormat="1" applyFont="1" applyFill="1"/>
    <xf numFmtId="2" fontId="1" fillId="4" borderId="0" xfId="0" applyNumberFormat="1" applyFont="1" applyFill="1"/>
    <xf numFmtId="165" fontId="24" fillId="4" borderId="8" xfId="0" applyNumberFormat="1" applyFont="1" applyFill="1" applyBorder="1"/>
    <xf numFmtId="0" fontId="25" fillId="0" borderId="1" xfId="0" applyFont="1" applyFill="1" applyBorder="1" applyAlignment="1"/>
    <xf numFmtId="0" fontId="25" fillId="0" borderId="0" xfId="0" applyFont="1" applyFill="1" applyBorder="1" applyAlignment="1"/>
    <xf numFmtId="2" fontId="0" fillId="0" borderId="0" xfId="0" applyNumberFormat="1"/>
    <xf numFmtId="2" fontId="0" fillId="0" borderId="1" xfId="0" applyNumberFormat="1" applyFill="1" applyBorder="1" applyAlignment="1"/>
    <xf numFmtId="2" fontId="0" fillId="0" borderId="0" xfId="0" applyNumberFormat="1" applyFill="1" applyBorder="1" applyAlignment="1"/>
    <xf numFmtId="166" fontId="0" fillId="0" borderId="0" xfId="0" applyNumberFormat="1" applyFill="1" applyBorder="1" applyAlignment="1"/>
    <xf numFmtId="0" fontId="0" fillId="4" borderId="0" xfId="0" applyFill="1" applyBorder="1" applyAlignment="1"/>
    <xf numFmtId="0" fontId="17" fillId="6" borderId="0" xfId="1" applyFill="1" applyAlignment="1" applyProtection="1"/>
    <xf numFmtId="0" fontId="1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5" fillId="0" borderId="0" xfId="0" applyFont="1"/>
    <xf numFmtId="164" fontId="2" fillId="0" borderId="0" xfId="0" applyNumberFormat="1" applyFont="1"/>
    <xf numFmtId="164" fontId="2" fillId="4" borderId="0" xfId="0" applyNumberFormat="1" applyFont="1" applyFill="1"/>
    <xf numFmtId="165" fontId="2" fillId="0" borderId="0" xfId="0" applyNumberFormat="1" applyFont="1"/>
    <xf numFmtId="2" fontId="2" fillId="0" borderId="0" xfId="0" applyNumberFormat="1" applyFont="1"/>
    <xf numFmtId="0" fontId="5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0" fillId="0" borderId="0" xfId="0" applyNumberFormat="1"/>
    <xf numFmtId="165" fontId="0" fillId="0" borderId="0" xfId="0" applyNumberFormat="1" applyBorder="1"/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0" fillId="0" borderId="12" xfId="0" applyBorder="1"/>
    <xf numFmtId="165" fontId="2" fillId="0" borderId="13" xfId="0" applyNumberFormat="1" applyFont="1" applyBorder="1" applyAlignment="1">
      <alignment horizontal="right"/>
    </xf>
    <xf numFmtId="165" fontId="0" fillId="0" borderId="14" xfId="0" applyNumberFormat="1" applyBorder="1"/>
    <xf numFmtId="165" fontId="2" fillId="0" borderId="13" xfId="0" applyNumberFormat="1" applyFont="1" applyFill="1" applyBorder="1" applyAlignment="1">
      <alignment horizontal="right"/>
    </xf>
    <xf numFmtId="165" fontId="2" fillId="0" borderId="15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165" fontId="0" fillId="0" borderId="1" xfId="0" applyNumberFormat="1" applyBorder="1"/>
    <xf numFmtId="165" fontId="0" fillId="0" borderId="16" xfId="0" applyNumberFormat="1" applyBorder="1"/>
    <xf numFmtId="0" fontId="25" fillId="0" borderId="0" xfId="0" applyFont="1" applyFill="1"/>
    <xf numFmtId="0" fontId="28" fillId="0" borderId="0" xfId="0" applyFont="1" applyFill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8" xfId="0" applyBorder="1"/>
    <xf numFmtId="0" fontId="18" fillId="0" borderId="8" xfId="0" applyFont="1" applyBorder="1"/>
    <xf numFmtId="2" fontId="12" fillId="0" borderId="0" xfId="0" applyNumberFormat="1" applyFont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165" fontId="24" fillId="0" borderId="0" xfId="0" applyNumberFormat="1" applyFont="1"/>
    <xf numFmtId="0" fontId="12" fillId="0" borderId="0" xfId="0" applyFont="1"/>
    <xf numFmtId="164" fontId="22" fillId="4" borderId="0" xfId="0" applyNumberFormat="1" applyFont="1" applyFill="1"/>
    <xf numFmtId="166" fontId="18" fillId="4" borderId="0" xfId="0" applyNumberFormat="1" applyFont="1" applyFill="1"/>
    <xf numFmtId="166" fontId="29" fillId="0" borderId="0" xfId="0" applyNumberFormat="1" applyFont="1"/>
    <xf numFmtId="165" fontId="5" fillId="0" borderId="0" xfId="0" applyNumberFormat="1" applyFont="1" applyAlignment="1">
      <alignment horizontal="left"/>
    </xf>
    <xf numFmtId="165" fontId="30" fillId="0" borderId="0" xfId="0" applyNumberFormat="1" applyFont="1"/>
    <xf numFmtId="0" fontId="31" fillId="0" borderId="0" xfId="0" applyFont="1" applyAlignment="1">
      <alignment horizontal="center"/>
    </xf>
    <xf numFmtId="164" fontId="30" fillId="0" borderId="0" xfId="0" applyNumberFormat="1" applyFont="1"/>
    <xf numFmtId="2" fontId="24" fillId="0" borderId="0" xfId="0" applyNumberFormat="1" applyFont="1"/>
    <xf numFmtId="1" fontId="2" fillId="0" borderId="0" xfId="0" applyNumberFormat="1" applyFont="1" applyFill="1"/>
    <xf numFmtId="165" fontId="5" fillId="4" borderId="0" xfId="0" applyNumberFormat="1" applyFont="1" applyFill="1"/>
    <xf numFmtId="0" fontId="5" fillId="4" borderId="0" xfId="0" applyFont="1" applyFill="1" applyAlignment="1">
      <alignment horizontal="center"/>
    </xf>
    <xf numFmtId="165" fontId="5" fillId="4" borderId="0" xfId="0" applyNumberFormat="1" applyFont="1" applyFill="1" applyAlignment="1">
      <alignment horizontal="left"/>
    </xf>
    <xf numFmtId="0" fontId="0" fillId="0" borderId="0" xfId="0" applyAlignment="1">
      <alignment horizontal="right"/>
    </xf>
    <xf numFmtId="2" fontId="1" fillId="0" borderId="0" xfId="0" applyNumberFormat="1" applyFont="1" applyAlignment="1">
      <alignment horizontal="right"/>
    </xf>
    <xf numFmtId="1" fontId="25" fillId="0" borderId="0" xfId="0" applyNumberFormat="1" applyFont="1"/>
    <xf numFmtId="0" fontId="32" fillId="7" borderId="0" xfId="0" applyFont="1" applyFill="1"/>
    <xf numFmtId="0" fontId="2" fillId="0" borderId="6" xfId="0" applyFont="1" applyBorder="1"/>
    <xf numFmtId="167" fontId="0" fillId="0" borderId="0" xfId="0" applyNumberFormat="1"/>
    <xf numFmtId="166" fontId="0" fillId="0" borderId="0" xfId="0" applyNumberFormat="1"/>
    <xf numFmtId="1" fontId="0" fillId="0" borderId="0" xfId="0" applyNumberFormat="1"/>
    <xf numFmtId="167" fontId="5" fillId="0" borderId="0" xfId="0" applyNumberFormat="1" applyFont="1"/>
    <xf numFmtId="2" fontId="18" fillId="0" borderId="0" xfId="0" applyNumberFormat="1" applyFont="1"/>
    <xf numFmtId="165" fontId="18" fillId="3" borderId="0" xfId="0" applyNumberFormat="1" applyFont="1" applyFill="1"/>
    <xf numFmtId="165" fontId="25" fillId="3" borderId="0" xfId="0" applyNumberFormat="1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2" applyBorder="1" applyAlignment="1">
      <alignment vertical="top"/>
    </xf>
    <xf numFmtId="0" fontId="2" fillId="0" borderId="0" xfId="2"/>
    <xf numFmtId="0" fontId="2" fillId="0" borderId="0" xfId="2" applyFont="1"/>
    <xf numFmtId="0" fontId="13" fillId="0" borderId="19" xfId="2" applyFont="1" applyBorder="1" applyAlignment="1">
      <alignment horizontal="left" vertical="top"/>
    </xf>
    <xf numFmtId="166" fontId="14" fillId="0" borderId="0" xfId="2" applyNumberFormat="1" applyFont="1" applyBorder="1" applyAlignment="1">
      <alignment horizontal="left" vertical="top" indent="1"/>
    </xf>
    <xf numFmtId="166" fontId="14" fillId="0" borderId="1" xfId="2" applyNumberFormat="1" applyFont="1" applyBorder="1" applyAlignment="1">
      <alignment horizontal="left" vertical="top" indent="1"/>
    </xf>
    <xf numFmtId="0" fontId="14" fillId="0" borderId="0" xfId="2" applyFont="1"/>
    <xf numFmtId="0" fontId="3" fillId="0" borderId="0" xfId="2" applyFont="1"/>
    <xf numFmtId="0" fontId="2" fillId="0" borderId="19" xfId="2" applyNumberFormat="1" applyBorder="1" applyAlignment="1">
      <alignment horizontal="left" vertical="top" indent="1"/>
    </xf>
    <xf numFmtId="0" fontId="2" fillId="0" borderId="20" xfId="2" applyNumberFormat="1" applyBorder="1" applyAlignment="1">
      <alignment horizontal="left" vertical="top"/>
    </xf>
    <xf numFmtId="0" fontId="2" fillId="0" borderId="0" xfId="2" applyNumberFormat="1" applyBorder="1" applyAlignment="1">
      <alignment horizontal="left" vertical="top"/>
    </xf>
    <xf numFmtId="0" fontId="2" fillId="0" borderId="1" xfId="2" applyNumberFormat="1" applyBorder="1" applyAlignment="1">
      <alignment horizontal="left" vertical="top"/>
    </xf>
    <xf numFmtId="0" fontId="15" fillId="0" borderId="0" xfId="2" applyFont="1" applyBorder="1" applyAlignment="1">
      <alignment vertical="top"/>
    </xf>
    <xf numFmtId="0" fontId="14" fillId="0" borderId="20" xfId="2" applyNumberFormat="1" applyFont="1" applyBorder="1" applyAlignment="1">
      <alignment horizontal="left" vertical="top" indent="1"/>
    </xf>
    <xf numFmtId="0" fontId="14" fillId="0" borderId="20" xfId="2" applyNumberFormat="1" applyFont="1" applyBorder="1" applyAlignment="1">
      <alignment horizontal="left" vertical="top"/>
    </xf>
    <xf numFmtId="0" fontId="14" fillId="0" borderId="20" xfId="2" applyFont="1" applyBorder="1" applyAlignment="1">
      <alignment horizontal="left" vertical="top"/>
    </xf>
    <xf numFmtId="0" fontId="14" fillId="0" borderId="0" xfId="2" applyNumberFormat="1" applyFont="1" applyBorder="1" applyAlignment="1">
      <alignment horizontal="left" vertical="top" indent="1"/>
    </xf>
    <xf numFmtId="0" fontId="14" fillId="0" borderId="0" xfId="2" applyNumberFormat="1" applyFont="1" applyBorder="1" applyAlignment="1">
      <alignment horizontal="left" vertical="top"/>
    </xf>
    <xf numFmtId="0" fontId="14" fillId="0" borderId="0" xfId="2" applyFont="1" applyBorder="1" applyAlignment="1">
      <alignment horizontal="left" vertical="top"/>
    </xf>
    <xf numFmtId="0" fontId="14" fillId="0" borderId="0" xfId="2" applyFont="1" applyBorder="1" applyAlignment="1">
      <alignment horizontal="left" vertical="top" indent="1"/>
    </xf>
    <xf numFmtId="0" fontId="14" fillId="0" borderId="1" xfId="2" applyFont="1" applyBorder="1" applyAlignment="1">
      <alignment horizontal="left" vertical="top" indent="1"/>
    </xf>
    <xf numFmtId="0" fontId="14" fillId="0" borderId="1" xfId="2" applyFont="1" applyBorder="1" applyAlignment="1">
      <alignment horizontal="left" vertical="top"/>
    </xf>
    <xf numFmtId="0" fontId="14" fillId="0" borderId="1" xfId="2" applyNumberFormat="1" applyFont="1" applyBorder="1" applyAlignment="1">
      <alignment horizontal="left" vertical="top"/>
    </xf>
    <xf numFmtId="0" fontId="2" fillId="0" borderId="5" xfId="0" applyFont="1" applyBorder="1"/>
    <xf numFmtId="168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0" fontId="2" fillId="0" borderId="0" xfId="2" applyAlignment="1">
      <alignment wrapText="1"/>
    </xf>
    <xf numFmtId="0" fontId="2" fillId="0" borderId="8" xfId="2" applyBorder="1" applyAlignment="1">
      <alignment vertical="top" wrapText="1"/>
    </xf>
    <xf numFmtId="0" fontId="2" fillId="0" borderId="7" xfId="2" applyBorder="1" applyAlignment="1">
      <alignment vertical="top" wrapText="1"/>
    </xf>
    <xf numFmtId="0" fontId="2" fillId="0" borderId="3" xfId="2" applyBorder="1" applyAlignment="1">
      <alignment vertical="top" wrapText="1"/>
    </xf>
    <xf numFmtId="0" fontId="4" fillId="0" borderId="0" xfId="2" applyFont="1"/>
    <xf numFmtId="0" fontId="2" fillId="3" borderId="0" xfId="2" applyFill="1"/>
    <xf numFmtId="0" fontId="19" fillId="4" borderId="0" xfId="2" applyFont="1" applyFill="1"/>
    <xf numFmtId="0" fontId="2" fillId="3" borderId="9" xfId="2" applyFont="1" applyFill="1" applyBorder="1"/>
    <xf numFmtId="0" fontId="2" fillId="3" borderId="10" xfId="2" applyFill="1" applyBorder="1"/>
    <xf numFmtId="0" fontId="2" fillId="4" borderId="0" xfId="2" applyFill="1"/>
    <xf numFmtId="0" fontId="2" fillId="0" borderId="6" xfId="2" applyFont="1" applyBorder="1"/>
    <xf numFmtId="0" fontId="2" fillId="0" borderId="5" xfId="2" applyBorder="1"/>
    <xf numFmtId="0" fontId="2" fillId="0" borderId="6" xfId="2" applyBorder="1"/>
    <xf numFmtId="0" fontId="18" fillId="4" borderId="0" xfId="2" applyFont="1" applyFill="1"/>
    <xf numFmtId="0" fontId="3" fillId="0" borderId="6" xfId="2" applyFont="1" applyBorder="1" applyAlignment="1">
      <alignment horizontal="left"/>
    </xf>
    <xf numFmtId="0" fontId="3" fillId="0" borderId="4" xfId="2" applyFont="1" applyBorder="1"/>
    <xf numFmtId="0" fontId="3" fillId="0" borderId="3" xfId="2" applyFont="1" applyBorder="1"/>
    <xf numFmtId="0" fontId="2" fillId="2" borderId="0" xfId="2" applyFill="1"/>
    <xf numFmtId="0" fontId="2" fillId="2" borderId="0" xfId="2" applyFont="1" applyFill="1"/>
    <xf numFmtId="0" fontId="2" fillId="0" borderId="0" xfId="2" applyFill="1" applyBorder="1" applyAlignment="1"/>
    <xf numFmtId="0" fontId="2" fillId="0" borderId="0" xfId="2" applyFont="1" applyAlignment="1">
      <alignment horizontal="right"/>
    </xf>
    <xf numFmtId="0" fontId="2" fillId="0" borderId="0" xfId="2" applyFont="1" applyBorder="1" applyAlignment="1">
      <alignment horizontal="right"/>
    </xf>
    <xf numFmtId="0" fontId="2" fillId="0" borderId="0" xfId="2" applyBorder="1"/>
    <xf numFmtId="0" fontId="2" fillId="0" borderId="0" xfId="2" applyFont="1" applyFill="1" applyBorder="1" applyAlignment="1">
      <alignment horizontal="right"/>
    </xf>
    <xf numFmtId="0" fontId="1" fillId="0" borderId="0" xfId="2" applyFont="1" applyFill="1" applyBorder="1" applyAlignment="1">
      <alignment horizontal="center"/>
    </xf>
    <xf numFmtId="0" fontId="2" fillId="0" borderId="0" xfId="2" applyFill="1" applyBorder="1"/>
    <xf numFmtId="0" fontId="2" fillId="0" borderId="0" xfId="2" applyFont="1" applyFill="1" applyBorder="1"/>
    <xf numFmtId="0" fontId="1" fillId="0" borderId="0" xfId="2" applyFont="1" applyFill="1" applyBorder="1" applyAlignment="1">
      <alignment horizontal="centerContinuous"/>
    </xf>
    <xf numFmtId="0" fontId="33" fillId="0" borderId="0" xfId="2" applyFont="1"/>
    <xf numFmtId="0" fontId="33" fillId="0" borderId="0" xfId="0" applyFont="1" applyFill="1" applyBorder="1" applyAlignment="1"/>
    <xf numFmtId="0" fontId="21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2" fillId="0" borderId="0" xfId="0" applyFont="1" applyBorder="1"/>
    <xf numFmtId="0" fontId="18" fillId="0" borderId="0" xfId="0" applyFont="1" applyBorder="1"/>
    <xf numFmtId="0" fontId="1" fillId="8" borderId="0" xfId="0" applyFont="1" applyFill="1" applyAlignment="1">
      <alignment horizontal="center" vertical="center"/>
    </xf>
    <xf numFmtId="0" fontId="1" fillId="8" borderId="0" xfId="0" applyFont="1" applyFill="1"/>
    <xf numFmtId="0" fontId="1" fillId="0" borderId="0" xfId="0" applyFont="1"/>
    <xf numFmtId="2" fontId="0" fillId="0" borderId="22" xfId="0" applyNumberFormat="1" applyBorder="1"/>
    <xf numFmtId="0" fontId="5" fillId="4" borderId="1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65" fontId="2" fillId="4" borderId="13" xfId="0" applyNumberFormat="1" applyFont="1" applyFill="1" applyBorder="1" applyAlignment="1">
      <alignment horizontal="right"/>
    </xf>
    <xf numFmtId="165" fontId="2" fillId="4" borderId="0" xfId="0" applyNumberFormat="1" applyFont="1" applyFill="1" applyBorder="1" applyAlignment="1">
      <alignment horizontal="right"/>
    </xf>
    <xf numFmtId="165" fontId="2" fillId="4" borderId="15" xfId="0" applyNumberFormat="1" applyFont="1" applyFill="1" applyBorder="1" applyAlignment="1">
      <alignment horizontal="right"/>
    </xf>
    <xf numFmtId="165" fontId="2" fillId="4" borderId="1" xfId="0" applyNumberFormat="1" applyFont="1" applyFill="1" applyBorder="1" applyAlignment="1">
      <alignment horizontal="right"/>
    </xf>
    <xf numFmtId="165" fontId="2" fillId="4" borderId="0" xfId="0" applyNumberFormat="1" applyFont="1" applyFill="1" applyAlignment="1">
      <alignment horizontal="right"/>
    </xf>
    <xf numFmtId="165" fontId="0" fillId="4" borderId="0" xfId="0" applyNumberFormat="1" applyFill="1"/>
    <xf numFmtId="0" fontId="24" fillId="0" borderId="0" xfId="0" applyFont="1"/>
    <xf numFmtId="0" fontId="18" fillId="4" borderId="0" xfId="0" applyFont="1" applyFill="1"/>
    <xf numFmtId="2" fontId="22" fillId="4" borderId="0" xfId="0" applyNumberFormat="1" applyFont="1" applyFill="1"/>
    <xf numFmtId="0" fontId="18" fillId="4" borderId="1" xfId="0" applyFont="1" applyFill="1" applyBorder="1" applyAlignment="1"/>
    <xf numFmtId="165" fontId="2" fillId="9" borderId="0" xfId="0" applyNumberFormat="1" applyFont="1" applyFill="1" applyBorder="1" applyAlignment="1">
      <alignment horizontal="right"/>
    </xf>
    <xf numFmtId="165" fontId="0" fillId="9" borderId="0" xfId="0" applyNumberFormat="1" applyFill="1"/>
    <xf numFmtId="0" fontId="18" fillId="4" borderId="8" xfId="0" applyFont="1" applyFill="1" applyBorder="1"/>
    <xf numFmtId="0" fontId="18" fillId="0" borderId="0" xfId="2" applyFont="1"/>
    <xf numFmtId="0" fontId="2" fillId="0" borderId="0" xfId="2" applyFont="1" applyAlignment="1">
      <alignment horizontal="left"/>
    </xf>
    <xf numFmtId="164" fontId="2" fillId="0" borderId="0" xfId="2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21" fillId="0" borderId="8" xfId="0" applyFont="1" applyBorder="1"/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25" fillId="0" borderId="17" xfId="0" applyFont="1" applyBorder="1"/>
    <xf numFmtId="0" fontId="25" fillId="0" borderId="19" xfId="0" applyFont="1" applyBorder="1" applyAlignment="1">
      <alignment horizontal="center"/>
    </xf>
    <xf numFmtId="0" fontId="25" fillId="0" borderId="18" xfId="0" applyFont="1" applyBorder="1" applyAlignment="1">
      <alignment horizontal="left"/>
    </xf>
    <xf numFmtId="0" fontId="5" fillId="0" borderId="17" xfId="0" applyFont="1" applyBorder="1"/>
    <xf numFmtId="0" fontId="18" fillId="0" borderId="18" xfId="0" applyFont="1" applyBorder="1"/>
    <xf numFmtId="0" fontId="18" fillId="0" borderId="0" xfId="0" applyFont="1" applyFill="1"/>
    <xf numFmtId="0" fontId="0" fillId="0" borderId="23" xfId="0" applyBorder="1"/>
    <xf numFmtId="0" fontId="0" fillId="0" borderId="24" xfId="0" applyBorder="1"/>
    <xf numFmtId="0" fontId="0" fillId="0" borderId="7" xfId="0" applyBorder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5" fillId="0" borderId="17" xfId="0" applyFont="1" applyBorder="1" applyAlignment="1">
      <alignment horizontal="right"/>
    </xf>
    <xf numFmtId="166" fontId="5" fillId="0" borderId="19" xfId="0" applyNumberFormat="1" applyFont="1" applyBorder="1"/>
    <xf numFmtId="0" fontId="0" fillId="13" borderId="0" xfId="0" applyFill="1"/>
    <xf numFmtId="0" fontId="18" fillId="13" borderId="0" xfId="0" applyFont="1" applyFill="1"/>
    <xf numFmtId="0" fontId="25" fillId="13" borderId="17" xfId="0" applyFont="1" applyFill="1" applyBorder="1"/>
    <xf numFmtId="0" fontId="25" fillId="6" borderId="0" xfId="0" applyFont="1" applyFill="1"/>
    <xf numFmtId="0" fontId="5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2" fillId="13" borderId="23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0" fillId="10" borderId="26" xfId="0" applyFill="1" applyBorder="1" applyAlignment="1">
      <alignment horizontal="center"/>
    </xf>
    <xf numFmtId="0" fontId="0" fillId="13" borderId="27" xfId="0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0" fontId="12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/>
    <xf numFmtId="0" fontId="29" fillId="0" borderId="0" xfId="0" applyFont="1"/>
    <xf numFmtId="0" fontId="28" fillId="10" borderId="0" xfId="0" applyFont="1" applyFill="1"/>
    <xf numFmtId="0" fontId="25" fillId="0" borderId="0" xfId="0" applyFont="1" applyAlignment="1">
      <alignment horizontal="left"/>
    </xf>
    <xf numFmtId="0" fontId="1" fillId="13" borderId="0" xfId="0" applyFont="1" applyFill="1" applyAlignment="1">
      <alignment horizontal="center" vertical="center"/>
    </xf>
    <xf numFmtId="0" fontId="1" fillId="13" borderId="0" xfId="0" applyFont="1" applyFill="1"/>
    <xf numFmtId="165" fontId="33" fillId="0" borderId="0" xfId="0" applyNumberFormat="1" applyFont="1"/>
    <xf numFmtId="165" fontId="25" fillId="0" borderId="0" xfId="0" applyNumberFormat="1" applyFont="1"/>
    <xf numFmtId="0" fontId="2" fillId="14" borderId="0" xfId="0" applyFont="1" applyFill="1"/>
    <xf numFmtId="0" fontId="0" fillId="14" borderId="0" xfId="0" applyFill="1"/>
    <xf numFmtId="0" fontId="25" fillId="4" borderId="0" xfId="0" applyFont="1" applyFill="1"/>
    <xf numFmtId="0" fontId="0" fillId="15" borderId="0" xfId="0" applyFill="1"/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insulin</a:t>
            </a:r>
            <a:endParaRPr lang="en-US"/>
          </a:p>
        </c:rich>
      </c:tx>
      <c:layout>
        <c:manualLayout>
          <c:xMode val="edge"/>
          <c:yMode val="edge"/>
          <c:x val="8.3610174066595627E-2"/>
          <c:y val="5.9523809523809507E-2"/>
        </c:manualLayout>
      </c:layout>
    </c:title>
    <c:plotArea>
      <c:layout/>
      <c:scatterChart>
        <c:scatterStyle val="lineMarker"/>
        <c:ser>
          <c:idx val="0"/>
          <c:order val="0"/>
          <c:tx>
            <c:strRef>
              <c:f>'insulin (2)'!$A$10</c:f>
              <c:strCache>
                <c:ptCount val="1"/>
                <c:pt idx="0">
                  <c:v>Analýza dat:regrese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16017022123633567"/>
                  <c:y val="-0.2683188038995130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>
                        <a:solidFill>
                          <a:schemeClr val="bg1"/>
                        </a:solidFill>
                      </a:rPr>
                      <a:t>y = 0.1177x</a:t>
                    </a:r>
                    <a:r>
                      <a:rPr lang="en-US" baseline="0"/>
                      <a:t>
</a:t>
                    </a:r>
                    <a:r>
                      <a:rPr lang="en-US" baseline="0">
                        <a:solidFill>
                          <a:schemeClr val="tx1"/>
                        </a:solidFill>
                      </a:rPr>
                      <a:t>R² = 0.7385</a:t>
                    </a:r>
                    <a:endParaRPr lang="cs-CZ" baseline="0">
                      <a:solidFill>
                        <a:schemeClr val="tx1"/>
                      </a:solidFill>
                    </a:endParaRPr>
                  </a:p>
                  <a:p>
                    <a:pPr>
                      <a:defRPr/>
                    </a:pPr>
                    <a:r>
                      <a:rPr lang="cs-CZ" baseline="0">
                        <a:solidFill>
                          <a:schemeClr val="tx1"/>
                        </a:solidFill>
                      </a:rPr>
                      <a:t>nesprávné R2</a:t>
                    </a:r>
                  </a:p>
                  <a:p>
                    <a:pPr>
                      <a:defRPr/>
                    </a:pPr>
                    <a:r>
                      <a:rPr lang="cs-CZ" baseline="0">
                        <a:solidFill>
                          <a:schemeClr val="tx1"/>
                        </a:solidFill>
                      </a:rPr>
                      <a:t>pro nulové úseky</a:t>
                    </a:r>
                    <a:endParaRPr lang="en-US">
                      <a:solidFill>
                        <a:schemeClr val="tx1"/>
                      </a:solidFill>
                    </a:endParaRPr>
                  </a:p>
                </c:rich>
              </c:tx>
              <c:numFmt formatCode="General" sourceLinked="0"/>
              <c:spPr>
                <a:solidFill>
                  <a:srgbClr val="FFC000"/>
                </a:solidFill>
              </c:spPr>
            </c:trendlineLbl>
          </c:trendline>
          <c:xVal>
            <c:numRef>
              <c:f>'insulin (2)'!$A$12:$A$19</c:f>
              <c:numCache>
                <c:formatCode>General</c:formatCode>
                <c:ptCount val="8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</c:numCache>
            </c:numRef>
          </c:xVal>
          <c:yVal>
            <c:numRef>
              <c:f>'insulin (2)'!$B$12:$B$19</c:f>
              <c:numCache>
                <c:formatCode>General</c:formatCode>
                <c:ptCount val="8"/>
                <c:pt idx="0">
                  <c:v>8</c:v>
                </c:pt>
                <c:pt idx="1">
                  <c:v>12</c:v>
                </c:pt>
                <c:pt idx="2">
                  <c:v>30</c:v>
                </c:pt>
                <c:pt idx="3">
                  <c:v>20</c:v>
                </c:pt>
                <c:pt idx="4">
                  <c:v>55</c:v>
                </c:pt>
                <c:pt idx="5">
                  <c:v>58</c:v>
                </c:pt>
                <c:pt idx="6">
                  <c:v>44</c:v>
                </c:pt>
                <c:pt idx="7">
                  <c:v>65</c:v>
                </c:pt>
              </c:numCache>
            </c:numRef>
          </c:yVal>
        </c:ser>
        <c:axId val="87843200"/>
        <c:axId val="87844736"/>
      </c:scatterChart>
      <c:valAx>
        <c:axId val="8784320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7844736"/>
        <c:crosses val="autoZero"/>
        <c:crossBetween val="midCat"/>
      </c:valAx>
      <c:valAx>
        <c:axId val="87844736"/>
        <c:scaling>
          <c:orientation val="minMax"/>
        </c:scaling>
        <c:axPos val="l"/>
        <c:majorGridlines/>
        <c:numFmt formatCode="General" sourceLinked="1"/>
        <c:tickLblPos val="nextTo"/>
        <c:crossAx val="87843200"/>
        <c:crosses val="autoZero"/>
        <c:crossBetween val="midCat"/>
      </c:valAx>
    </c:plotArea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množství insulinu (ug) Graf s rezidui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ln w="28575">
              <a:noFill/>
            </a:ln>
          </c:spPr>
          <c:cat>
            <c:numRef>
              <c:f>'insulin (2)'!$A$12:$A$19</c:f>
              <c:numCache>
                <c:formatCode>General</c:formatCode>
                <c:ptCount val="8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</c:numCache>
            </c:numRef>
          </c:cat>
          <c:val>
            <c:numRef>
              <c:f>'insulin (2)'!$G$38:$G$45</c:f>
              <c:numCache>
                <c:formatCode>General</c:formatCode>
                <c:ptCount val="8"/>
                <c:pt idx="0">
                  <c:v>-9.6605263157894719</c:v>
                </c:pt>
                <c:pt idx="1">
                  <c:v>-11.547368421052632</c:v>
                </c:pt>
                <c:pt idx="2">
                  <c:v>0.5657894736842124</c:v>
                </c:pt>
                <c:pt idx="3">
                  <c:v>-15.321052631578944</c:v>
                </c:pt>
                <c:pt idx="4">
                  <c:v>13.792105263157893</c:v>
                </c:pt>
                <c:pt idx="5">
                  <c:v>10.905263157894737</c:v>
                </c:pt>
                <c:pt idx="6">
                  <c:v>-8.9815789473684191</c:v>
                </c:pt>
                <c:pt idx="7">
                  <c:v>6.1315789473684248</c:v>
                </c:pt>
              </c:numCache>
            </c:numRef>
          </c:val>
        </c:ser>
        <c:axId val="88739840"/>
        <c:axId val="88741760"/>
      </c:barChart>
      <c:catAx>
        <c:axId val="88739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množství insulinu (ug)</a:t>
                </a:r>
              </a:p>
            </c:rich>
          </c:tx>
        </c:title>
        <c:numFmt formatCode="General" sourceLinked="1"/>
        <c:tickLblPos val="nextTo"/>
        <c:crossAx val="88741760"/>
        <c:crosses val="autoZero"/>
        <c:auto val="1"/>
        <c:lblAlgn val="ctr"/>
        <c:lblOffset val="100"/>
      </c:catAx>
      <c:valAx>
        <c:axId val="887417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Rezidua</a:t>
                </a:r>
              </a:p>
            </c:rich>
          </c:tx>
        </c:title>
        <c:numFmt formatCode="General" sourceLinked="1"/>
        <c:tickLblPos val="nextTo"/>
        <c:crossAx val="88739840"/>
        <c:crosses val="autoZero"/>
        <c:crossBetween val="between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množství insulinu (ug) 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v>snížení hladiny cukru (%)</c:v>
          </c:tx>
          <c:spPr>
            <a:ln w="28575">
              <a:noFill/>
            </a:ln>
          </c:spPr>
          <c:xVal>
            <c:numRef>
              <c:f>'insulin (2)'!$A$12:$A$19</c:f>
              <c:numCache>
                <c:formatCode>General</c:formatCode>
                <c:ptCount val="8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</c:numCache>
            </c:numRef>
          </c:xVal>
          <c:yVal>
            <c:numRef>
              <c:f>'insulin (2)'!$B$12:$B$19</c:f>
              <c:numCache>
                <c:formatCode>General</c:formatCode>
                <c:ptCount val="8"/>
                <c:pt idx="0">
                  <c:v>8</c:v>
                </c:pt>
                <c:pt idx="1">
                  <c:v>12</c:v>
                </c:pt>
                <c:pt idx="2">
                  <c:v>30</c:v>
                </c:pt>
                <c:pt idx="3">
                  <c:v>20</c:v>
                </c:pt>
                <c:pt idx="4">
                  <c:v>55</c:v>
                </c:pt>
                <c:pt idx="5">
                  <c:v>58</c:v>
                </c:pt>
                <c:pt idx="6">
                  <c:v>44</c:v>
                </c:pt>
                <c:pt idx="7">
                  <c:v>65</c:v>
                </c:pt>
              </c:numCache>
            </c:numRef>
          </c:yVal>
        </c:ser>
        <c:ser>
          <c:idx val="1"/>
          <c:order val="1"/>
          <c:tx>
            <c:v>Očekávané snížení hladiny cukru (%)</c:v>
          </c:tx>
          <c:spPr>
            <a:ln w="28575">
              <a:noFill/>
            </a:ln>
          </c:spPr>
          <c:marker>
            <c:symbol val="circle"/>
            <c:size val="2"/>
          </c:marker>
          <c:xVal>
            <c:numRef>
              <c:f>'insulin (2)'!$A$12:$A$19</c:f>
              <c:numCache>
                <c:formatCode>General</c:formatCode>
                <c:ptCount val="8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</c:numCache>
            </c:numRef>
          </c:xVal>
          <c:yVal>
            <c:numRef>
              <c:f>'insulin (2)'!$F$38:$F$45</c:f>
              <c:numCache>
                <c:formatCode>General</c:formatCode>
                <c:ptCount val="8"/>
                <c:pt idx="0">
                  <c:v>17.660526315789472</c:v>
                </c:pt>
                <c:pt idx="1">
                  <c:v>23.547368421052632</c:v>
                </c:pt>
                <c:pt idx="2">
                  <c:v>29.434210526315788</c:v>
                </c:pt>
                <c:pt idx="3">
                  <c:v>35.321052631578944</c:v>
                </c:pt>
                <c:pt idx="4">
                  <c:v>41.207894736842107</c:v>
                </c:pt>
                <c:pt idx="5">
                  <c:v>47.094736842105263</c:v>
                </c:pt>
                <c:pt idx="6">
                  <c:v>52.981578947368419</c:v>
                </c:pt>
                <c:pt idx="7">
                  <c:v>58.868421052631575</c:v>
                </c:pt>
              </c:numCache>
            </c:numRef>
          </c:yVal>
        </c:ser>
        <c:axId val="88783104"/>
        <c:axId val="88793472"/>
      </c:scatterChart>
      <c:valAx>
        <c:axId val="88783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množství insulinu (ug)</a:t>
                </a:r>
              </a:p>
            </c:rich>
          </c:tx>
        </c:title>
        <c:numFmt formatCode="General" sourceLinked="1"/>
        <c:tickLblPos val="nextTo"/>
        <c:crossAx val="88793472"/>
        <c:crosses val="autoZero"/>
        <c:crossBetween val="midCat"/>
      </c:valAx>
      <c:valAx>
        <c:axId val="887934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snížení hladiny cukru (%)</a:t>
                </a:r>
              </a:p>
            </c:rich>
          </c:tx>
        </c:title>
        <c:numFmt formatCode="General" sourceLinked="1"/>
        <c:tickLblPos val="nextTo"/>
        <c:crossAx val="88783104"/>
        <c:crosses val="autoZero"/>
        <c:crossBetween val="midCat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plotArea>
      <c:layout>
        <c:manualLayout>
          <c:layoutTarget val="inner"/>
          <c:xMode val="edge"/>
          <c:yMode val="edge"/>
          <c:x val="0.11556603773584923"/>
          <c:y val="5.4687500000000014E-2"/>
          <c:w val="0.53066037735849225"/>
          <c:h val="0.7734375"/>
        </c:manualLayout>
      </c:layout>
      <c:scatterChart>
        <c:scatterStyle val="lineMarker"/>
        <c:ser>
          <c:idx val="0"/>
          <c:order val="0"/>
          <c:tx>
            <c:strRef>
              <c:f>'prumer (2)'!$E$1</c:f>
              <c:strCache>
                <c:ptCount val="1"/>
                <c:pt idx="0">
                  <c:v>průměr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</c:marker>
          <c:trendline>
            <c:trendlineType val="linear"/>
            <c:dispRSqr val="1"/>
            <c:dispEq val="1"/>
            <c:trendlineLbl>
              <c:layout>
                <c:manualLayout>
                  <c:x val="0.43878017194184094"/>
                  <c:y val="0.15294534921794803"/>
                </c:manualLayout>
              </c:layout>
              <c:numFmt formatCode="#,##0.000000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</c:trendlineLbl>
          </c:trendline>
          <c:xVal>
            <c:numRef>
              <c:f>'prumer (2)'!$A$2:$A$9</c:f>
              <c:numCache>
                <c:formatCode>0.0</c:formatCode>
                <c:ptCount val="8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</c:numCache>
            </c:numRef>
          </c:xVal>
          <c:yVal>
            <c:numRef>
              <c:f>'prumer (2)'!$E$2:$E$9</c:f>
              <c:numCache>
                <c:formatCode>0.0</c:formatCode>
                <c:ptCount val="8"/>
                <c:pt idx="0">
                  <c:v>20.833333333333332</c:v>
                </c:pt>
                <c:pt idx="1">
                  <c:v>29.833333333333332</c:v>
                </c:pt>
                <c:pt idx="2">
                  <c:v>33.5</c:v>
                </c:pt>
                <c:pt idx="3">
                  <c:v>39.5</c:v>
                </c:pt>
                <c:pt idx="4">
                  <c:v>49.333333333333336</c:v>
                </c:pt>
                <c:pt idx="5">
                  <c:v>54</c:v>
                </c:pt>
                <c:pt idx="6">
                  <c:v>65.5</c:v>
                </c:pt>
                <c:pt idx="7">
                  <c:v>70.166666666666671</c:v>
                </c:pt>
              </c:numCache>
            </c:numRef>
          </c:yVal>
        </c:ser>
        <c:axId val="88891392"/>
        <c:axId val="88892928"/>
      </c:scatterChart>
      <c:valAx>
        <c:axId val="88891392"/>
        <c:scaling>
          <c:orientation val="minMax"/>
        </c:scaling>
        <c:axPos val="b"/>
        <c:numFmt formatCode="0.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8892928"/>
        <c:crosses val="autoZero"/>
        <c:crossBetween val="midCat"/>
      </c:valAx>
      <c:valAx>
        <c:axId val="88892928"/>
        <c:scaling>
          <c:orientation val="minMax"/>
        </c:scaling>
        <c:axPos val="l"/>
        <c:majorGridlines/>
        <c:numFmt formatCode="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8891392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plotArea>
      <c:layout>
        <c:manualLayout>
          <c:layoutTarget val="inner"/>
          <c:xMode val="edge"/>
          <c:yMode val="edge"/>
          <c:x val="8.3333333333333343E-2"/>
          <c:y val="4.8611111111111112E-2"/>
          <c:w val="0.5791666666666665"/>
          <c:h val="0.79513888888888884"/>
        </c:manualLayout>
      </c:layout>
      <c:scatterChart>
        <c:scatterStyle val="lineMarker"/>
        <c:ser>
          <c:idx val="0"/>
          <c:order val="0"/>
          <c:tx>
            <c:strRef>
              <c:f>'prumer (2)'!$B$1</c:f>
              <c:strCache>
                <c:ptCount val="1"/>
                <c:pt idx="0">
                  <c:v>signál (mV)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</c:marker>
          <c:trendline>
            <c:spPr>
              <a:ln>
                <a:solidFill>
                  <a:srgbClr val="FF0000"/>
                </a:solidFill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0.3744304461942265"/>
                  <c:y val="3.935185185185185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baseline="0"/>
                      <a:t>y = 0.139728x
</a:t>
                    </a:r>
                    <a:r>
                      <a:rPr lang="en-US" baseline="0">
                        <a:solidFill>
                          <a:schemeClr val="bg1"/>
                        </a:solidFill>
                      </a:rPr>
                      <a:t>R² = 0.982544</a:t>
                    </a:r>
                    <a:endParaRPr lang="cs-CZ" baseline="0">
                      <a:solidFill>
                        <a:schemeClr val="bg1"/>
                      </a:solidFill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cs-CZ" baseline="0">
                        <a:solidFill>
                          <a:schemeClr val="bg1"/>
                        </a:solidFill>
                      </a:rPr>
                      <a:t>chybné R2!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cs-CZ" baseline="0">
                        <a:solidFill>
                          <a:schemeClr val="bg1"/>
                        </a:solidFill>
                      </a:rPr>
                      <a:t>pro b=0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numFmt formatCode="#,##0.000000" sourceLinked="0"/>
              <c:spPr>
                <a:solidFill>
                  <a:schemeClr val="accent2"/>
                </a:solidFill>
              </c:spPr>
            </c:trendlineLbl>
          </c:trendline>
          <c:xVal>
            <c:numRef>
              <c:f>'prumer (2)'!$A$2:$A$25</c:f>
              <c:numCache>
                <c:formatCode>0.0</c:formatCode>
                <c:ptCount val="24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150</c:v>
                </c:pt>
                <c:pt idx="9">
                  <c:v>200</c:v>
                </c:pt>
                <c:pt idx="10">
                  <c:v>250</c:v>
                </c:pt>
                <c:pt idx="11">
                  <c:v>300</c:v>
                </c:pt>
                <c:pt idx="12">
                  <c:v>350</c:v>
                </c:pt>
                <c:pt idx="13">
                  <c:v>400</c:v>
                </c:pt>
                <c:pt idx="14">
                  <c:v>450</c:v>
                </c:pt>
                <c:pt idx="15">
                  <c:v>500</c:v>
                </c:pt>
                <c:pt idx="16">
                  <c:v>150</c:v>
                </c:pt>
                <c:pt idx="17">
                  <c:v>200</c:v>
                </c:pt>
                <c:pt idx="18">
                  <c:v>250</c:v>
                </c:pt>
                <c:pt idx="19">
                  <c:v>300</c:v>
                </c:pt>
                <c:pt idx="20">
                  <c:v>350</c:v>
                </c:pt>
                <c:pt idx="21">
                  <c:v>400</c:v>
                </c:pt>
                <c:pt idx="22">
                  <c:v>450</c:v>
                </c:pt>
                <c:pt idx="23">
                  <c:v>500</c:v>
                </c:pt>
              </c:numCache>
            </c:numRef>
          </c:xVal>
          <c:yVal>
            <c:numRef>
              <c:f>'prumer (2)'!$B$2:$B$25</c:f>
              <c:numCache>
                <c:formatCode>0.0</c:formatCode>
                <c:ptCount val="24"/>
                <c:pt idx="0">
                  <c:v>22</c:v>
                </c:pt>
                <c:pt idx="1">
                  <c:v>30.5</c:v>
                </c:pt>
                <c:pt idx="2">
                  <c:v>35</c:v>
                </c:pt>
                <c:pt idx="3">
                  <c:v>40</c:v>
                </c:pt>
                <c:pt idx="4">
                  <c:v>51</c:v>
                </c:pt>
                <c:pt idx="5">
                  <c:v>55</c:v>
                </c:pt>
                <c:pt idx="6">
                  <c:v>64</c:v>
                </c:pt>
                <c:pt idx="7">
                  <c:v>70.5</c:v>
                </c:pt>
                <c:pt idx="8">
                  <c:v>21</c:v>
                </c:pt>
                <c:pt idx="9">
                  <c:v>31</c:v>
                </c:pt>
                <c:pt idx="10">
                  <c:v>35.5</c:v>
                </c:pt>
                <c:pt idx="11">
                  <c:v>41</c:v>
                </c:pt>
                <c:pt idx="12">
                  <c:v>49</c:v>
                </c:pt>
                <c:pt idx="13">
                  <c:v>53</c:v>
                </c:pt>
                <c:pt idx="14">
                  <c:v>66.5</c:v>
                </c:pt>
                <c:pt idx="15">
                  <c:v>71</c:v>
                </c:pt>
                <c:pt idx="16">
                  <c:v>19.5</c:v>
                </c:pt>
                <c:pt idx="17">
                  <c:v>28</c:v>
                </c:pt>
                <c:pt idx="18">
                  <c:v>30</c:v>
                </c:pt>
                <c:pt idx="19">
                  <c:v>37.5</c:v>
                </c:pt>
                <c:pt idx="20">
                  <c:v>48</c:v>
                </c:pt>
                <c:pt idx="21">
                  <c:v>54</c:v>
                </c:pt>
                <c:pt idx="22">
                  <c:v>66</c:v>
                </c:pt>
                <c:pt idx="23">
                  <c:v>69</c:v>
                </c:pt>
              </c:numCache>
            </c:numRef>
          </c:yVal>
        </c:ser>
        <c:axId val="89004288"/>
        <c:axId val="89014272"/>
      </c:scatterChart>
      <c:valAx>
        <c:axId val="89004288"/>
        <c:scaling>
          <c:orientation val="minMax"/>
        </c:scaling>
        <c:axPos val="b"/>
        <c:numFmt formatCode="0.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014272"/>
        <c:crosses val="autoZero"/>
        <c:crossBetween val="midCat"/>
      </c:valAx>
      <c:valAx>
        <c:axId val="89014272"/>
        <c:scaling>
          <c:orientation val="minMax"/>
        </c:scaling>
        <c:axPos val="l"/>
        <c:majorGridlines/>
        <c:numFmt formatCode="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004288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plotArea>
      <c:layout>
        <c:manualLayout>
          <c:layoutTarget val="inner"/>
          <c:xMode val="edge"/>
          <c:yMode val="edge"/>
          <c:x val="8.3333333333333343E-2"/>
          <c:y val="4.8611111111111112E-2"/>
          <c:w val="0.5791666666666665"/>
          <c:h val="0.79513888888888884"/>
        </c:manualLayout>
      </c:layout>
      <c:scatterChart>
        <c:scatterStyle val="lineMarker"/>
        <c:ser>
          <c:idx val="0"/>
          <c:order val="0"/>
          <c:tx>
            <c:strRef>
              <c:f>'prumer (2)'!$B$1</c:f>
              <c:strCache>
                <c:ptCount val="1"/>
                <c:pt idx="0">
                  <c:v>signál (mV)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</c:marker>
          <c:trendline>
            <c:spPr>
              <a:ln>
                <a:solidFill>
                  <a:srgbClr val="FF0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4363392851461424"/>
                  <c:y val="0.2915297239549528"/>
                </c:manualLayout>
              </c:layout>
              <c:numFmt formatCode="#,##0.000000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</c:trendlineLbl>
          </c:trendline>
          <c:xVal>
            <c:numRef>
              <c:f>'prumer (2)'!$A$2:$A$25</c:f>
              <c:numCache>
                <c:formatCode>0.0</c:formatCode>
                <c:ptCount val="24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  <c:pt idx="6">
                  <c:v>450</c:v>
                </c:pt>
                <c:pt idx="7">
                  <c:v>500</c:v>
                </c:pt>
                <c:pt idx="8">
                  <c:v>150</c:v>
                </c:pt>
                <c:pt idx="9">
                  <c:v>200</c:v>
                </c:pt>
                <c:pt idx="10">
                  <c:v>250</c:v>
                </c:pt>
                <c:pt idx="11">
                  <c:v>300</c:v>
                </c:pt>
                <c:pt idx="12">
                  <c:v>350</c:v>
                </c:pt>
                <c:pt idx="13">
                  <c:v>400</c:v>
                </c:pt>
                <c:pt idx="14">
                  <c:v>450</c:v>
                </c:pt>
                <c:pt idx="15">
                  <c:v>500</c:v>
                </c:pt>
                <c:pt idx="16">
                  <c:v>150</c:v>
                </c:pt>
                <c:pt idx="17">
                  <c:v>200</c:v>
                </c:pt>
                <c:pt idx="18">
                  <c:v>250</c:v>
                </c:pt>
                <c:pt idx="19">
                  <c:v>300</c:v>
                </c:pt>
                <c:pt idx="20">
                  <c:v>350</c:v>
                </c:pt>
                <c:pt idx="21">
                  <c:v>400</c:v>
                </c:pt>
                <c:pt idx="22">
                  <c:v>450</c:v>
                </c:pt>
                <c:pt idx="23">
                  <c:v>500</c:v>
                </c:pt>
              </c:numCache>
            </c:numRef>
          </c:xVal>
          <c:yVal>
            <c:numRef>
              <c:f>'prumer (2)'!$B$2:$B$25</c:f>
              <c:numCache>
                <c:formatCode>0.0</c:formatCode>
                <c:ptCount val="24"/>
                <c:pt idx="0">
                  <c:v>22</c:v>
                </c:pt>
                <c:pt idx="1">
                  <c:v>30.5</c:v>
                </c:pt>
                <c:pt idx="2">
                  <c:v>35</c:v>
                </c:pt>
                <c:pt idx="3">
                  <c:v>40</c:v>
                </c:pt>
                <c:pt idx="4">
                  <c:v>51</c:v>
                </c:pt>
                <c:pt idx="5">
                  <c:v>55</c:v>
                </c:pt>
                <c:pt idx="6">
                  <c:v>64</c:v>
                </c:pt>
                <c:pt idx="7">
                  <c:v>70.5</c:v>
                </c:pt>
                <c:pt idx="8">
                  <c:v>21</c:v>
                </c:pt>
                <c:pt idx="9">
                  <c:v>31</c:v>
                </c:pt>
                <c:pt idx="10">
                  <c:v>35.5</c:v>
                </c:pt>
                <c:pt idx="11">
                  <c:v>41</c:v>
                </c:pt>
                <c:pt idx="12">
                  <c:v>49</c:v>
                </c:pt>
                <c:pt idx="13">
                  <c:v>53</c:v>
                </c:pt>
                <c:pt idx="14">
                  <c:v>66.5</c:v>
                </c:pt>
                <c:pt idx="15">
                  <c:v>71</c:v>
                </c:pt>
                <c:pt idx="16">
                  <c:v>19.5</c:v>
                </c:pt>
                <c:pt idx="17">
                  <c:v>28</c:v>
                </c:pt>
                <c:pt idx="18">
                  <c:v>30</c:v>
                </c:pt>
                <c:pt idx="19">
                  <c:v>37.5</c:v>
                </c:pt>
                <c:pt idx="20">
                  <c:v>48</c:v>
                </c:pt>
                <c:pt idx="21">
                  <c:v>54</c:v>
                </c:pt>
                <c:pt idx="22">
                  <c:v>66</c:v>
                </c:pt>
                <c:pt idx="23">
                  <c:v>69</c:v>
                </c:pt>
              </c:numCache>
            </c:numRef>
          </c:yVal>
        </c:ser>
        <c:axId val="89059328"/>
        <c:axId val="89060864"/>
      </c:scatterChart>
      <c:valAx>
        <c:axId val="89059328"/>
        <c:scaling>
          <c:orientation val="minMax"/>
        </c:scaling>
        <c:axPos val="b"/>
        <c:numFmt formatCode="0.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060864"/>
        <c:crosses val="autoZero"/>
        <c:crossBetween val="midCat"/>
      </c:valAx>
      <c:valAx>
        <c:axId val="89060864"/>
        <c:scaling>
          <c:orientation val="minMax"/>
        </c:scaling>
        <c:axPos val="l"/>
        <c:majorGridlines/>
        <c:numFmt formatCode="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059328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>
        <c:manualLayout>
          <c:xMode val="edge"/>
          <c:yMode val="edge"/>
          <c:x val="6.1868184844241662E-2"/>
          <c:y val="0"/>
        </c:manualLayout>
      </c:layout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plotArea>
      <c:layout>
        <c:manualLayout>
          <c:layoutTarget val="inner"/>
          <c:xMode val="edge"/>
          <c:yMode val="edge"/>
          <c:x val="0.11823450640098594"/>
          <c:y val="0.19480351414406533"/>
          <c:w val="0.75808238255932292"/>
          <c:h val="0.65482210557013765"/>
        </c:manualLayout>
      </c:layout>
      <c:scatterChart>
        <c:scatterStyle val="lineMarker"/>
        <c:ser>
          <c:idx val="0"/>
          <c:order val="0"/>
          <c:tx>
            <c:strRef>
              <c:f>'log (2)'!$C$12</c:f>
              <c:strCache>
                <c:ptCount val="1"/>
                <c:pt idx="0">
                  <c:v>% transmittance</c:v>
                </c:pt>
              </c:strCache>
            </c:strRef>
          </c:tx>
          <c:spPr>
            <a:ln w="28575">
              <a:noFill/>
            </a:ln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Val val="1"/>
          </c:dLbls>
          <c:trendline>
            <c:trendlineType val="log"/>
          </c:trendline>
          <c:xVal>
            <c:numRef>
              <c:f>'log (2)'!$B$13:$B$18</c:f>
              <c:numCache>
                <c:formatCode>General</c:formatCode>
                <c:ptCount val="6"/>
                <c:pt idx="0">
                  <c:v>5.0999999999999996</c:v>
                </c:pt>
                <c:pt idx="1">
                  <c:v>17</c:v>
                </c:pt>
                <c:pt idx="2">
                  <c:v>25.5</c:v>
                </c:pt>
                <c:pt idx="3">
                  <c:v>34</c:v>
                </c:pt>
                <c:pt idx="4">
                  <c:v>42.5</c:v>
                </c:pt>
                <c:pt idx="5">
                  <c:v>51</c:v>
                </c:pt>
              </c:numCache>
            </c:numRef>
          </c:xVal>
          <c:yVal>
            <c:numRef>
              <c:f>'log (2)'!$C$13:$C$18</c:f>
              <c:numCache>
                <c:formatCode>General</c:formatCode>
                <c:ptCount val="6"/>
                <c:pt idx="0">
                  <c:v>78.099999999999994</c:v>
                </c:pt>
                <c:pt idx="1">
                  <c:v>43.2</c:v>
                </c:pt>
                <c:pt idx="2">
                  <c:v>31.4</c:v>
                </c:pt>
                <c:pt idx="3">
                  <c:v>18.8</c:v>
                </c:pt>
                <c:pt idx="4">
                  <c:v>14.5</c:v>
                </c:pt>
                <c:pt idx="5">
                  <c:v>8.6999999999999993</c:v>
                </c:pt>
              </c:numCache>
            </c:numRef>
          </c:yVal>
        </c:ser>
        <c:axId val="89203840"/>
        <c:axId val="89205376"/>
      </c:scatterChart>
      <c:valAx>
        <c:axId val="8920384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205376"/>
        <c:crosses val="autoZero"/>
        <c:crossBetween val="midCat"/>
      </c:valAx>
      <c:valAx>
        <c:axId val="8920537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2038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80284199168981"/>
          <c:y val="0.11153288674736547"/>
          <c:w val="0.33740302870304556"/>
          <c:h val="0.27688721745602696"/>
        </c:manualLayout>
      </c:layout>
      <c:spPr>
        <a:solidFill>
          <a:schemeClr val="bg1">
            <a:lumMod val="85000"/>
          </a:schemeClr>
        </a:solidFill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plotArea>
      <c:layout/>
      <c:scatterChart>
        <c:scatterStyle val="lineMarker"/>
        <c:ser>
          <c:idx val="0"/>
          <c:order val="0"/>
          <c:tx>
            <c:strRef>
              <c:f>'log (2)'!$C$32</c:f>
              <c:strCache>
                <c:ptCount val="1"/>
                <c:pt idx="0">
                  <c:v>Emeas, mV</c:v>
                </c:pt>
              </c:strCache>
            </c:strRef>
          </c:tx>
          <c:spPr>
            <a:ln w="28575">
              <a:noFill/>
            </a:ln>
          </c:spPr>
          <c:xVal>
            <c:numRef>
              <c:f>'log (2)'!$B$33:$B$40</c:f>
              <c:numCache>
                <c:formatCode>General</c:formatCode>
                <c:ptCount val="8"/>
                <c:pt idx="0">
                  <c:v>15</c:v>
                </c:pt>
                <c:pt idx="1">
                  <c:v>35</c:v>
                </c:pt>
                <c:pt idx="2">
                  <c:v>89</c:v>
                </c:pt>
                <c:pt idx="3">
                  <c:v>150</c:v>
                </c:pt>
                <c:pt idx="4">
                  <c:v>230</c:v>
                </c:pt>
                <c:pt idx="5">
                  <c:v>400</c:v>
                </c:pt>
                <c:pt idx="6">
                  <c:v>500</c:v>
                </c:pt>
                <c:pt idx="7">
                  <c:v>650</c:v>
                </c:pt>
              </c:numCache>
            </c:numRef>
          </c:xVal>
          <c:yVal>
            <c:numRef>
              <c:f>'log (2)'!$C$33:$C$40</c:f>
              <c:numCache>
                <c:formatCode>General</c:formatCode>
                <c:ptCount val="8"/>
                <c:pt idx="0">
                  <c:v>-338.5</c:v>
                </c:pt>
                <c:pt idx="1">
                  <c:v>-329.8</c:v>
                </c:pt>
                <c:pt idx="2">
                  <c:v>-316.5</c:v>
                </c:pt>
                <c:pt idx="3">
                  <c:v>-312.2</c:v>
                </c:pt>
                <c:pt idx="4">
                  <c:v>-303.7</c:v>
                </c:pt>
                <c:pt idx="5">
                  <c:v>-296.39999999999998</c:v>
                </c:pt>
                <c:pt idx="6">
                  <c:v>-295.5</c:v>
                </c:pt>
                <c:pt idx="7">
                  <c:v>-292.5</c:v>
                </c:pt>
              </c:numCache>
            </c:numRef>
          </c:yVal>
        </c:ser>
        <c:axId val="89237760"/>
        <c:axId val="89251840"/>
      </c:scatterChart>
      <c:valAx>
        <c:axId val="8923776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251840"/>
        <c:crosses val="autoZero"/>
        <c:crossBetween val="midCat"/>
      </c:valAx>
      <c:valAx>
        <c:axId val="8925184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237760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>
        <c:manualLayout>
          <c:xMode val="edge"/>
          <c:yMode val="edge"/>
          <c:x val="6.1868184844241711E-2"/>
          <c:y val="0"/>
        </c:manualLayout>
      </c:layout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plotArea>
      <c:layout>
        <c:manualLayout>
          <c:layoutTarget val="inner"/>
          <c:xMode val="edge"/>
          <c:yMode val="edge"/>
          <c:x val="0.118234506400986"/>
          <c:y val="0.19480351414406533"/>
          <c:w val="0.75808238255932292"/>
          <c:h val="0.65482210557013765"/>
        </c:manualLayout>
      </c:layout>
      <c:scatterChart>
        <c:scatterStyle val="lineMarker"/>
        <c:ser>
          <c:idx val="0"/>
          <c:order val="0"/>
          <c:tx>
            <c:strRef>
              <c:f>'log (2)'!$D$12</c:f>
              <c:strCache>
                <c:ptCount val="1"/>
                <c:pt idx="0">
                  <c:v>A</c:v>
                </c:pt>
              </c:strCache>
            </c:strRef>
          </c:tx>
          <c:spPr>
            <a:ln w="28575">
              <a:noFill/>
            </a:ln>
          </c:spPr>
          <c:dLbls>
            <c:numFmt formatCode="#,##0.000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Val val="1"/>
          </c:dLbls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14845481049562695"/>
                  <c:y val="-0.1798781682140478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0.0205x
</a:t>
                    </a:r>
                    <a:r>
                      <a:rPr lang="en-US" baseline="0">
                        <a:solidFill>
                          <a:srgbClr val="00B050"/>
                        </a:solidFill>
                      </a:rPr>
                      <a:t>R² = 0.9953</a:t>
                    </a:r>
                    <a:r>
                      <a:rPr lang="cs-CZ" baseline="0">
                        <a:solidFill>
                          <a:srgbClr val="00B050"/>
                        </a:solidFill>
                      </a:rPr>
                      <a:t> nesprávná hodnota</a:t>
                    </a:r>
                    <a:endParaRPr lang="en-US">
                      <a:solidFill>
                        <a:srgbClr val="00B050"/>
                      </a:solidFill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'log (2)'!$B$13:$B$18</c:f>
              <c:numCache>
                <c:formatCode>General</c:formatCode>
                <c:ptCount val="6"/>
                <c:pt idx="0">
                  <c:v>5.0999999999999996</c:v>
                </c:pt>
                <c:pt idx="1">
                  <c:v>17</c:v>
                </c:pt>
                <c:pt idx="2">
                  <c:v>25.5</c:v>
                </c:pt>
                <c:pt idx="3">
                  <c:v>34</c:v>
                </c:pt>
                <c:pt idx="4">
                  <c:v>42.5</c:v>
                </c:pt>
                <c:pt idx="5">
                  <c:v>51</c:v>
                </c:pt>
              </c:numCache>
            </c:numRef>
          </c:xVal>
          <c:yVal>
            <c:numRef>
              <c:f>'log (2)'!$D$13:$D$18</c:f>
              <c:numCache>
                <c:formatCode>General</c:formatCode>
                <c:ptCount val="6"/>
                <c:pt idx="0">
                  <c:v>0.10734896612269972</c:v>
                </c:pt>
                <c:pt idx="1">
                  <c:v>0.36451625318508785</c:v>
                </c:pt>
                <c:pt idx="2">
                  <c:v>0.50307035192678506</c:v>
                </c:pt>
                <c:pt idx="3">
                  <c:v>0.72584215073632019</c:v>
                </c:pt>
                <c:pt idx="4">
                  <c:v>0.83863199776502517</c:v>
                </c:pt>
                <c:pt idx="5">
                  <c:v>1.0604807473813815</c:v>
                </c:pt>
              </c:numCache>
            </c:numRef>
          </c:yVal>
        </c:ser>
        <c:axId val="89313664"/>
        <c:axId val="89315200"/>
      </c:scatterChart>
      <c:valAx>
        <c:axId val="8931366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15200"/>
        <c:crosses val="autoZero"/>
        <c:crossBetween val="midCat"/>
      </c:valAx>
      <c:valAx>
        <c:axId val="8931520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13664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>
        <c:manualLayout>
          <c:xMode val="edge"/>
          <c:yMode val="edge"/>
          <c:x val="0.17625140291806959"/>
          <c:y val="6.2947067238912732E-2"/>
        </c:manualLayout>
      </c:layout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plotArea>
      <c:layout/>
      <c:scatterChart>
        <c:scatterStyle val="lineMarker"/>
        <c:ser>
          <c:idx val="0"/>
          <c:order val="0"/>
          <c:tx>
            <c:strRef>
              <c:f>'log (2)'!$D$32</c:f>
              <c:strCache>
                <c:ptCount val="1"/>
                <c:pt idx="0">
                  <c:v>log c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1.3976687257527164E-2"/>
                  <c:y val="-0.2340396291665259"/>
                </c:manualLayout>
              </c:layout>
              <c:numFmt formatCode="General" sourceLinked="0"/>
            </c:trendlineLbl>
          </c:trendline>
          <c:xVal>
            <c:numRef>
              <c:f>'log (2)'!$D$33:$D$40</c:f>
              <c:numCache>
                <c:formatCode>0.0000</c:formatCode>
                <c:ptCount val="8"/>
                <c:pt idx="0">
                  <c:v>1.1760912590556813</c:v>
                </c:pt>
                <c:pt idx="1">
                  <c:v>1.5440680443502757</c:v>
                </c:pt>
                <c:pt idx="2">
                  <c:v>1.9493900066449128</c:v>
                </c:pt>
                <c:pt idx="3">
                  <c:v>2.1760912590556813</c:v>
                </c:pt>
                <c:pt idx="4">
                  <c:v>2.3617278360175931</c:v>
                </c:pt>
                <c:pt idx="5">
                  <c:v>2.6020599913279625</c:v>
                </c:pt>
                <c:pt idx="6">
                  <c:v>2.6989700043360187</c:v>
                </c:pt>
                <c:pt idx="7">
                  <c:v>2.8129133566428557</c:v>
                </c:pt>
              </c:numCache>
            </c:numRef>
          </c:xVal>
          <c:yVal>
            <c:numRef>
              <c:f>'log (2)'!$C$33:$C$40</c:f>
              <c:numCache>
                <c:formatCode>General</c:formatCode>
                <c:ptCount val="8"/>
                <c:pt idx="0">
                  <c:v>-338.5</c:v>
                </c:pt>
                <c:pt idx="1">
                  <c:v>-329.8</c:v>
                </c:pt>
                <c:pt idx="2">
                  <c:v>-316.5</c:v>
                </c:pt>
                <c:pt idx="3">
                  <c:v>-312.2</c:v>
                </c:pt>
                <c:pt idx="4">
                  <c:v>-303.7</c:v>
                </c:pt>
                <c:pt idx="5">
                  <c:v>-296.39999999999998</c:v>
                </c:pt>
                <c:pt idx="6">
                  <c:v>-295.5</c:v>
                </c:pt>
                <c:pt idx="7">
                  <c:v>-292.5</c:v>
                </c:pt>
              </c:numCache>
            </c:numRef>
          </c:yVal>
        </c:ser>
        <c:axId val="89085824"/>
        <c:axId val="89087360"/>
      </c:scatterChart>
      <c:valAx>
        <c:axId val="89085824"/>
        <c:scaling>
          <c:orientation val="minMax"/>
          <c:min val="1"/>
        </c:scaling>
        <c:axPos val="b"/>
        <c:numFmt formatCode="0.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087360"/>
        <c:crosses val="autoZero"/>
        <c:crossBetween val="midCat"/>
      </c:valAx>
      <c:valAx>
        <c:axId val="8908736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085824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'log (2)'!$Q$12</c:f>
              <c:strCache>
                <c:ptCount val="1"/>
                <c:pt idx="0">
                  <c:v>ln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0370170511902798"/>
                  <c:y val="-9.8381273769350241E-2"/>
                </c:manualLayout>
              </c:layout>
              <c:numFmt formatCode="General" sourceLinked="0"/>
            </c:trendlineLbl>
          </c:trendline>
          <c:xVal>
            <c:numRef>
              <c:f>'log (2)'!$B$13:$B$18</c:f>
              <c:numCache>
                <c:formatCode>General</c:formatCode>
                <c:ptCount val="6"/>
                <c:pt idx="0">
                  <c:v>5.0999999999999996</c:v>
                </c:pt>
                <c:pt idx="1">
                  <c:v>17</c:v>
                </c:pt>
                <c:pt idx="2">
                  <c:v>25.5</c:v>
                </c:pt>
                <c:pt idx="3">
                  <c:v>34</c:v>
                </c:pt>
                <c:pt idx="4">
                  <c:v>42.5</c:v>
                </c:pt>
                <c:pt idx="5">
                  <c:v>51</c:v>
                </c:pt>
              </c:numCache>
            </c:numRef>
          </c:xVal>
          <c:yVal>
            <c:numRef>
              <c:f>'log (2)'!$Q$13:$Q$18</c:f>
              <c:numCache>
                <c:formatCode>General</c:formatCode>
                <c:ptCount val="6"/>
                <c:pt idx="0">
                  <c:v>-4.3579900568456402</c:v>
                </c:pt>
                <c:pt idx="1">
                  <c:v>-3.7658404952500648</c:v>
                </c:pt>
                <c:pt idx="2">
                  <c:v>-3.4468078929142076</c:v>
                </c:pt>
                <c:pt idx="3">
                  <c:v>-2.9338568698359038</c:v>
                </c:pt>
                <c:pt idx="4">
                  <c:v>-2.6741486494265287</c:v>
                </c:pt>
                <c:pt idx="5">
                  <c:v>-2.1633230256605378</c:v>
                </c:pt>
              </c:numCache>
            </c:numRef>
          </c:yVal>
        </c:ser>
        <c:axId val="89102592"/>
        <c:axId val="89116672"/>
      </c:scatterChart>
      <c:valAx>
        <c:axId val="89102592"/>
        <c:scaling>
          <c:orientation val="minMax"/>
        </c:scaling>
        <c:axPos val="b"/>
        <c:numFmt formatCode="General" sourceLinked="1"/>
        <c:tickLblPos val="nextTo"/>
        <c:crossAx val="89116672"/>
        <c:crosses val="autoZero"/>
        <c:crossBetween val="midCat"/>
      </c:valAx>
      <c:valAx>
        <c:axId val="89116672"/>
        <c:scaling>
          <c:orientation val="minMax"/>
          <c:max val="-2"/>
        </c:scaling>
        <c:axPos val="l"/>
        <c:majorGridlines/>
        <c:numFmt formatCode="General" sourceLinked="1"/>
        <c:tickLblPos val="nextTo"/>
        <c:crossAx val="891025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9.9137931034482762E-2"/>
          <c:y val="5.737704918032787E-2"/>
          <c:w val="0.56681034482758619"/>
          <c:h val="0.7663934426229508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1259383202099725"/>
                  <c:y val="3.2693934091571973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</c:trendlineLbl>
          </c:trendline>
          <c:xVal>
            <c:numRef>
              <c:f>'usek (2)'!$A$3:$A$7</c:f>
              <c:numCache>
                <c:formatCode>General</c:formatCode>
                <c:ptCount val="5"/>
                <c:pt idx="0">
                  <c:v>0.12</c:v>
                </c:pt>
                <c:pt idx="1">
                  <c:v>0.23</c:v>
                </c:pt>
                <c:pt idx="2">
                  <c:v>0.36</c:v>
                </c:pt>
                <c:pt idx="3">
                  <c:v>0.51</c:v>
                </c:pt>
                <c:pt idx="4">
                  <c:v>0.62</c:v>
                </c:pt>
              </c:numCache>
            </c:numRef>
          </c:xVal>
          <c:yVal>
            <c:numRef>
              <c:f>'usek (2)'!$B$3:$B$7</c:f>
              <c:numCache>
                <c:formatCode>General</c:formatCode>
                <c:ptCount val="5"/>
                <c:pt idx="0">
                  <c:v>133.5</c:v>
                </c:pt>
                <c:pt idx="1">
                  <c:v>254.6</c:v>
                </c:pt>
                <c:pt idx="2">
                  <c:v>404.4</c:v>
                </c:pt>
                <c:pt idx="3">
                  <c:v>560.70000000000005</c:v>
                </c:pt>
                <c:pt idx="4">
                  <c:v>689.1</c:v>
                </c:pt>
              </c:numCache>
            </c:numRef>
          </c:yVal>
        </c:ser>
        <c:axId val="89826432"/>
        <c:axId val="89827968"/>
      </c:scatterChart>
      <c:valAx>
        <c:axId val="8982643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827968"/>
        <c:crosses val="autoZero"/>
        <c:crossBetween val="midCat"/>
      </c:valAx>
      <c:valAx>
        <c:axId val="8982796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826432"/>
        <c:crosses val="autoZero"/>
        <c:crossBetween val="midCat"/>
      </c:valAx>
    </c:plotArea>
    <c:legend>
      <c:legendPos val="r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plotArea>
      <c:layout>
        <c:manualLayout>
          <c:layoutTarget val="inner"/>
          <c:xMode val="edge"/>
          <c:yMode val="edge"/>
          <c:x val="9.7916666666666666E-2"/>
          <c:y val="0.19615205886149523"/>
          <c:w val="0.58311792922436179"/>
          <c:h val="0.64759777978572353"/>
        </c:manualLayout>
      </c:layout>
      <c:scatterChart>
        <c:scatterStyle val="lineMarker"/>
        <c:ser>
          <c:idx val="0"/>
          <c:order val="0"/>
          <c:tx>
            <c:v>a=0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41259383202099725"/>
                  <c:y val="3.2693934091571987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</c:trendlineLbl>
          </c:trendline>
          <c:xVal>
            <c:numRef>
              <c:f>'usek (2)'!$A$3:$A$7</c:f>
              <c:numCache>
                <c:formatCode>General</c:formatCode>
                <c:ptCount val="5"/>
                <c:pt idx="0">
                  <c:v>0.12</c:v>
                </c:pt>
                <c:pt idx="1">
                  <c:v>0.23</c:v>
                </c:pt>
                <c:pt idx="2">
                  <c:v>0.36</c:v>
                </c:pt>
                <c:pt idx="3">
                  <c:v>0.51</c:v>
                </c:pt>
                <c:pt idx="4">
                  <c:v>0.62</c:v>
                </c:pt>
              </c:numCache>
            </c:numRef>
          </c:xVal>
          <c:yVal>
            <c:numRef>
              <c:f>'usek (2)'!$B$3:$B$7</c:f>
              <c:numCache>
                <c:formatCode>General</c:formatCode>
                <c:ptCount val="5"/>
                <c:pt idx="0">
                  <c:v>133.5</c:v>
                </c:pt>
                <c:pt idx="1">
                  <c:v>254.6</c:v>
                </c:pt>
                <c:pt idx="2">
                  <c:v>404.4</c:v>
                </c:pt>
                <c:pt idx="3">
                  <c:v>560.70000000000005</c:v>
                </c:pt>
                <c:pt idx="4">
                  <c:v>689.1</c:v>
                </c:pt>
              </c:numCache>
            </c:numRef>
          </c:yVal>
        </c:ser>
        <c:axId val="89903104"/>
        <c:axId val="89904640"/>
      </c:scatterChart>
      <c:valAx>
        <c:axId val="8990310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904640"/>
        <c:crosses val="autoZero"/>
        <c:crossBetween val="midCat"/>
      </c:valAx>
      <c:valAx>
        <c:axId val="8990464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903104"/>
        <c:crosses val="autoZero"/>
        <c:crossBetween val="midCat"/>
      </c:valAx>
    </c:plotArea>
    <c:legend>
      <c:legendPos val="r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9.7916666666666666E-2"/>
          <c:y val="4.8611111111111112E-2"/>
          <c:w val="0.67500000000000149"/>
          <c:h val="0.7951388888888888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trendline>
            <c:trendlineType val="linear"/>
            <c:dispRSqr val="1"/>
            <c:dispEq val="1"/>
            <c:trendlineLbl>
              <c:layout>
                <c:manualLayout>
                  <c:x val="0.24061111111111141"/>
                  <c:y val="0.1661920384951882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</c:trendlineLbl>
          </c:trendline>
          <c:xVal>
            <c:numRef>
              <c:f>kalibraceIS!$A$4:$A$11</c:f>
              <c:numCache>
                <c:formatCode>0.00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kalibraceIS!$B$4:$B$11</c:f>
              <c:numCache>
                <c:formatCode>General</c:formatCode>
                <c:ptCount val="8"/>
                <c:pt idx="0">
                  <c:v>95</c:v>
                </c:pt>
                <c:pt idx="1">
                  <c:v>201</c:v>
                </c:pt>
                <c:pt idx="2">
                  <c:v>305</c:v>
                </c:pt>
                <c:pt idx="3">
                  <c:v>399</c:v>
                </c:pt>
                <c:pt idx="4">
                  <c:v>495</c:v>
                </c:pt>
                <c:pt idx="5">
                  <c:v>610</c:v>
                </c:pt>
                <c:pt idx="6">
                  <c:v>700</c:v>
                </c:pt>
                <c:pt idx="7">
                  <c:v>810</c:v>
                </c:pt>
              </c:numCache>
            </c:numRef>
          </c:yVal>
        </c:ser>
        <c:ser>
          <c:idx val="1"/>
          <c:order val="1"/>
          <c:tx>
            <c:strRef>
              <c:f>kalibraceIS!$E$3</c:f>
              <c:strCache>
                <c:ptCount val="1"/>
                <c:pt idx="0">
                  <c:v>pás</c:v>
                </c:pt>
              </c:strCache>
            </c:strRef>
          </c:tx>
          <c:spPr>
            <a:ln w="31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kalibraceIS!$A$4:$A$11</c:f>
              <c:numCache>
                <c:formatCode>0.00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kalibraceIS!$E$4:$E$11</c:f>
              <c:numCache>
                <c:formatCode>0.00</c:formatCode>
                <c:ptCount val="8"/>
                <c:pt idx="0">
                  <c:v>90.102109219627408</c:v>
                </c:pt>
                <c:pt idx="1">
                  <c:v>193.4656899965301</c:v>
                </c:pt>
                <c:pt idx="2">
                  <c:v>296.82919121460714</c:v>
                </c:pt>
                <c:pt idx="3">
                  <c:v>400.19213592962745</c:v>
                </c:pt>
                <c:pt idx="4">
                  <c:v>501.51356450105601</c:v>
                </c:pt>
                <c:pt idx="5">
                  <c:v>600.79347692889291</c:v>
                </c:pt>
                <c:pt idx="6">
                  <c:v>700.07283285367294</c:v>
                </c:pt>
                <c:pt idx="7">
                  <c:v>799.35210921962744</c:v>
                </c:pt>
              </c:numCache>
            </c:numRef>
          </c:yVal>
        </c:ser>
        <c:axId val="89975040"/>
        <c:axId val="89985024"/>
      </c:scatterChart>
      <c:valAx>
        <c:axId val="89975040"/>
        <c:scaling>
          <c:orientation val="minMax"/>
          <c:max val="8"/>
          <c:min val="1"/>
        </c:scaling>
        <c:axPos val="b"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985024"/>
        <c:crosses val="autoZero"/>
        <c:crossBetween val="midCat"/>
      </c:valAx>
      <c:valAx>
        <c:axId val="8998502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975040"/>
        <c:crosses val="autoZero"/>
        <c:crossBetween val="midCat"/>
      </c:valAx>
    </c:plotArea>
    <c:legend>
      <c:legendPos val="r"/>
      <c:legendEntry>
        <c:idx val="2"/>
        <c:delete val="1"/>
      </c:legendEntry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25"/>
          <c:y val="5.3030303030303032E-2"/>
          <c:w val="0.62234042553191493"/>
          <c:h val="0.776515151515151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FF0000"/>
              </a:solidFill>
            </c:spPr>
          </c:marker>
          <c:trendline>
            <c:spPr>
              <a:ln w="3175">
                <a:solidFill>
                  <a:srgbClr val="FF0000"/>
                </a:solidFill>
                <a:prstDash val="sysDot"/>
              </a:ln>
            </c:spPr>
            <c:trendlineType val="linear"/>
            <c:dispRSqr val="1"/>
            <c:dispEq val="1"/>
            <c:trendlineLbl>
              <c:layout>
                <c:manualLayout>
                  <c:x val="0.388265761992518"/>
                  <c:y val="5.808080808080808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</c:trendlineLbl>
          </c:trendline>
          <c:xVal>
            <c:numRef>
              <c:f>IS!$A$13:$A$36</c:f>
              <c:numCache>
                <c:formatCode>0.00</c:formatCode>
                <c:ptCount val="24"/>
                <c:pt idx="0">
                  <c:v>1.01</c:v>
                </c:pt>
                <c:pt idx="1">
                  <c:v>2.02</c:v>
                </c:pt>
                <c:pt idx="2">
                  <c:v>3.03</c:v>
                </c:pt>
                <c:pt idx="3">
                  <c:v>4.04</c:v>
                </c:pt>
                <c:pt idx="4">
                  <c:v>5.05</c:v>
                </c:pt>
                <c:pt idx="5">
                  <c:v>6.06</c:v>
                </c:pt>
                <c:pt idx="6">
                  <c:v>7.07</c:v>
                </c:pt>
                <c:pt idx="7">
                  <c:v>8.08</c:v>
                </c:pt>
                <c:pt idx="8">
                  <c:v>1.01</c:v>
                </c:pt>
                <c:pt idx="9">
                  <c:v>2.02</c:v>
                </c:pt>
                <c:pt idx="10">
                  <c:v>3.03</c:v>
                </c:pt>
                <c:pt idx="11">
                  <c:v>4.04</c:v>
                </c:pt>
                <c:pt idx="12">
                  <c:v>5.05</c:v>
                </c:pt>
                <c:pt idx="13">
                  <c:v>6.06</c:v>
                </c:pt>
                <c:pt idx="14">
                  <c:v>7.07</c:v>
                </c:pt>
                <c:pt idx="15">
                  <c:v>8.08</c:v>
                </c:pt>
                <c:pt idx="16">
                  <c:v>1.01</c:v>
                </c:pt>
                <c:pt idx="17">
                  <c:v>2.02</c:v>
                </c:pt>
                <c:pt idx="18">
                  <c:v>3.03</c:v>
                </c:pt>
                <c:pt idx="19">
                  <c:v>4.04</c:v>
                </c:pt>
                <c:pt idx="20">
                  <c:v>5.05</c:v>
                </c:pt>
                <c:pt idx="21">
                  <c:v>6.06</c:v>
                </c:pt>
                <c:pt idx="22">
                  <c:v>7.07</c:v>
                </c:pt>
                <c:pt idx="23">
                  <c:v>8.08</c:v>
                </c:pt>
              </c:numCache>
            </c:numRef>
          </c:xVal>
          <c:yVal>
            <c:numRef>
              <c:f>IS!$B$13:$B$36</c:f>
              <c:numCache>
                <c:formatCode>General</c:formatCode>
                <c:ptCount val="24"/>
                <c:pt idx="0">
                  <c:v>95</c:v>
                </c:pt>
                <c:pt idx="1">
                  <c:v>201</c:v>
                </c:pt>
                <c:pt idx="2">
                  <c:v>305</c:v>
                </c:pt>
                <c:pt idx="3">
                  <c:v>399</c:v>
                </c:pt>
                <c:pt idx="4">
                  <c:v>495</c:v>
                </c:pt>
                <c:pt idx="5">
                  <c:v>610</c:v>
                </c:pt>
                <c:pt idx="6">
                  <c:v>700</c:v>
                </c:pt>
                <c:pt idx="7">
                  <c:v>810</c:v>
                </c:pt>
                <c:pt idx="8">
                  <c:v>93</c:v>
                </c:pt>
                <c:pt idx="9">
                  <c:v>190</c:v>
                </c:pt>
                <c:pt idx="10">
                  <c:v>295</c:v>
                </c:pt>
                <c:pt idx="11">
                  <c:v>400</c:v>
                </c:pt>
                <c:pt idx="12">
                  <c:v>510</c:v>
                </c:pt>
                <c:pt idx="13">
                  <c:v>605</c:v>
                </c:pt>
                <c:pt idx="14">
                  <c:v>695</c:v>
                </c:pt>
                <c:pt idx="15">
                  <c:v>803</c:v>
                </c:pt>
                <c:pt idx="16">
                  <c:v>99</c:v>
                </c:pt>
                <c:pt idx="17">
                  <c:v>198</c:v>
                </c:pt>
                <c:pt idx="18">
                  <c:v>297</c:v>
                </c:pt>
                <c:pt idx="19">
                  <c:v>404</c:v>
                </c:pt>
                <c:pt idx="20">
                  <c:v>503</c:v>
                </c:pt>
                <c:pt idx="21">
                  <c:v>600</c:v>
                </c:pt>
                <c:pt idx="22">
                  <c:v>698</c:v>
                </c:pt>
                <c:pt idx="23">
                  <c:v>808</c:v>
                </c:pt>
              </c:numCache>
            </c:numRef>
          </c:yVal>
        </c:ser>
        <c:axId val="90033536"/>
        <c:axId val="90051712"/>
      </c:scatterChart>
      <c:valAx>
        <c:axId val="90033536"/>
        <c:scaling>
          <c:orientation val="minMax"/>
        </c:scaling>
        <c:axPos val="b"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051712"/>
        <c:crosses val="autoZero"/>
        <c:crossBetween val="midCat"/>
      </c:valAx>
      <c:valAx>
        <c:axId val="9005171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033536"/>
        <c:crosses val="autoZero"/>
        <c:crossBetween val="midCat"/>
      </c:valAx>
    </c:plotArea>
    <c:legend>
      <c:legendPos val="r"/>
      <c:legendEntry>
        <c:idx val="1"/>
        <c:delete val="1"/>
      </c:legendEntry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7.6566125290023199E-2"/>
          <c:y val="6.8627450980392163E-2"/>
          <c:w val="0.566125290023203"/>
          <c:h val="0.7107843137254914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8668963254593181"/>
                  <c:y val="-1.4363517060367486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</c:trendlineLbl>
          </c:trendline>
          <c:xVal>
            <c:numRef>
              <c:f>massart!$B$4:$B$14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</c:numCache>
            </c:numRef>
          </c:xVal>
          <c:yVal>
            <c:numRef>
              <c:f>massart!$C$4:$C$14</c:f>
              <c:numCache>
                <c:formatCode>General</c:formatCode>
                <c:ptCount val="11"/>
                <c:pt idx="0">
                  <c:v>0</c:v>
                </c:pt>
                <c:pt idx="1">
                  <c:v>0.98</c:v>
                </c:pt>
                <c:pt idx="2" formatCode="0.00">
                  <c:v>0.9</c:v>
                </c:pt>
                <c:pt idx="3" formatCode="0.00">
                  <c:v>2.1</c:v>
                </c:pt>
                <c:pt idx="4" formatCode="0.00">
                  <c:v>2.2000000000000002</c:v>
                </c:pt>
                <c:pt idx="5">
                  <c:v>3.16</c:v>
                </c:pt>
                <c:pt idx="6">
                  <c:v>3.22</c:v>
                </c:pt>
                <c:pt idx="7">
                  <c:v>3.68</c:v>
                </c:pt>
                <c:pt idx="8">
                  <c:v>3.72</c:v>
                </c:pt>
                <c:pt idx="9">
                  <c:v>4.1500000000000004</c:v>
                </c:pt>
                <c:pt idx="10">
                  <c:v>4.2699999999999996</c:v>
                </c:pt>
              </c:numCache>
            </c:numRef>
          </c:yVal>
        </c:ser>
        <c:axId val="90199552"/>
        <c:axId val="90201088"/>
      </c:scatterChart>
      <c:valAx>
        <c:axId val="9019955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201088"/>
        <c:crosses val="autoZero"/>
        <c:crossBetween val="midCat"/>
      </c:valAx>
      <c:valAx>
        <c:axId val="9020108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199552"/>
        <c:crosses val="autoZero"/>
        <c:crossBetween val="midCat"/>
      </c:valAx>
    </c:plotArea>
    <c:legend>
      <c:legendPos val="r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plotArea>
      <c:layout/>
      <c:scatterChart>
        <c:scatterStyle val="lineMarker"/>
        <c:ser>
          <c:idx val="0"/>
          <c:order val="0"/>
          <c:tx>
            <c:strRef>
              <c:f>massart!$B$26</c:f>
              <c:strCache>
                <c:ptCount val="1"/>
                <c:pt idx="0">
                  <c:v>example 1, p.175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9285017497812857"/>
                  <c:y val="-5.8229804607757236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</c:trendlineLbl>
          </c:trendline>
          <c:xVal>
            <c:numRef>
              <c:f>massart!$A$32:$A$37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xVal>
          <c:yVal>
            <c:numRef>
              <c:f>massart!$B$32:$B$37</c:f>
              <c:numCache>
                <c:formatCode>General</c:formatCode>
                <c:ptCount val="6"/>
                <c:pt idx="0">
                  <c:v>4</c:v>
                </c:pt>
                <c:pt idx="1">
                  <c:v>21.2</c:v>
                </c:pt>
                <c:pt idx="2">
                  <c:v>44.6</c:v>
                </c:pt>
                <c:pt idx="3">
                  <c:v>61.8</c:v>
                </c:pt>
                <c:pt idx="4">
                  <c:v>78</c:v>
                </c:pt>
                <c:pt idx="5">
                  <c:v>105.2</c:v>
                </c:pt>
              </c:numCache>
            </c:numRef>
          </c:yVal>
        </c:ser>
        <c:axId val="90225664"/>
        <c:axId val="90239744"/>
      </c:scatterChart>
      <c:valAx>
        <c:axId val="9022566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239744"/>
        <c:crosses val="autoZero"/>
        <c:crossBetween val="midCat"/>
      </c:valAx>
      <c:valAx>
        <c:axId val="9023974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225664"/>
        <c:crosses val="autoZero"/>
        <c:crossBetween val="midCat"/>
      </c:valAx>
    </c:plotArea>
    <c:legend>
      <c:legendPos val="r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7708333333333368"/>
          <c:y val="7.0707070707070704E-2"/>
          <c:w val="0.7407407407407407"/>
          <c:h val="0.8484848484848486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2.6412219305920092E-2"/>
                  <c:y val="0.5892255892255892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</c:trendlineLbl>
          </c:trendline>
          <c:xVal>
            <c:numRef>
              <c:f>'log eng'!$B$5:$B$12</c:f>
              <c:numCache>
                <c:formatCode>General</c:formatCode>
                <c:ptCount val="8"/>
                <c:pt idx="0">
                  <c:v>15</c:v>
                </c:pt>
                <c:pt idx="1">
                  <c:v>35</c:v>
                </c:pt>
                <c:pt idx="2">
                  <c:v>89</c:v>
                </c:pt>
                <c:pt idx="3">
                  <c:v>150</c:v>
                </c:pt>
                <c:pt idx="4">
                  <c:v>230</c:v>
                </c:pt>
                <c:pt idx="5">
                  <c:v>400</c:v>
                </c:pt>
                <c:pt idx="6">
                  <c:v>500</c:v>
                </c:pt>
                <c:pt idx="7">
                  <c:v>650</c:v>
                </c:pt>
              </c:numCache>
            </c:numRef>
          </c:xVal>
          <c:yVal>
            <c:numRef>
              <c:f>'log eng'!$C$5:$C$12</c:f>
              <c:numCache>
                <c:formatCode>General</c:formatCode>
                <c:ptCount val="8"/>
                <c:pt idx="0">
                  <c:v>-338.5</c:v>
                </c:pt>
                <c:pt idx="1">
                  <c:v>-329.8</c:v>
                </c:pt>
                <c:pt idx="2">
                  <c:v>-316.5</c:v>
                </c:pt>
                <c:pt idx="3">
                  <c:v>-312.2</c:v>
                </c:pt>
                <c:pt idx="4">
                  <c:v>-303.7</c:v>
                </c:pt>
                <c:pt idx="5">
                  <c:v>-296.39999999999998</c:v>
                </c:pt>
                <c:pt idx="6">
                  <c:v>-295.5</c:v>
                </c:pt>
                <c:pt idx="7">
                  <c:v>-292.5</c:v>
                </c:pt>
              </c:numCache>
            </c:numRef>
          </c:yVal>
        </c:ser>
        <c:axId val="90147072"/>
        <c:axId val="90165248"/>
      </c:scatterChart>
      <c:valAx>
        <c:axId val="9014707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165248"/>
        <c:crosses val="autoZero"/>
        <c:crossBetween val="midCat"/>
      </c:valAx>
      <c:valAx>
        <c:axId val="9016524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147072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plotArea>
      <c:layout/>
      <c:scatterChart>
        <c:scatterStyle val="lineMarker"/>
        <c:ser>
          <c:idx val="0"/>
          <c:order val="0"/>
          <c:tx>
            <c:strRef>
              <c:f>'log eng'!$B$19:$C$19</c:f>
              <c:strCache>
                <c:ptCount val="1"/>
                <c:pt idx="0">
                  <c:v>log(x) y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3921369203849538"/>
                  <c:y val="-0.1197364391951006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</c:trendlineLbl>
          </c:trendline>
          <c:xVal>
            <c:numRef>
              <c:f>'log eng'!$B$20:$B$27</c:f>
              <c:numCache>
                <c:formatCode>General</c:formatCode>
                <c:ptCount val="8"/>
                <c:pt idx="0">
                  <c:v>1.1760912590556813</c:v>
                </c:pt>
                <c:pt idx="1">
                  <c:v>1.5440680443502757</c:v>
                </c:pt>
                <c:pt idx="2">
                  <c:v>1.9493900066449128</c:v>
                </c:pt>
                <c:pt idx="3">
                  <c:v>2.1760912590556813</c:v>
                </c:pt>
                <c:pt idx="4">
                  <c:v>2.3617278360175931</c:v>
                </c:pt>
                <c:pt idx="5">
                  <c:v>2.6020599913279625</c:v>
                </c:pt>
                <c:pt idx="6">
                  <c:v>2.6989700043360187</c:v>
                </c:pt>
                <c:pt idx="7">
                  <c:v>2.8129133566428557</c:v>
                </c:pt>
              </c:numCache>
            </c:numRef>
          </c:xVal>
          <c:yVal>
            <c:numRef>
              <c:f>'log eng'!$C$20:$C$27</c:f>
              <c:numCache>
                <c:formatCode>General</c:formatCode>
                <c:ptCount val="8"/>
                <c:pt idx="0">
                  <c:v>-338.5</c:v>
                </c:pt>
                <c:pt idx="1">
                  <c:v>-329.8</c:v>
                </c:pt>
                <c:pt idx="2">
                  <c:v>-316.5</c:v>
                </c:pt>
                <c:pt idx="3">
                  <c:v>-312.2</c:v>
                </c:pt>
                <c:pt idx="4">
                  <c:v>-303.7</c:v>
                </c:pt>
                <c:pt idx="5">
                  <c:v>-296.39999999999998</c:v>
                </c:pt>
                <c:pt idx="6">
                  <c:v>-295.5</c:v>
                </c:pt>
                <c:pt idx="7">
                  <c:v>-292.5</c:v>
                </c:pt>
              </c:numCache>
            </c:numRef>
          </c:yVal>
        </c:ser>
        <c:axId val="89656704"/>
        <c:axId val="89662592"/>
      </c:scatterChart>
      <c:valAx>
        <c:axId val="8965670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662592"/>
        <c:crosses val="autoZero"/>
        <c:crossBetween val="midCat"/>
      </c:valAx>
      <c:valAx>
        <c:axId val="8966259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656704"/>
        <c:crosses val="autoZero"/>
        <c:crossBetween val="midCat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>
        <c:manualLayout>
          <c:xMode val="edge"/>
          <c:yMode val="edge"/>
          <c:x val="0.11106478356872072"/>
          <c:y val="6.0606060606060622E-2"/>
        </c:manualLayout>
      </c:layout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plotArea>
      <c:layout>
        <c:manualLayout>
          <c:layoutTarget val="inner"/>
          <c:xMode val="edge"/>
          <c:yMode val="edge"/>
          <c:x val="0.17708333333333376"/>
          <c:y val="0.28619528619528617"/>
          <c:w val="0.7407407407407407"/>
          <c:h val="0.63299663299663422"/>
        </c:manualLayout>
      </c:layout>
      <c:scatterChart>
        <c:scatterStyle val="lineMarker"/>
        <c:ser>
          <c:idx val="0"/>
          <c:order val="0"/>
          <c:tx>
            <c:strRef>
              <c:f>'log eng'!$O$4</c:f>
              <c:strCache>
                <c:ptCount val="1"/>
                <c:pt idx="0">
                  <c:v>y*=x/y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9.8495188101487607E-2"/>
                  <c:y val="-0.66727272727272724"/>
                </c:manualLayout>
              </c:layout>
              <c:numFmt formatCode="#,##0.00000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</c:trendlineLbl>
          </c:trendline>
          <c:xVal>
            <c:numRef>
              <c:f>'log eng'!$B$5:$B$12</c:f>
              <c:numCache>
                <c:formatCode>General</c:formatCode>
                <c:ptCount val="8"/>
                <c:pt idx="0">
                  <c:v>15</c:v>
                </c:pt>
                <c:pt idx="1">
                  <c:v>35</c:v>
                </c:pt>
                <c:pt idx="2">
                  <c:v>89</c:v>
                </c:pt>
                <c:pt idx="3">
                  <c:v>150</c:v>
                </c:pt>
                <c:pt idx="4">
                  <c:v>230</c:v>
                </c:pt>
                <c:pt idx="5">
                  <c:v>400</c:v>
                </c:pt>
                <c:pt idx="6">
                  <c:v>500</c:v>
                </c:pt>
                <c:pt idx="7">
                  <c:v>650</c:v>
                </c:pt>
              </c:numCache>
            </c:numRef>
          </c:xVal>
          <c:yVal>
            <c:numRef>
              <c:f>'log eng'!$O$5:$O$12</c:f>
              <c:numCache>
                <c:formatCode>General</c:formatCode>
                <c:ptCount val="8"/>
                <c:pt idx="0">
                  <c:v>-4.4313146233382568E-2</c:v>
                </c:pt>
                <c:pt idx="1">
                  <c:v>-0.10612492419648271</c:v>
                </c:pt>
                <c:pt idx="2">
                  <c:v>-0.28120063191153238</c:v>
                </c:pt>
                <c:pt idx="3">
                  <c:v>-0.48046124279308139</c:v>
                </c:pt>
                <c:pt idx="4">
                  <c:v>-0.75732630885742513</c:v>
                </c:pt>
                <c:pt idx="5">
                  <c:v>-1.3495276653171391</c:v>
                </c:pt>
                <c:pt idx="6">
                  <c:v>-1.6920473773265652</c:v>
                </c:pt>
                <c:pt idx="7">
                  <c:v>-2.2222222222222223</c:v>
                </c:pt>
              </c:numCache>
            </c:numRef>
          </c:yVal>
        </c:ser>
        <c:axId val="90457600"/>
        <c:axId val="90459136"/>
      </c:scatterChart>
      <c:valAx>
        <c:axId val="90457600"/>
        <c:scaling>
          <c:orientation val="minMax"/>
          <c:max val="300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459136"/>
        <c:crosses val="autoZero"/>
        <c:crossBetween val="midCat"/>
      </c:valAx>
      <c:valAx>
        <c:axId val="90459136"/>
        <c:scaling>
          <c:orientation val="minMax"/>
          <c:min val="-1"/>
        </c:scaling>
        <c:axPos val="l"/>
        <c:majorGridlines/>
        <c:numFmt formatCode="#,##0.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457600"/>
        <c:crosses val="autoZero"/>
        <c:crossBetween val="midCat"/>
        <c:majorUnit val="0.1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7708333333333376"/>
          <c:y val="7.0707070707070704E-2"/>
          <c:w val="0.7407407407407407"/>
          <c:h val="0.8484848484848486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og"/>
            <c:dispRSqr val="1"/>
            <c:dispEq val="1"/>
            <c:trendlineLbl>
              <c:layout>
                <c:manualLayout>
                  <c:x val="0.15395815106445074"/>
                  <c:y val="0.47091704446035154"/>
                </c:manualLayout>
              </c:layout>
              <c:numFmt formatCode="#,##0.0000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</c:trendlineLbl>
          </c:trendline>
          <c:xVal>
            <c:numRef>
              <c:f>'log eng'!$B$5:$B$12</c:f>
              <c:numCache>
                <c:formatCode>General</c:formatCode>
                <c:ptCount val="8"/>
                <c:pt idx="0">
                  <c:v>15</c:v>
                </c:pt>
                <c:pt idx="1">
                  <c:v>35</c:v>
                </c:pt>
                <c:pt idx="2">
                  <c:v>89</c:v>
                </c:pt>
                <c:pt idx="3">
                  <c:v>150</c:v>
                </c:pt>
                <c:pt idx="4">
                  <c:v>230</c:v>
                </c:pt>
                <c:pt idx="5">
                  <c:v>400</c:v>
                </c:pt>
                <c:pt idx="6">
                  <c:v>500</c:v>
                </c:pt>
                <c:pt idx="7">
                  <c:v>650</c:v>
                </c:pt>
              </c:numCache>
            </c:numRef>
          </c:xVal>
          <c:yVal>
            <c:numRef>
              <c:f>'log eng'!$C$5:$C$12</c:f>
              <c:numCache>
                <c:formatCode>General</c:formatCode>
                <c:ptCount val="8"/>
                <c:pt idx="0">
                  <c:v>-338.5</c:v>
                </c:pt>
                <c:pt idx="1">
                  <c:v>-329.8</c:v>
                </c:pt>
                <c:pt idx="2">
                  <c:v>-316.5</c:v>
                </c:pt>
                <c:pt idx="3">
                  <c:v>-312.2</c:v>
                </c:pt>
                <c:pt idx="4">
                  <c:v>-303.7</c:v>
                </c:pt>
                <c:pt idx="5">
                  <c:v>-296.39999999999998</c:v>
                </c:pt>
                <c:pt idx="6">
                  <c:v>-295.5</c:v>
                </c:pt>
                <c:pt idx="7">
                  <c:v>-292.5</c:v>
                </c:pt>
              </c:numCache>
            </c:numRef>
          </c:yVal>
        </c:ser>
        <c:axId val="90479616"/>
        <c:axId val="90489600"/>
      </c:scatterChart>
      <c:valAx>
        <c:axId val="9047961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489600"/>
        <c:crosses val="autoZero"/>
        <c:crossBetween val="midCat"/>
      </c:valAx>
      <c:valAx>
        <c:axId val="90489600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479616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plotArea>
      <c:layout/>
      <c:scatterChart>
        <c:scatterStyle val="lineMarker"/>
        <c:ser>
          <c:idx val="0"/>
          <c:order val="0"/>
          <c:tx>
            <c:strRef>
              <c:f>'log eng'!$U$4</c:f>
              <c:strCache>
                <c:ptCount val="1"/>
                <c:pt idx="0">
                  <c:v>y=1/(b+a/x)</c:v>
                </c:pt>
              </c:strCache>
            </c:strRef>
          </c:tx>
          <c:spPr>
            <a:ln w="28575">
              <a:noFill/>
            </a:ln>
          </c:spPr>
          <c:xVal>
            <c:numRef>
              <c:f>'log eng'!$B$5:$B$12</c:f>
              <c:numCache>
                <c:formatCode>General</c:formatCode>
                <c:ptCount val="8"/>
                <c:pt idx="0">
                  <c:v>15</c:v>
                </c:pt>
                <c:pt idx="1">
                  <c:v>35</c:v>
                </c:pt>
                <c:pt idx="2">
                  <c:v>89</c:v>
                </c:pt>
                <c:pt idx="3">
                  <c:v>150</c:v>
                </c:pt>
                <c:pt idx="4">
                  <c:v>230</c:v>
                </c:pt>
                <c:pt idx="5">
                  <c:v>400</c:v>
                </c:pt>
                <c:pt idx="6">
                  <c:v>500</c:v>
                </c:pt>
                <c:pt idx="7">
                  <c:v>650</c:v>
                </c:pt>
              </c:numCache>
            </c:numRef>
          </c:xVal>
          <c:yVal>
            <c:numRef>
              <c:f>'log eng'!$U$5:$U$12</c:f>
              <c:numCache>
                <c:formatCode>General</c:formatCode>
                <c:ptCount val="8"/>
                <c:pt idx="0">
                  <c:v>-503.98778694247625</c:v>
                </c:pt>
                <c:pt idx="1">
                  <c:v>-355.45343211854674</c:v>
                </c:pt>
                <c:pt idx="2">
                  <c:v>-313.41967808607109</c:v>
                </c:pt>
                <c:pt idx="3">
                  <c:v>-303.94587019403946</c:v>
                </c:pt>
                <c:pt idx="4">
                  <c:v>-299.35383234787076</c:v>
                </c:pt>
                <c:pt idx="5">
                  <c:v>-295.79271011739087</c:v>
                </c:pt>
                <c:pt idx="6">
                  <c:v>-294.84363034306165</c:v>
                </c:pt>
                <c:pt idx="7">
                  <c:v>-293.97294644919293</c:v>
                </c:pt>
              </c:numCache>
            </c:numRef>
          </c:yVal>
        </c:ser>
        <c:axId val="90504576"/>
        <c:axId val="90576000"/>
      </c:scatterChart>
      <c:valAx>
        <c:axId val="9050457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576000"/>
        <c:crosses val="autoZero"/>
        <c:crossBetween val="midCat"/>
      </c:valAx>
      <c:valAx>
        <c:axId val="9057600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504576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plotArea>
      <c:layout/>
      <c:scatterChart>
        <c:scatterStyle val="lineMarker"/>
        <c:ser>
          <c:idx val="0"/>
          <c:order val="0"/>
          <c:tx>
            <c:strRef>
              <c:f>'log eng'!$B$37:$C$37</c:f>
              <c:strCache>
                <c:ptCount val="1"/>
                <c:pt idx="0">
                  <c:v>ln(x) y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2007728200641586"/>
                  <c:y val="-0.1197364391951006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</c:trendlineLbl>
          </c:trendline>
          <c:xVal>
            <c:numRef>
              <c:f>'log eng'!$B$38:$B$45</c:f>
              <c:numCache>
                <c:formatCode>General</c:formatCode>
                <c:ptCount val="8"/>
                <c:pt idx="0">
                  <c:v>2.7080502011022101</c:v>
                </c:pt>
                <c:pt idx="1">
                  <c:v>3.5553480614894135</c:v>
                </c:pt>
                <c:pt idx="2">
                  <c:v>4.4886363697321396</c:v>
                </c:pt>
                <c:pt idx="3">
                  <c:v>5.0106352940962555</c:v>
                </c:pt>
                <c:pt idx="4">
                  <c:v>5.4380793089231956</c:v>
                </c:pt>
                <c:pt idx="5">
                  <c:v>5.9914645471079817</c:v>
                </c:pt>
                <c:pt idx="6">
                  <c:v>6.2146080984221914</c:v>
                </c:pt>
                <c:pt idx="7">
                  <c:v>6.4769723628896827</c:v>
                </c:pt>
              </c:numCache>
            </c:numRef>
          </c:xVal>
          <c:yVal>
            <c:numRef>
              <c:f>'log eng'!$C$38:$C$45</c:f>
              <c:numCache>
                <c:formatCode>General</c:formatCode>
                <c:ptCount val="8"/>
                <c:pt idx="0">
                  <c:v>-338.5</c:v>
                </c:pt>
                <c:pt idx="1">
                  <c:v>-329.8</c:v>
                </c:pt>
                <c:pt idx="2">
                  <c:v>-316.5</c:v>
                </c:pt>
                <c:pt idx="3">
                  <c:v>-312.2</c:v>
                </c:pt>
                <c:pt idx="4">
                  <c:v>-303.7</c:v>
                </c:pt>
                <c:pt idx="5">
                  <c:v>-296.39999999999998</c:v>
                </c:pt>
                <c:pt idx="6">
                  <c:v>-295.5</c:v>
                </c:pt>
                <c:pt idx="7">
                  <c:v>-292.5</c:v>
                </c:pt>
              </c:numCache>
            </c:numRef>
          </c:yVal>
        </c:ser>
        <c:axId val="90616960"/>
        <c:axId val="90618496"/>
      </c:scatterChart>
      <c:valAx>
        <c:axId val="9061696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618496"/>
        <c:crosses val="autoZero"/>
        <c:crossBetween val="midCat"/>
      </c:valAx>
      <c:valAx>
        <c:axId val="9061849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616960"/>
        <c:crosses val="autoZero"/>
        <c:crossBetween val="midCat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5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5.png"/><Relationship Id="rId1" Type="http://schemas.openxmlformats.org/officeDocument/2006/relationships/chart" Target="../charts/chart7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6.png"/><Relationship Id="rId5" Type="http://schemas.openxmlformats.org/officeDocument/2006/relationships/image" Target="../media/image13.png"/><Relationship Id="rId4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7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1.emf"/><Relationship Id="rId5" Type="http://schemas.openxmlformats.org/officeDocument/2006/relationships/image" Target="../media/image20.emf"/><Relationship Id="rId4" Type="http://schemas.openxmlformats.org/officeDocument/2006/relationships/image" Target="../media/image19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7" Type="http://schemas.openxmlformats.org/officeDocument/2006/relationships/chart" Target="../charts/chart23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292791</xdr:colOff>
      <xdr:row>0</xdr:row>
      <xdr:rowOff>449745</xdr:rowOff>
    </xdr:from>
    <xdr:to>
      <xdr:col>9</xdr:col>
      <xdr:colOff>405848</xdr:colOff>
      <xdr:row>0</xdr:row>
      <xdr:rowOff>1952746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4465" y="449745"/>
          <a:ext cx="5430492" cy="1503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389212</xdr:colOff>
      <xdr:row>0</xdr:row>
      <xdr:rowOff>143203</xdr:rowOff>
    </xdr:from>
    <xdr:to>
      <xdr:col>5</xdr:col>
      <xdr:colOff>466397</xdr:colOff>
      <xdr:row>0</xdr:row>
      <xdr:rowOff>2276803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180975</xdr:colOff>
      <xdr:row>0</xdr:row>
      <xdr:rowOff>2286000</xdr:rowOff>
    </xdr:from>
    <xdr:to>
      <xdr:col>22</xdr:col>
      <xdr:colOff>371473</xdr:colOff>
      <xdr:row>10</xdr:row>
      <xdr:rowOff>47625</xdr:rowOff>
    </xdr:to>
    <xdr:pic>
      <xdr:nvPicPr>
        <xdr:cNvPr id="5" name="Picture 15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10800" y="2286000"/>
          <a:ext cx="4457700" cy="1857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323850</xdr:colOff>
      <xdr:row>0</xdr:row>
      <xdr:rowOff>2200275</xdr:rowOff>
    </xdr:from>
    <xdr:to>
      <xdr:col>21</xdr:col>
      <xdr:colOff>238125</xdr:colOff>
      <xdr:row>19</xdr:row>
      <xdr:rowOff>142875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25175" y="2200275"/>
          <a:ext cx="3571875" cy="350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12423</xdr:colOff>
      <xdr:row>0</xdr:row>
      <xdr:rowOff>924909</xdr:rowOff>
    </xdr:from>
    <xdr:to>
      <xdr:col>11</xdr:col>
      <xdr:colOff>8932</xdr:colOff>
      <xdr:row>0</xdr:row>
      <xdr:rowOff>1552437</xdr:rowOff>
    </xdr:to>
    <xdr:pic>
      <xdr:nvPicPr>
        <xdr:cNvPr id="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62988" y="924909"/>
          <a:ext cx="2597248" cy="627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523875</xdr:colOff>
      <xdr:row>0</xdr:row>
      <xdr:rowOff>466725</xdr:rowOff>
    </xdr:from>
    <xdr:to>
      <xdr:col>20</xdr:col>
      <xdr:colOff>152400</xdr:colOff>
      <xdr:row>0</xdr:row>
      <xdr:rowOff>1969726</xdr:rowOff>
    </xdr:to>
    <xdr:pic>
      <xdr:nvPicPr>
        <xdr:cNvPr id="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010650" y="466725"/>
          <a:ext cx="5400675" cy="1503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36</xdr:row>
      <xdr:rowOff>114301</xdr:rowOff>
    </xdr:from>
    <xdr:to>
      <xdr:col>3</xdr:col>
      <xdr:colOff>381000</xdr:colOff>
      <xdr:row>49</xdr:row>
      <xdr:rowOff>19050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314325</xdr:colOff>
      <xdr:row>21</xdr:row>
      <xdr:rowOff>104774</xdr:rowOff>
    </xdr:from>
    <xdr:to>
      <xdr:col>3</xdr:col>
      <xdr:colOff>304800</xdr:colOff>
      <xdr:row>34</xdr:row>
      <xdr:rowOff>152400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596348</xdr:colOff>
      <xdr:row>1</xdr:row>
      <xdr:rowOff>34342</xdr:rowOff>
    </xdr:from>
    <xdr:to>
      <xdr:col>15</xdr:col>
      <xdr:colOff>13955</xdr:colOff>
      <xdr:row>14</xdr:row>
      <xdr:rowOff>74544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452232</xdr:colOff>
      <xdr:row>26</xdr:row>
      <xdr:rowOff>82826</xdr:rowOff>
    </xdr:from>
    <xdr:to>
      <xdr:col>6</xdr:col>
      <xdr:colOff>124239</xdr:colOff>
      <xdr:row>40</xdr:row>
      <xdr:rowOff>115956</xdr:rowOff>
    </xdr:to>
    <xdr:graphicFrame macro="">
      <xdr:nvGraphicFramePr>
        <xdr:cNvPr id="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223630</xdr:colOff>
      <xdr:row>18</xdr:row>
      <xdr:rowOff>124239</xdr:rowOff>
    </xdr:from>
    <xdr:to>
      <xdr:col>8</xdr:col>
      <xdr:colOff>215348</xdr:colOff>
      <xdr:row>25</xdr:row>
      <xdr:rowOff>149087</xdr:rowOff>
    </xdr:to>
    <xdr:cxnSp macro="">
      <xdr:nvCxnSpPr>
        <xdr:cNvPr id="5" name="Přímá spojovací čára 4"/>
        <xdr:cNvCxnSpPr/>
      </xdr:nvCxnSpPr>
      <xdr:spPr>
        <a:xfrm flipV="1">
          <a:off x="4166152" y="3114261"/>
          <a:ext cx="1217544" cy="11844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82827</xdr:colOff>
      <xdr:row>2</xdr:row>
      <xdr:rowOff>41414</xdr:rowOff>
    </xdr:from>
    <xdr:to>
      <xdr:col>8</xdr:col>
      <xdr:colOff>74545</xdr:colOff>
      <xdr:row>9</xdr:row>
      <xdr:rowOff>57979</xdr:rowOff>
    </xdr:to>
    <xdr:cxnSp macro="">
      <xdr:nvCxnSpPr>
        <xdr:cNvPr id="6" name="Přímá spojovací čára 5"/>
        <xdr:cNvCxnSpPr/>
      </xdr:nvCxnSpPr>
      <xdr:spPr>
        <a:xfrm flipV="1">
          <a:off x="4025349" y="372718"/>
          <a:ext cx="1217544" cy="11844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74544</xdr:colOff>
      <xdr:row>17</xdr:row>
      <xdr:rowOff>82825</xdr:rowOff>
    </xdr:from>
    <xdr:to>
      <xdr:col>15</xdr:col>
      <xdr:colOff>11595</xdr:colOff>
      <xdr:row>31</xdr:row>
      <xdr:rowOff>115956</xdr:rowOff>
    </xdr:to>
    <xdr:graphicFrame macro="">
      <xdr:nvGraphicFramePr>
        <xdr:cNvPr id="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513522</xdr:colOff>
      <xdr:row>22</xdr:row>
      <xdr:rowOff>82827</xdr:rowOff>
    </xdr:from>
    <xdr:to>
      <xdr:col>4</xdr:col>
      <xdr:colOff>314740</xdr:colOff>
      <xdr:row>29</xdr:row>
      <xdr:rowOff>115956</xdr:rowOff>
    </xdr:to>
    <xdr:cxnSp macro="">
      <xdr:nvCxnSpPr>
        <xdr:cNvPr id="9" name="Přímá spojovací šipka 8"/>
        <xdr:cNvCxnSpPr/>
      </xdr:nvCxnSpPr>
      <xdr:spPr>
        <a:xfrm rot="16200000" flipV="1">
          <a:off x="2228023" y="4124739"/>
          <a:ext cx="1192695" cy="414131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7</xdr:row>
      <xdr:rowOff>95250</xdr:rowOff>
    </xdr:from>
    <xdr:to>
      <xdr:col>9</xdr:col>
      <xdr:colOff>438150</xdr:colOff>
      <xdr:row>21</xdr:row>
      <xdr:rowOff>47625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114300</xdr:colOff>
      <xdr:row>43</xdr:row>
      <xdr:rowOff>66675</xdr:rowOff>
    </xdr:from>
    <xdr:to>
      <xdr:col>19</xdr:col>
      <xdr:colOff>590550</xdr:colOff>
      <xdr:row>47</xdr:row>
      <xdr:rowOff>9525</xdr:rowOff>
    </xdr:to>
    <xdr:pic>
      <xdr:nvPicPr>
        <xdr:cNvPr id="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38925" y="7867650"/>
          <a:ext cx="5962650" cy="609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209550</xdr:colOff>
      <xdr:row>30</xdr:row>
      <xdr:rowOff>142874</xdr:rowOff>
    </xdr:from>
    <xdr:to>
      <xdr:col>9</xdr:col>
      <xdr:colOff>600075</xdr:colOff>
      <xdr:row>42</xdr:row>
      <xdr:rowOff>19049</xdr:rowOff>
    </xdr:to>
    <xdr:graphicFrame macro="">
      <xdr:nvGraphicFramePr>
        <xdr:cNvPr id="6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600075</xdr:colOff>
      <xdr:row>7</xdr:row>
      <xdr:rowOff>114300</xdr:rowOff>
    </xdr:from>
    <xdr:to>
      <xdr:col>15</xdr:col>
      <xdr:colOff>209550</xdr:colOff>
      <xdr:row>21</xdr:row>
      <xdr:rowOff>66675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228600</xdr:colOff>
      <xdr:row>30</xdr:row>
      <xdr:rowOff>142875</xdr:rowOff>
    </xdr:from>
    <xdr:to>
      <xdr:col>15</xdr:col>
      <xdr:colOff>9525</xdr:colOff>
      <xdr:row>42</xdr:row>
      <xdr:rowOff>19050</xdr:rowOff>
    </xdr:to>
    <xdr:graphicFrame macro="">
      <xdr:nvGraphicFramePr>
        <xdr:cNvPr id="7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114299</xdr:colOff>
      <xdr:row>8</xdr:row>
      <xdr:rowOff>19050</xdr:rowOff>
    </xdr:from>
    <xdr:to>
      <xdr:col>25</xdr:col>
      <xdr:colOff>542924</xdr:colOff>
      <xdr:row>20</xdr:row>
      <xdr:rowOff>76200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209550</xdr:colOff>
      <xdr:row>12</xdr:row>
      <xdr:rowOff>104775</xdr:rowOff>
    </xdr:from>
    <xdr:to>
      <xdr:col>20</xdr:col>
      <xdr:colOff>371475</xdr:colOff>
      <xdr:row>14</xdr:row>
      <xdr:rowOff>152400</xdr:rowOff>
    </xdr:to>
    <xdr:sp macro="" textlink="">
      <xdr:nvSpPr>
        <xdr:cNvPr id="12" name="Šipka doprava 11"/>
        <xdr:cNvSpPr/>
      </xdr:nvSpPr>
      <xdr:spPr>
        <a:xfrm>
          <a:off x="11001375" y="2305050"/>
          <a:ext cx="1990725" cy="409575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28575</xdr:rowOff>
    </xdr:from>
    <xdr:to>
      <xdr:col>10</xdr:col>
      <xdr:colOff>504825</xdr:colOff>
      <xdr:row>5</xdr:row>
      <xdr:rowOff>133350</xdr:rowOff>
    </xdr:to>
    <xdr:pic>
      <xdr:nvPicPr>
        <xdr:cNvPr id="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78110"/>
        <a:stretch>
          <a:fillRect/>
        </a:stretch>
      </xdr:blipFill>
      <xdr:spPr bwMode="auto">
        <a:xfrm>
          <a:off x="104775" y="190500"/>
          <a:ext cx="6496050" cy="752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15</xdr:col>
      <xdr:colOff>304800</xdr:colOff>
      <xdr:row>23</xdr:row>
      <xdr:rowOff>66675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15200" y="161925"/>
          <a:ext cx="2133600" cy="3629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28575</xdr:rowOff>
    </xdr:from>
    <xdr:to>
      <xdr:col>12</xdr:col>
      <xdr:colOff>378069</xdr:colOff>
      <xdr:row>5</xdr:row>
      <xdr:rowOff>133350</xdr:rowOff>
    </xdr:to>
    <xdr:pic>
      <xdr:nvPicPr>
        <xdr:cNvPr id="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78110"/>
        <a:stretch>
          <a:fillRect/>
        </a:stretch>
      </xdr:blipFill>
      <xdr:spPr bwMode="auto">
        <a:xfrm>
          <a:off x="104775" y="190500"/>
          <a:ext cx="6496050" cy="752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1</xdr:row>
      <xdr:rowOff>76200</xdr:rowOff>
    </xdr:from>
    <xdr:to>
      <xdr:col>17</xdr:col>
      <xdr:colOff>552451</xdr:colOff>
      <xdr:row>23</xdr:row>
      <xdr:rowOff>123825</xdr:rowOff>
    </xdr:to>
    <xdr:pic>
      <xdr:nvPicPr>
        <xdr:cNvPr id="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7600" y="238125"/>
          <a:ext cx="2133601" cy="3629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113467</xdr:colOff>
      <xdr:row>20</xdr:row>
      <xdr:rowOff>156062</xdr:rowOff>
    </xdr:from>
    <xdr:to>
      <xdr:col>4</xdr:col>
      <xdr:colOff>228600</xdr:colOff>
      <xdr:row>38</xdr:row>
      <xdr:rowOff>54380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467" y="3394562"/>
          <a:ext cx="2382083" cy="28129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266700</xdr:colOff>
      <xdr:row>6</xdr:row>
      <xdr:rowOff>9525</xdr:rowOff>
    </xdr:from>
    <xdr:to>
      <xdr:col>17</xdr:col>
      <xdr:colOff>285750</xdr:colOff>
      <xdr:row>13</xdr:row>
      <xdr:rowOff>57150</xdr:rowOff>
    </xdr:to>
    <xdr:cxnSp macro="">
      <xdr:nvCxnSpPr>
        <xdr:cNvPr id="6" name="Přímá spojovací šipka 5"/>
        <xdr:cNvCxnSpPr/>
      </xdr:nvCxnSpPr>
      <xdr:spPr>
        <a:xfrm flipV="1">
          <a:off x="7086600" y="981075"/>
          <a:ext cx="2457450" cy="1190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</xdr:row>
      <xdr:rowOff>28575</xdr:rowOff>
    </xdr:from>
    <xdr:to>
      <xdr:col>11</xdr:col>
      <xdr:colOff>9525</xdr:colOff>
      <xdr:row>6</xdr:row>
      <xdr:rowOff>123825</xdr:rowOff>
    </xdr:to>
    <xdr:pic>
      <xdr:nvPicPr>
        <xdr:cNvPr id="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21613" b="56774"/>
        <a:stretch>
          <a:fillRect/>
        </a:stretch>
      </xdr:blipFill>
      <xdr:spPr bwMode="auto">
        <a:xfrm>
          <a:off x="219075" y="352425"/>
          <a:ext cx="6496050" cy="742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361950</xdr:colOff>
      <xdr:row>1</xdr:row>
      <xdr:rowOff>114300</xdr:rowOff>
    </xdr:from>
    <xdr:to>
      <xdr:col>19</xdr:col>
      <xdr:colOff>493712</xdr:colOff>
      <xdr:row>22</xdr:row>
      <xdr:rowOff>104775</xdr:rowOff>
    </xdr:to>
    <xdr:pic>
      <xdr:nvPicPr>
        <xdr:cNvPr id="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1000"/>
        <a:stretch>
          <a:fillRect/>
        </a:stretch>
      </xdr:blipFill>
      <xdr:spPr bwMode="auto">
        <a:xfrm>
          <a:off x="7067550" y="276225"/>
          <a:ext cx="5008562" cy="339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</xdr:row>
      <xdr:rowOff>28575</xdr:rowOff>
    </xdr:from>
    <xdr:to>
      <xdr:col>11</xdr:col>
      <xdr:colOff>9525</xdr:colOff>
      <xdr:row>6</xdr:row>
      <xdr:rowOff>123825</xdr:rowOff>
    </xdr:to>
    <xdr:pic>
      <xdr:nvPicPr>
        <xdr:cNvPr id="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21613" b="56774"/>
        <a:stretch>
          <a:fillRect/>
        </a:stretch>
      </xdr:blipFill>
      <xdr:spPr bwMode="auto">
        <a:xfrm>
          <a:off x="219075" y="352425"/>
          <a:ext cx="6496050" cy="742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133350</xdr:colOff>
      <xdr:row>5</xdr:row>
      <xdr:rowOff>0</xdr:rowOff>
    </xdr:from>
    <xdr:to>
      <xdr:col>19</xdr:col>
      <xdr:colOff>265112</xdr:colOff>
      <xdr:row>25</xdr:row>
      <xdr:rowOff>152400</xdr:rowOff>
    </xdr:to>
    <xdr:pic>
      <xdr:nvPicPr>
        <xdr:cNvPr id="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1000"/>
        <a:stretch>
          <a:fillRect/>
        </a:stretch>
      </xdr:blipFill>
      <xdr:spPr bwMode="auto">
        <a:xfrm>
          <a:off x="6838950" y="809625"/>
          <a:ext cx="5008562" cy="339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247650</xdr:colOff>
      <xdr:row>0</xdr:row>
      <xdr:rowOff>133351</xdr:rowOff>
    </xdr:from>
    <xdr:to>
      <xdr:col>16</xdr:col>
      <xdr:colOff>485775</xdr:colOff>
      <xdr:row>4</xdr:row>
      <xdr:rowOff>7167</xdr:rowOff>
    </xdr:to>
    <xdr:pic>
      <xdr:nvPicPr>
        <xdr:cNvPr id="295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72450" y="133351"/>
          <a:ext cx="2066925" cy="5215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76200</xdr:rowOff>
    </xdr:from>
    <xdr:to>
      <xdr:col>10</xdr:col>
      <xdr:colOff>514350</xdr:colOff>
      <xdr:row>6</xdr:row>
      <xdr:rowOff>0</xdr:rowOff>
    </xdr:to>
    <xdr:pic>
      <xdr:nvPicPr>
        <xdr:cNvPr id="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42671" b="35993"/>
        <a:stretch>
          <a:fillRect/>
        </a:stretch>
      </xdr:blipFill>
      <xdr:spPr bwMode="auto">
        <a:xfrm>
          <a:off x="114300" y="238125"/>
          <a:ext cx="6496050" cy="733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190501</xdr:colOff>
      <xdr:row>0</xdr:row>
      <xdr:rowOff>123826</xdr:rowOff>
    </xdr:from>
    <xdr:to>
      <xdr:col>14</xdr:col>
      <xdr:colOff>282567</xdr:colOff>
      <xdr:row>6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96101" y="123826"/>
          <a:ext cx="1920866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219075</xdr:colOff>
      <xdr:row>6</xdr:row>
      <xdr:rowOff>40340</xdr:rowOff>
    </xdr:from>
    <xdr:to>
      <xdr:col>20</xdr:col>
      <xdr:colOff>161925</xdr:colOff>
      <xdr:row>8</xdr:row>
      <xdr:rowOff>19049</xdr:rowOff>
    </xdr:to>
    <xdr:pic>
      <xdr:nvPicPr>
        <xdr:cNvPr id="297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24675" y="1011890"/>
          <a:ext cx="5429250" cy="30255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106018</xdr:colOff>
      <xdr:row>0</xdr:row>
      <xdr:rowOff>117613</xdr:rowOff>
    </xdr:from>
    <xdr:to>
      <xdr:col>10</xdr:col>
      <xdr:colOff>16566</xdr:colOff>
      <xdr:row>4</xdr:row>
      <xdr:rowOff>130647</xdr:rowOff>
    </xdr:to>
    <xdr:pic>
      <xdr:nvPicPr>
        <xdr:cNvPr id="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42671" b="35993"/>
        <a:stretch>
          <a:fillRect/>
        </a:stretch>
      </xdr:blipFill>
      <xdr:spPr bwMode="auto">
        <a:xfrm>
          <a:off x="106018" y="117613"/>
          <a:ext cx="5865744" cy="6756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274753</xdr:colOff>
      <xdr:row>5</xdr:row>
      <xdr:rowOff>154925</xdr:rowOff>
    </xdr:from>
    <xdr:to>
      <xdr:col>13</xdr:col>
      <xdr:colOff>133662</xdr:colOff>
      <xdr:row>10</xdr:row>
      <xdr:rowOff>108053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29949" y="983186"/>
          <a:ext cx="1697648" cy="781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297031</xdr:colOff>
      <xdr:row>11</xdr:row>
      <xdr:rowOff>8300</xdr:rowOff>
    </xdr:from>
    <xdr:to>
      <xdr:col>18</xdr:col>
      <xdr:colOff>146547</xdr:colOff>
      <xdr:row>12</xdr:row>
      <xdr:rowOff>112574</xdr:rowOff>
    </xdr:to>
    <xdr:pic>
      <xdr:nvPicPr>
        <xdr:cNvPr id="295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52227" y="1830474"/>
          <a:ext cx="4752820" cy="2699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283608</xdr:colOff>
      <xdr:row>13</xdr:row>
      <xdr:rowOff>95680</xdr:rowOff>
    </xdr:from>
    <xdr:to>
      <xdr:col>13</xdr:col>
      <xdr:colOff>576469</xdr:colOff>
      <xdr:row>35</xdr:row>
      <xdr:rowOff>45798</xdr:rowOff>
    </xdr:to>
    <xdr:pic>
      <xdr:nvPicPr>
        <xdr:cNvPr id="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38804" y="2249158"/>
          <a:ext cx="2131600" cy="362759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91108</xdr:colOff>
      <xdr:row>23</xdr:row>
      <xdr:rowOff>0</xdr:rowOff>
    </xdr:from>
    <xdr:to>
      <xdr:col>5</xdr:col>
      <xdr:colOff>40170</xdr:colOff>
      <xdr:row>32</xdr:row>
      <xdr:rowOff>85724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1108" y="3810000"/>
          <a:ext cx="3013627" cy="15765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142876</xdr:rowOff>
    </xdr:from>
    <xdr:to>
      <xdr:col>10</xdr:col>
      <xdr:colOff>66675</xdr:colOff>
      <xdr:row>8</xdr:row>
      <xdr:rowOff>1062</xdr:rowOff>
    </xdr:to>
    <xdr:pic>
      <xdr:nvPicPr>
        <xdr:cNvPr id="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3730"/>
        <a:stretch>
          <a:fillRect/>
        </a:stretch>
      </xdr:blipFill>
      <xdr:spPr bwMode="auto">
        <a:xfrm>
          <a:off x="152400" y="142876"/>
          <a:ext cx="6010275" cy="11535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381000</xdr:colOff>
      <xdr:row>1</xdr:row>
      <xdr:rowOff>152400</xdr:rowOff>
    </xdr:from>
    <xdr:to>
      <xdr:col>15</xdr:col>
      <xdr:colOff>190500</xdr:colOff>
      <xdr:row>4</xdr:row>
      <xdr:rowOff>152400</xdr:rowOff>
    </xdr:to>
    <xdr:pic>
      <xdr:nvPicPr>
        <xdr:cNvPr id="291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86600" y="314325"/>
          <a:ext cx="2247900" cy="485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114300</xdr:colOff>
      <xdr:row>8</xdr:row>
      <xdr:rowOff>1</xdr:rowOff>
    </xdr:from>
    <xdr:to>
      <xdr:col>14</xdr:col>
      <xdr:colOff>95250</xdr:colOff>
      <xdr:row>28</xdr:row>
      <xdr:rowOff>152401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819900" y="1295401"/>
          <a:ext cx="1809750" cy="3390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133350</xdr:rowOff>
    </xdr:from>
    <xdr:to>
      <xdr:col>10</xdr:col>
      <xdr:colOff>571500</xdr:colOff>
      <xdr:row>9</xdr:row>
      <xdr:rowOff>84773</xdr:rowOff>
    </xdr:to>
    <xdr:pic>
      <xdr:nvPicPr>
        <xdr:cNvPr id="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3730"/>
        <a:stretch>
          <a:fillRect/>
        </a:stretch>
      </xdr:blipFill>
      <xdr:spPr bwMode="auto">
        <a:xfrm>
          <a:off x="171450" y="295275"/>
          <a:ext cx="6496050" cy="124682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238125</xdr:colOff>
      <xdr:row>2</xdr:row>
      <xdr:rowOff>28575</xdr:rowOff>
    </xdr:from>
    <xdr:to>
      <xdr:col>15</xdr:col>
      <xdr:colOff>47625</xdr:colOff>
      <xdr:row>5</xdr:row>
      <xdr:rowOff>28575</xdr:rowOff>
    </xdr:to>
    <xdr:pic>
      <xdr:nvPicPr>
        <xdr:cNvPr id="292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3725" y="352425"/>
          <a:ext cx="2247900" cy="485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238125</xdr:colOff>
      <xdr:row>7</xdr:row>
      <xdr:rowOff>123825</xdr:rowOff>
    </xdr:from>
    <xdr:to>
      <xdr:col>14</xdr:col>
      <xdr:colOff>219075</xdr:colOff>
      <xdr:row>28</xdr:row>
      <xdr:rowOff>95250</xdr:rowOff>
    </xdr:to>
    <xdr:pic>
      <xdr:nvPicPr>
        <xdr:cNvPr id="299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3725" y="1257300"/>
          <a:ext cx="1809750" cy="3390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19</xdr:row>
      <xdr:rowOff>57150</xdr:rowOff>
    </xdr:from>
    <xdr:to>
      <xdr:col>3</xdr:col>
      <xdr:colOff>704850</xdr:colOff>
      <xdr:row>26</xdr:row>
      <xdr:rowOff>0</xdr:rowOff>
    </xdr:to>
    <xdr:pic>
      <xdr:nvPicPr>
        <xdr:cNvPr id="110800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3133725"/>
          <a:ext cx="15525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514350</xdr:colOff>
      <xdr:row>5</xdr:row>
      <xdr:rowOff>104775</xdr:rowOff>
    </xdr:from>
    <xdr:to>
      <xdr:col>13</xdr:col>
      <xdr:colOff>209550</xdr:colOff>
      <xdr:row>28</xdr:row>
      <xdr:rowOff>9525</xdr:rowOff>
    </xdr:to>
    <xdr:pic>
      <xdr:nvPicPr>
        <xdr:cNvPr id="110800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29375" y="914400"/>
          <a:ext cx="2133600" cy="3629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200025</xdr:colOff>
      <xdr:row>12</xdr:row>
      <xdr:rowOff>9527</xdr:rowOff>
    </xdr:from>
    <xdr:to>
      <xdr:col>12</xdr:col>
      <xdr:colOff>485775</xdr:colOff>
      <xdr:row>18</xdr:row>
      <xdr:rowOff>76200</xdr:rowOff>
    </xdr:to>
    <xdr:cxnSp macro="">
      <xdr:nvCxnSpPr>
        <xdr:cNvPr id="5" name="Přímá spojovací šipka 4"/>
        <xdr:cNvCxnSpPr/>
      </xdr:nvCxnSpPr>
      <xdr:spPr>
        <a:xfrm flipV="1">
          <a:off x="5153025" y="1952627"/>
          <a:ext cx="3333750" cy="1038223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419100</xdr:colOff>
      <xdr:row>1</xdr:row>
      <xdr:rowOff>152400</xdr:rowOff>
    </xdr:from>
    <xdr:to>
      <xdr:col>24</xdr:col>
      <xdr:colOff>209550</xdr:colOff>
      <xdr:row>23</xdr:row>
      <xdr:rowOff>27623</xdr:rowOff>
    </xdr:to>
    <xdr:pic>
      <xdr:nvPicPr>
        <xdr:cNvPr id="6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772525" y="314325"/>
          <a:ext cx="6496050" cy="34375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0</xdr:row>
      <xdr:rowOff>133350</xdr:rowOff>
    </xdr:from>
    <xdr:to>
      <xdr:col>15</xdr:col>
      <xdr:colOff>542925</xdr:colOff>
      <xdr:row>15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476250</xdr:colOff>
      <xdr:row>8</xdr:row>
      <xdr:rowOff>114300</xdr:rowOff>
    </xdr:from>
    <xdr:to>
      <xdr:col>4</xdr:col>
      <xdr:colOff>219075</xdr:colOff>
      <xdr:row>16</xdr:row>
      <xdr:rowOff>9525</xdr:rowOff>
    </xdr:to>
    <xdr:sp macro="" textlink="">
      <xdr:nvSpPr>
        <xdr:cNvPr id="3" name="Šipka dolů 2"/>
        <xdr:cNvSpPr/>
      </xdr:nvSpPr>
      <xdr:spPr>
        <a:xfrm>
          <a:off x="2305050" y="1438275"/>
          <a:ext cx="352425" cy="11906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cs-CZ"/>
        </a:p>
      </xdr:txBody>
    </xdr:sp>
    <xdr:clientData/>
  </xdr:twoCellAnchor>
  <xdr:twoCellAnchor>
    <xdr:from>
      <xdr:col>8</xdr:col>
      <xdr:colOff>314325</xdr:colOff>
      <xdr:row>17</xdr:row>
      <xdr:rowOff>142875</xdr:rowOff>
    </xdr:from>
    <xdr:to>
      <xdr:col>15</xdr:col>
      <xdr:colOff>466725</xdr:colOff>
      <xdr:row>32</xdr:row>
      <xdr:rowOff>38100</xdr:rowOff>
    </xdr:to>
    <xdr:graphicFrame macro="">
      <xdr:nvGraphicFramePr>
        <xdr:cNvPr id="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0</xdr:row>
      <xdr:rowOff>142875</xdr:rowOff>
    </xdr:from>
    <xdr:to>
      <xdr:col>19</xdr:col>
      <xdr:colOff>485775</xdr:colOff>
      <xdr:row>24</xdr:row>
      <xdr:rowOff>142875</xdr:rowOff>
    </xdr:to>
    <xdr:pic>
      <xdr:nvPicPr>
        <xdr:cNvPr id="5721" name="Picture 1" descr="http://terpconnect.umd.edu/~toh/models/CalibrationLinear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76900" y="142875"/>
          <a:ext cx="6896100" cy="413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30</xdr:row>
      <xdr:rowOff>38100</xdr:rowOff>
    </xdr:from>
    <xdr:to>
      <xdr:col>16</xdr:col>
      <xdr:colOff>76200</xdr:colOff>
      <xdr:row>54</xdr:row>
      <xdr:rowOff>152400</xdr:rowOff>
    </xdr:to>
    <xdr:pic>
      <xdr:nvPicPr>
        <xdr:cNvPr id="572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14650" y="5143500"/>
          <a:ext cx="7419975" cy="432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400050</xdr:colOff>
      <xdr:row>13</xdr:row>
      <xdr:rowOff>0</xdr:rowOff>
    </xdr:from>
    <xdr:to>
      <xdr:col>13</xdr:col>
      <xdr:colOff>95250</xdr:colOff>
      <xdr:row>29</xdr:row>
      <xdr:rowOff>152400</xdr:rowOff>
    </xdr:to>
    <xdr:graphicFrame macro="">
      <xdr:nvGraphicFramePr>
        <xdr:cNvPr id="572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219075</xdr:colOff>
      <xdr:row>24</xdr:row>
      <xdr:rowOff>76200</xdr:rowOff>
    </xdr:from>
    <xdr:to>
      <xdr:col>6</xdr:col>
      <xdr:colOff>114300</xdr:colOff>
      <xdr:row>28</xdr:row>
      <xdr:rowOff>38100</xdr:rowOff>
    </xdr:to>
    <xdr:pic>
      <xdr:nvPicPr>
        <xdr:cNvPr id="5724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3030" r="2353"/>
        <a:stretch>
          <a:fillRect/>
        </a:stretch>
      </xdr:blipFill>
      <xdr:spPr bwMode="auto">
        <a:xfrm>
          <a:off x="1905000" y="4210050"/>
          <a:ext cx="23717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733425</xdr:colOff>
      <xdr:row>25</xdr:row>
      <xdr:rowOff>57150</xdr:rowOff>
    </xdr:from>
    <xdr:to>
      <xdr:col>2</xdr:col>
      <xdr:colOff>257175</xdr:colOff>
      <xdr:row>27</xdr:row>
      <xdr:rowOff>76200</xdr:rowOff>
    </xdr:to>
    <xdr:pic>
      <xdr:nvPicPr>
        <xdr:cNvPr id="5725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33425" y="4352925"/>
          <a:ext cx="1209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18</xdr:row>
      <xdr:rowOff>95250</xdr:rowOff>
    </xdr:from>
    <xdr:to>
      <xdr:col>5</xdr:col>
      <xdr:colOff>542925</xdr:colOff>
      <xdr:row>21</xdr:row>
      <xdr:rowOff>114300</xdr:rowOff>
    </xdr:to>
    <xdr:pic>
      <xdr:nvPicPr>
        <xdr:cNvPr id="5726" name="Picture 15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47875" y="3257550"/>
          <a:ext cx="20478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18</xdr:row>
      <xdr:rowOff>142875</xdr:rowOff>
    </xdr:from>
    <xdr:to>
      <xdr:col>11</xdr:col>
      <xdr:colOff>190500</xdr:colOff>
      <xdr:row>34</xdr:row>
      <xdr:rowOff>66675</xdr:rowOff>
    </xdr:to>
    <xdr:graphicFrame macro="">
      <xdr:nvGraphicFramePr>
        <xdr:cNvPr id="8108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457200</xdr:colOff>
      <xdr:row>12</xdr:row>
      <xdr:rowOff>123825</xdr:rowOff>
    </xdr:from>
    <xdr:to>
      <xdr:col>10</xdr:col>
      <xdr:colOff>38100</xdr:colOff>
      <xdr:row>17</xdr:row>
      <xdr:rowOff>85725</xdr:rowOff>
    </xdr:to>
    <xdr:pic>
      <xdr:nvPicPr>
        <xdr:cNvPr id="8108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9804"/>
        <a:stretch>
          <a:fillRect/>
        </a:stretch>
      </xdr:blipFill>
      <xdr:spPr bwMode="auto">
        <a:xfrm>
          <a:off x="3990975" y="2390775"/>
          <a:ext cx="262890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0</xdr:row>
      <xdr:rowOff>95250</xdr:rowOff>
    </xdr:from>
    <xdr:to>
      <xdr:col>13</xdr:col>
      <xdr:colOff>619125</xdr:colOff>
      <xdr:row>12</xdr:row>
      <xdr:rowOff>76200</xdr:rowOff>
    </xdr:to>
    <xdr:graphicFrame macro="">
      <xdr:nvGraphicFramePr>
        <xdr:cNvPr id="11565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295275</xdr:colOff>
      <xdr:row>23</xdr:row>
      <xdr:rowOff>95250</xdr:rowOff>
    </xdr:from>
    <xdr:to>
      <xdr:col>16</xdr:col>
      <xdr:colOff>66675</xdr:colOff>
      <xdr:row>36</xdr:row>
      <xdr:rowOff>133350</xdr:rowOff>
    </xdr:to>
    <xdr:graphicFrame macro="">
      <xdr:nvGraphicFramePr>
        <xdr:cNvPr id="11566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285750</xdr:colOff>
      <xdr:row>25</xdr:row>
      <xdr:rowOff>104775</xdr:rowOff>
    </xdr:from>
    <xdr:to>
      <xdr:col>7</xdr:col>
      <xdr:colOff>285750</xdr:colOff>
      <xdr:row>29</xdr:row>
      <xdr:rowOff>133350</xdr:rowOff>
    </xdr:to>
    <xdr:pic>
      <xdr:nvPicPr>
        <xdr:cNvPr id="11567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030" r="2353"/>
        <a:stretch>
          <a:fillRect/>
        </a:stretch>
      </xdr:blipFill>
      <xdr:spPr bwMode="auto">
        <a:xfrm>
          <a:off x="2181225" y="4210050"/>
          <a:ext cx="26289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3</xdr:row>
      <xdr:rowOff>0</xdr:rowOff>
    </xdr:from>
    <xdr:to>
      <xdr:col>10</xdr:col>
      <xdr:colOff>495300</xdr:colOff>
      <xdr:row>12</xdr:row>
      <xdr:rowOff>28575</xdr:rowOff>
    </xdr:to>
    <xdr:graphicFrame macro="">
      <xdr:nvGraphicFramePr>
        <xdr:cNvPr id="29109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17</xdr:row>
      <xdr:rowOff>104775</xdr:rowOff>
    </xdr:from>
    <xdr:to>
      <xdr:col>13</xdr:col>
      <xdr:colOff>533400</xdr:colOff>
      <xdr:row>34</xdr:row>
      <xdr:rowOff>95250</xdr:rowOff>
    </xdr:to>
    <xdr:graphicFrame macro="">
      <xdr:nvGraphicFramePr>
        <xdr:cNvPr id="29109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533400</xdr:colOff>
      <xdr:row>12</xdr:row>
      <xdr:rowOff>38100</xdr:rowOff>
    </xdr:from>
    <xdr:to>
      <xdr:col>15</xdr:col>
      <xdr:colOff>114300</xdr:colOff>
      <xdr:row>16</xdr:row>
      <xdr:rowOff>114300</xdr:rowOff>
    </xdr:to>
    <xdr:pic>
      <xdr:nvPicPr>
        <xdr:cNvPr id="29109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9804"/>
        <a:stretch>
          <a:fillRect/>
        </a:stretch>
      </xdr:blipFill>
      <xdr:spPr bwMode="auto">
        <a:xfrm>
          <a:off x="6591300" y="2428875"/>
          <a:ext cx="262890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161925</xdr:colOff>
      <xdr:row>0</xdr:row>
      <xdr:rowOff>95250</xdr:rowOff>
    </xdr:from>
    <xdr:to>
      <xdr:col>19</xdr:col>
      <xdr:colOff>466725</xdr:colOff>
      <xdr:row>9</xdr:row>
      <xdr:rowOff>133350</xdr:rowOff>
    </xdr:to>
    <xdr:graphicFrame macro="">
      <xdr:nvGraphicFramePr>
        <xdr:cNvPr id="29109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21</xdr:row>
      <xdr:rowOff>0</xdr:rowOff>
    </xdr:from>
    <xdr:to>
      <xdr:col>19</xdr:col>
      <xdr:colOff>47625</xdr:colOff>
      <xdr:row>32</xdr:row>
      <xdr:rowOff>104775</xdr:rowOff>
    </xdr:to>
    <xdr:graphicFrame macro="">
      <xdr:nvGraphicFramePr>
        <xdr:cNvPr id="29109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95250</xdr:colOff>
      <xdr:row>2</xdr:row>
      <xdr:rowOff>28575</xdr:rowOff>
    </xdr:from>
    <xdr:to>
      <xdr:col>26</xdr:col>
      <xdr:colOff>304800</xdr:colOff>
      <xdr:row>14</xdr:row>
      <xdr:rowOff>85725</xdr:rowOff>
    </xdr:to>
    <xdr:graphicFrame macro="">
      <xdr:nvGraphicFramePr>
        <xdr:cNvPr id="291098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13</xdr:col>
      <xdr:colOff>457200</xdr:colOff>
      <xdr:row>53</xdr:row>
      <xdr:rowOff>152400</xdr:rowOff>
    </xdr:to>
    <xdr:graphicFrame macro="">
      <xdr:nvGraphicFramePr>
        <xdr:cNvPr id="291099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facultystaff.richmond.edu/~cstevens/301/Calibration3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zoomScale="115" zoomScaleNormal="115" workbookViewId="0">
      <selection activeCell="A4" sqref="A4"/>
    </sheetView>
  </sheetViews>
  <sheetFormatPr defaultRowHeight="12.75"/>
  <cols>
    <col min="1" max="1" width="24.42578125" customWidth="1"/>
    <col min="5" max="5" width="15.42578125" customWidth="1"/>
  </cols>
  <sheetData>
    <row r="1" spans="1:9" ht="204" customHeight="1">
      <c r="A1" s="16" t="s">
        <v>40</v>
      </c>
      <c r="B1" s="20" t="s">
        <v>124</v>
      </c>
    </row>
    <row r="4" spans="1:9">
      <c r="A4" t="s">
        <v>4</v>
      </c>
      <c r="B4" s="12">
        <v>150</v>
      </c>
      <c r="C4" s="15">
        <v>200</v>
      </c>
      <c r="D4" s="15">
        <v>250</v>
      </c>
      <c r="E4" s="15">
        <v>300</v>
      </c>
      <c r="F4" s="15">
        <v>350</v>
      </c>
      <c r="G4" s="15">
        <v>400</v>
      </c>
      <c r="H4" s="15">
        <v>450</v>
      </c>
      <c r="I4" s="15">
        <v>500</v>
      </c>
    </row>
    <row r="5" spans="1:9">
      <c r="A5" t="s">
        <v>26</v>
      </c>
      <c r="B5" s="12">
        <v>8</v>
      </c>
      <c r="C5" s="11">
        <v>12</v>
      </c>
      <c r="D5" s="11">
        <v>30</v>
      </c>
      <c r="E5" s="11">
        <v>20</v>
      </c>
      <c r="F5" s="11">
        <v>55</v>
      </c>
      <c r="G5" s="11">
        <v>58</v>
      </c>
      <c r="H5" s="11">
        <v>44</v>
      </c>
      <c r="I5" s="11">
        <v>65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01"/>
  <sheetViews>
    <sheetView zoomScale="115" zoomScaleNormal="115" workbookViewId="0">
      <selection activeCell="G21" sqref="G21"/>
    </sheetView>
  </sheetViews>
  <sheetFormatPr defaultRowHeight="12.75"/>
  <cols>
    <col min="1" max="1" width="22.42578125" customWidth="1"/>
    <col min="5" max="5" width="21" customWidth="1"/>
    <col min="7" max="7" width="7.140625" customWidth="1"/>
    <col min="8" max="8" width="5.85546875" customWidth="1"/>
    <col min="9" max="9" width="6.140625" customWidth="1"/>
    <col min="11" max="11" width="10.7109375" customWidth="1"/>
    <col min="12" max="12" width="13.42578125" bestFit="1" customWidth="1"/>
  </cols>
  <sheetData>
    <row r="1" spans="1:23" ht="207.75" customHeight="1">
      <c r="A1" s="145" t="s">
        <v>40</v>
      </c>
      <c r="B1" s="20" t="s">
        <v>124</v>
      </c>
      <c r="C1" s="118"/>
      <c r="D1" s="118"/>
      <c r="E1" s="118"/>
      <c r="F1" s="118"/>
      <c r="G1" s="118"/>
      <c r="H1" s="118"/>
      <c r="I1" s="118"/>
      <c r="J1" s="118"/>
      <c r="K1" s="119" t="s">
        <v>39</v>
      </c>
      <c r="L1" s="118"/>
      <c r="M1" s="118"/>
      <c r="N1" s="149" t="s">
        <v>38</v>
      </c>
      <c r="O1" s="118"/>
      <c r="P1" s="118"/>
      <c r="Q1" s="118"/>
      <c r="R1" s="118"/>
      <c r="S1" s="118"/>
      <c r="T1" s="118"/>
      <c r="U1" s="118"/>
      <c r="V1" s="118"/>
      <c r="W1" s="118"/>
    </row>
    <row r="2" spans="1:23">
      <c r="A2" s="118"/>
      <c r="B2" s="118"/>
      <c r="C2" s="118"/>
      <c r="D2" s="118"/>
      <c r="E2" s="118"/>
      <c r="F2" s="118"/>
      <c r="G2" s="118"/>
      <c r="H2" s="118"/>
      <c r="I2" s="8" t="s">
        <v>126</v>
      </c>
      <c r="J2" s="202">
        <v>0.70669999999999999</v>
      </c>
      <c r="K2" s="150">
        <f t="array" ref="K2:L6">LINEST(B5:I5,B4:I4,1,1)</f>
        <v>0.16142857142857142</v>
      </c>
      <c r="L2" s="150">
        <v>-15.964285714285715</v>
      </c>
      <c r="M2" s="151">
        <f>ABS(L2/L3)</f>
        <v>1.4272137024119282</v>
      </c>
      <c r="N2" s="152" t="s">
        <v>37</v>
      </c>
      <c r="O2" s="153" t="s">
        <v>36</v>
      </c>
      <c r="P2" s="118"/>
      <c r="Q2" s="118"/>
      <c r="R2" s="118"/>
      <c r="S2" s="118"/>
      <c r="T2" s="118"/>
      <c r="U2" s="118"/>
      <c r="V2" s="118"/>
      <c r="W2" s="118"/>
    </row>
    <row r="3" spans="1:23">
      <c r="A3" s="118"/>
      <c r="B3" s="118"/>
      <c r="C3" s="118"/>
      <c r="D3" s="118"/>
      <c r="E3" s="118"/>
      <c r="F3" s="118"/>
      <c r="G3" s="118"/>
      <c r="H3" s="118"/>
      <c r="I3" s="118"/>
      <c r="J3" s="200"/>
      <c r="K3" s="150">
        <v>3.2459638289941445E-2</v>
      </c>
      <c r="L3" s="150">
        <v>11.185630916594183</v>
      </c>
      <c r="M3" s="154"/>
      <c r="N3" s="155" t="s">
        <v>35</v>
      </c>
      <c r="O3" s="156" t="s">
        <v>34</v>
      </c>
      <c r="P3" s="118"/>
      <c r="Q3" s="118"/>
      <c r="R3" s="118"/>
      <c r="S3" s="118"/>
      <c r="T3" s="118"/>
      <c r="U3" s="118"/>
      <c r="V3" s="118"/>
      <c r="W3" s="118"/>
    </row>
    <row r="4" spans="1:23">
      <c r="A4" s="118" t="s">
        <v>4</v>
      </c>
      <c r="B4" s="146">
        <v>150</v>
      </c>
      <c r="C4" s="147">
        <v>200</v>
      </c>
      <c r="D4" s="147">
        <v>250</v>
      </c>
      <c r="E4" s="147">
        <v>300</v>
      </c>
      <c r="F4" s="147">
        <v>350</v>
      </c>
      <c r="G4" s="147">
        <v>400</v>
      </c>
      <c r="H4" s="147">
        <v>450</v>
      </c>
      <c r="I4" s="147">
        <v>500</v>
      </c>
      <c r="J4" s="201">
        <f>SQRT(K4)</f>
        <v>0.89708913022231251</v>
      </c>
      <c r="K4" s="150">
        <v>0.8047689075630251</v>
      </c>
      <c r="L4" s="150">
        <v>10.51812494606108</v>
      </c>
      <c r="M4" s="154"/>
      <c r="N4" s="157" t="s">
        <v>29</v>
      </c>
      <c r="O4" s="156" t="s">
        <v>33</v>
      </c>
      <c r="P4" s="118"/>
      <c r="Q4" s="118"/>
      <c r="R4" s="118"/>
      <c r="S4" s="118"/>
      <c r="T4" s="118"/>
      <c r="U4" s="118"/>
      <c r="V4" s="118"/>
      <c r="W4" s="118"/>
    </row>
    <row r="5" spans="1:23">
      <c r="A5" s="118" t="s">
        <v>26</v>
      </c>
      <c r="B5" s="146">
        <v>8</v>
      </c>
      <c r="C5" s="148">
        <v>12</v>
      </c>
      <c r="D5" s="148">
        <v>30</v>
      </c>
      <c r="E5" s="148">
        <v>20</v>
      </c>
      <c r="F5" s="148">
        <v>55</v>
      </c>
      <c r="G5" s="148">
        <v>58</v>
      </c>
      <c r="H5" s="148">
        <v>44</v>
      </c>
      <c r="I5" s="148">
        <v>65</v>
      </c>
      <c r="J5" s="118"/>
      <c r="K5" s="150">
        <v>24.732809641665757</v>
      </c>
      <c r="L5" s="150">
        <v>6</v>
      </c>
      <c r="M5" s="158">
        <f>TINV(0.05,L5)</f>
        <v>2.4469118464326822</v>
      </c>
      <c r="N5" s="159" t="s">
        <v>17</v>
      </c>
      <c r="O5" s="156" t="s">
        <v>32</v>
      </c>
      <c r="P5" s="118"/>
      <c r="Q5" s="118"/>
      <c r="R5" s="118"/>
      <c r="S5" s="118"/>
      <c r="T5" s="118"/>
      <c r="U5" s="118"/>
      <c r="V5" s="118"/>
      <c r="W5" s="118"/>
    </row>
    <row r="6" spans="1:23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50">
        <v>2736.2142857142853</v>
      </c>
      <c r="L6" s="150">
        <v>663.78571428571456</v>
      </c>
      <c r="M6" s="118"/>
      <c r="N6" s="160" t="s">
        <v>31</v>
      </c>
      <c r="O6" s="161" t="s">
        <v>30</v>
      </c>
      <c r="P6" s="118"/>
      <c r="Q6" s="118"/>
      <c r="R6" s="118"/>
      <c r="S6" s="118"/>
      <c r="T6" s="118"/>
      <c r="U6" s="118"/>
      <c r="V6" s="118"/>
      <c r="W6" s="118"/>
    </row>
    <row r="7" spans="1:23">
      <c r="A7" s="169"/>
      <c r="B7" s="169"/>
      <c r="C7" s="169"/>
      <c r="D7" s="170"/>
      <c r="E7" s="170"/>
      <c r="F7" s="171"/>
      <c r="G7" s="170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</row>
    <row r="8" spans="1:23">
      <c r="A8" s="164"/>
      <c r="B8" s="164"/>
      <c r="C8" s="164"/>
      <c r="D8" s="170"/>
      <c r="E8" s="171"/>
      <c r="F8" s="170"/>
      <c r="G8" s="170"/>
      <c r="H8" s="118"/>
      <c r="I8" s="118"/>
      <c r="J8" s="118"/>
      <c r="K8" s="158">
        <f t="array" ref="K8:L12">LINEST(B12:B19,A12:A19,0,1)</f>
        <v>0.11773684210526315</v>
      </c>
      <c r="L8" s="118">
        <v>0</v>
      </c>
      <c r="M8" s="199" t="s">
        <v>125</v>
      </c>
      <c r="N8" s="118"/>
      <c r="O8" s="118"/>
      <c r="P8" s="118"/>
      <c r="Q8" s="118"/>
      <c r="R8" s="118"/>
      <c r="S8" s="118"/>
      <c r="T8" s="118"/>
      <c r="U8" s="118"/>
      <c r="V8" s="118"/>
      <c r="W8" s="118"/>
    </row>
    <row r="9" spans="1:23">
      <c r="A9" s="164"/>
      <c r="B9" s="164"/>
      <c r="C9" s="164"/>
      <c r="D9" s="170"/>
      <c r="E9" s="170"/>
      <c r="F9" s="170"/>
      <c r="G9" s="170"/>
      <c r="H9" s="118"/>
      <c r="I9" s="118"/>
      <c r="J9" s="118"/>
      <c r="K9" s="158">
        <v>1.1563061556540648E-2</v>
      </c>
      <c r="L9" s="118" t="e">
        <v>#N/A</v>
      </c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</row>
    <row r="10" spans="1:23">
      <c r="A10" s="163" t="s">
        <v>28</v>
      </c>
      <c r="B10" s="162"/>
      <c r="C10" s="118"/>
      <c r="D10" s="118"/>
      <c r="E10" s="118"/>
      <c r="F10" s="118"/>
      <c r="G10" s="167"/>
      <c r="H10" s="167"/>
      <c r="I10" s="167"/>
      <c r="J10" s="167"/>
      <c r="K10" s="118">
        <v>0.93675243914309891</v>
      </c>
      <c r="L10" s="173">
        <v>11.270278298796834</v>
      </c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</row>
    <row r="11" spans="1:23">
      <c r="A11" s="118" t="s">
        <v>4</v>
      </c>
      <c r="B11" s="118" t="s">
        <v>26</v>
      </c>
      <c r="C11" s="118"/>
      <c r="D11" s="118"/>
      <c r="E11" s="118"/>
      <c r="F11" s="118"/>
      <c r="G11" s="167"/>
      <c r="H11" s="167"/>
      <c r="I11" s="167"/>
      <c r="J11" s="167"/>
      <c r="K11" s="118">
        <v>103.67620482373449</v>
      </c>
      <c r="L11" s="118">
        <v>7</v>
      </c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</row>
    <row r="12" spans="1:23">
      <c r="A12" s="165">
        <v>150</v>
      </c>
      <c r="B12" s="165">
        <v>8</v>
      </c>
      <c r="C12" s="118"/>
      <c r="D12" s="118"/>
      <c r="E12" s="118"/>
      <c r="F12" s="118"/>
      <c r="G12" s="172"/>
      <c r="H12" s="172"/>
      <c r="I12" s="167"/>
      <c r="J12" s="167"/>
      <c r="K12" s="118">
        <v>13168.865789473684</v>
      </c>
      <c r="L12" s="118">
        <v>889.13421052631588</v>
      </c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</row>
    <row r="13" spans="1:23">
      <c r="A13" s="166">
        <v>200</v>
      </c>
      <c r="B13" s="166">
        <v>12</v>
      </c>
      <c r="C13" s="167"/>
      <c r="D13" s="167"/>
      <c r="E13" s="167"/>
      <c r="F13" s="167"/>
      <c r="G13" s="164"/>
      <c r="H13" s="164"/>
      <c r="I13" s="167"/>
      <c r="J13" s="167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</row>
    <row r="14" spans="1:23">
      <c r="A14" s="166">
        <v>250</v>
      </c>
      <c r="B14" s="166">
        <v>30</v>
      </c>
      <c r="C14" s="167"/>
      <c r="D14" s="167"/>
      <c r="E14" t="s">
        <v>27</v>
      </c>
      <c r="N14" s="118"/>
      <c r="O14" s="118"/>
      <c r="P14" s="118"/>
      <c r="Q14" s="118"/>
      <c r="R14" s="118"/>
      <c r="S14" s="118"/>
      <c r="T14" s="118"/>
      <c r="U14" s="118"/>
      <c r="V14" s="118"/>
      <c r="W14" s="118"/>
    </row>
    <row r="15" spans="1:23" ht="13.5" thickBot="1">
      <c r="A15" s="168">
        <v>300</v>
      </c>
      <c r="B15" s="168">
        <v>20</v>
      </c>
      <c r="C15" s="167"/>
      <c r="D15" s="167"/>
      <c r="N15" s="118"/>
      <c r="O15" s="118"/>
      <c r="P15" s="118"/>
      <c r="Q15" s="118"/>
      <c r="R15" s="118"/>
      <c r="S15" s="118"/>
      <c r="T15" s="118"/>
      <c r="U15" s="118"/>
      <c r="V15" s="118"/>
      <c r="W15" s="118"/>
    </row>
    <row r="16" spans="1:23">
      <c r="A16" s="168">
        <v>350</v>
      </c>
      <c r="B16" s="168">
        <v>55</v>
      </c>
      <c r="C16" s="167"/>
      <c r="D16" s="167"/>
      <c r="E16" s="7" t="s">
        <v>25</v>
      </c>
      <c r="F16" s="7"/>
      <c r="N16" s="118"/>
      <c r="O16" s="118"/>
      <c r="P16" s="118"/>
      <c r="Q16" s="118"/>
      <c r="R16" s="118"/>
      <c r="S16" s="118"/>
      <c r="T16" s="118"/>
      <c r="U16" s="118"/>
      <c r="V16" s="118"/>
      <c r="W16" s="118"/>
    </row>
    <row r="17" spans="1:23">
      <c r="A17" s="168">
        <v>400</v>
      </c>
      <c r="B17" s="168">
        <v>58</v>
      </c>
      <c r="C17" s="167"/>
      <c r="D17" s="167"/>
      <c r="E17" s="2" t="s">
        <v>24</v>
      </c>
      <c r="F17" s="175">
        <v>0.96785972079795679</v>
      </c>
      <c r="G17" s="9" t="s">
        <v>141</v>
      </c>
      <c r="N17" s="167"/>
      <c r="O17" s="167"/>
      <c r="P17" s="167"/>
      <c r="Q17" s="167"/>
      <c r="R17" s="118"/>
      <c r="S17" s="118"/>
      <c r="T17" s="118"/>
      <c r="U17" s="118"/>
      <c r="V17" s="118"/>
      <c r="W17" s="118"/>
    </row>
    <row r="18" spans="1:23">
      <c r="A18" s="168">
        <v>450</v>
      </c>
      <c r="B18" s="168">
        <v>44</v>
      </c>
      <c r="C18" s="167"/>
      <c r="D18" s="167"/>
      <c r="E18" s="2" t="s">
        <v>23</v>
      </c>
      <c r="F18" s="2">
        <v>0.93675243914309891</v>
      </c>
      <c r="G18" s="9" t="s">
        <v>145</v>
      </c>
      <c r="N18" s="167"/>
      <c r="O18" s="167"/>
      <c r="P18" s="167"/>
      <c r="Q18" s="167"/>
      <c r="R18" s="118"/>
      <c r="S18" s="118"/>
      <c r="T18" s="118"/>
      <c r="U18" s="118"/>
      <c r="V18" s="118"/>
      <c r="W18" s="118"/>
    </row>
    <row r="19" spans="1:23">
      <c r="A19" s="168">
        <v>500</v>
      </c>
      <c r="B19" s="168">
        <v>65</v>
      </c>
      <c r="C19" s="167"/>
      <c r="D19" s="167"/>
      <c r="E19" s="2" t="s">
        <v>22</v>
      </c>
      <c r="F19" s="2">
        <v>0.79389529628595601</v>
      </c>
      <c r="N19" s="167"/>
      <c r="O19" s="167"/>
      <c r="P19" s="167"/>
      <c r="Q19" s="167"/>
      <c r="R19" s="118"/>
      <c r="S19" s="118"/>
      <c r="T19" s="118"/>
      <c r="U19" s="118"/>
      <c r="V19" s="118"/>
      <c r="W19" s="118"/>
    </row>
    <row r="20" spans="1:23">
      <c r="A20" s="168"/>
      <c r="B20" s="168"/>
      <c r="C20" s="167"/>
      <c r="D20" s="167"/>
      <c r="E20" s="2" t="s">
        <v>12</v>
      </c>
      <c r="F20" s="174">
        <v>11.270278298796834</v>
      </c>
      <c r="G20" s="9" t="s">
        <v>147</v>
      </c>
      <c r="N20" s="167"/>
      <c r="O20" s="167"/>
      <c r="P20" s="167"/>
      <c r="Q20" s="167"/>
      <c r="R20" s="118"/>
      <c r="S20" s="118"/>
      <c r="T20" s="118"/>
      <c r="U20" s="118"/>
      <c r="V20" s="118"/>
      <c r="W20" s="118"/>
    </row>
    <row r="21" spans="1:23" ht="13.5" thickBot="1">
      <c r="A21" s="167"/>
      <c r="B21" s="167"/>
      <c r="C21" s="167"/>
      <c r="D21" s="167"/>
      <c r="E21" s="4" t="s">
        <v>2</v>
      </c>
      <c r="F21" s="4">
        <v>8</v>
      </c>
      <c r="G21" s="9" t="s">
        <v>146</v>
      </c>
      <c r="N21" s="167"/>
      <c r="O21" s="167"/>
      <c r="P21" s="167"/>
      <c r="Q21" s="167"/>
      <c r="R21" s="118"/>
      <c r="S21" s="118"/>
      <c r="T21" s="118"/>
      <c r="U21" s="118"/>
      <c r="V21" s="118"/>
      <c r="W21" s="118"/>
    </row>
    <row r="22" spans="1:23">
      <c r="A22" s="167"/>
      <c r="B22" s="167"/>
      <c r="C22" s="167"/>
      <c r="D22" s="167"/>
      <c r="N22" s="167"/>
      <c r="O22" s="167"/>
      <c r="P22" s="167"/>
      <c r="Q22" s="167"/>
      <c r="R22" s="118"/>
      <c r="S22" s="118"/>
      <c r="T22" s="118"/>
      <c r="U22" s="118"/>
      <c r="V22" s="118"/>
      <c r="W22" s="118"/>
    </row>
    <row r="23" spans="1:23" ht="13.5" thickBot="1">
      <c r="A23" s="169"/>
      <c r="B23" s="169"/>
      <c r="C23" s="169"/>
      <c r="D23" s="169"/>
      <c r="E23" t="s">
        <v>21</v>
      </c>
      <c r="N23" s="167"/>
      <c r="O23" s="167"/>
      <c r="P23" s="167"/>
      <c r="Q23" s="167"/>
      <c r="R23" s="118"/>
      <c r="S23" s="118"/>
      <c r="T23" s="118"/>
      <c r="U23" s="118"/>
      <c r="V23" s="118"/>
      <c r="W23" s="118"/>
    </row>
    <row r="24" spans="1:23">
      <c r="A24" s="164"/>
      <c r="B24" s="164"/>
      <c r="C24" s="164"/>
      <c r="D24" s="164"/>
      <c r="E24" s="5"/>
      <c r="F24" s="5" t="s">
        <v>20</v>
      </c>
      <c r="G24" s="5" t="s">
        <v>19</v>
      </c>
      <c r="H24" s="5" t="s">
        <v>18</v>
      </c>
      <c r="I24" s="5" t="s">
        <v>17</v>
      </c>
      <c r="J24" s="5" t="s">
        <v>16</v>
      </c>
      <c r="N24" s="167"/>
      <c r="O24" s="167"/>
      <c r="P24" s="167"/>
      <c r="Q24" s="167"/>
      <c r="R24" s="118"/>
      <c r="S24" s="118"/>
      <c r="T24" s="118"/>
      <c r="U24" s="118"/>
      <c r="V24" s="118"/>
      <c r="W24" s="118"/>
    </row>
    <row r="25" spans="1:23">
      <c r="A25" s="164"/>
      <c r="B25" s="164"/>
      <c r="C25" s="164"/>
      <c r="D25" s="164"/>
      <c r="E25" s="2" t="s">
        <v>15</v>
      </c>
      <c r="F25" s="2">
        <v>1</v>
      </c>
      <c r="G25" s="2">
        <v>13168.865789473684</v>
      </c>
      <c r="H25" s="2">
        <v>13168.865789473684</v>
      </c>
      <c r="I25" s="2">
        <v>103.67620482373449</v>
      </c>
      <c r="J25" s="2">
        <v>5.2249689368991254E-5</v>
      </c>
      <c r="N25" s="169"/>
      <c r="O25" s="169"/>
      <c r="P25" s="167"/>
      <c r="Q25" s="167"/>
      <c r="R25" s="118"/>
      <c r="S25" s="118"/>
      <c r="T25" s="118"/>
      <c r="U25" s="118"/>
      <c r="V25" s="118"/>
      <c r="W25" s="118"/>
    </row>
    <row r="26" spans="1:23">
      <c r="A26" s="164"/>
      <c r="B26" s="164"/>
      <c r="C26" s="164"/>
      <c r="D26" s="164"/>
      <c r="E26" s="2" t="s">
        <v>0</v>
      </c>
      <c r="F26" s="2">
        <v>7</v>
      </c>
      <c r="G26" s="2">
        <v>889.13421052631588</v>
      </c>
      <c r="H26" s="2">
        <v>127.01917293233085</v>
      </c>
      <c r="I26" s="2"/>
      <c r="J26" s="2"/>
      <c r="N26" s="164"/>
      <c r="O26" s="164"/>
      <c r="P26" s="167"/>
      <c r="Q26" s="167"/>
      <c r="R26" s="118"/>
      <c r="S26" s="118"/>
      <c r="T26" s="118"/>
      <c r="U26" s="118"/>
      <c r="V26" s="118"/>
      <c r="W26" s="118"/>
    </row>
    <row r="27" spans="1:23" ht="13.5" thickBot="1">
      <c r="A27" s="167"/>
      <c r="B27" s="167"/>
      <c r="C27" s="167"/>
      <c r="D27" s="167"/>
      <c r="E27" s="4" t="s">
        <v>14</v>
      </c>
      <c r="F27" s="4">
        <v>8</v>
      </c>
      <c r="G27" s="4">
        <v>14058</v>
      </c>
      <c r="H27" s="4"/>
      <c r="I27" s="4"/>
      <c r="J27" s="4"/>
      <c r="N27" s="164"/>
      <c r="O27" s="164"/>
      <c r="P27" s="167"/>
      <c r="Q27" s="167"/>
      <c r="R27" s="118"/>
      <c r="S27" s="118"/>
      <c r="T27" s="118"/>
      <c r="U27" s="118"/>
      <c r="V27" s="118"/>
      <c r="W27" s="118"/>
    </row>
    <row r="28" spans="1:23" ht="13.5" thickBot="1">
      <c r="A28" s="169"/>
      <c r="B28" s="169"/>
      <c r="C28" s="169"/>
      <c r="D28" s="169"/>
      <c r="N28" s="167"/>
      <c r="O28" s="167"/>
      <c r="P28" s="167"/>
      <c r="Q28" s="167"/>
      <c r="R28" s="118"/>
      <c r="S28" s="118"/>
      <c r="T28" s="118"/>
      <c r="U28" s="118"/>
      <c r="V28" s="118"/>
      <c r="W28" s="118"/>
    </row>
    <row r="29" spans="1:23">
      <c r="A29" s="164"/>
      <c r="B29" s="164"/>
      <c r="C29" s="164"/>
      <c r="D29" s="164"/>
      <c r="E29" s="5"/>
      <c r="F29" s="5" t="s">
        <v>13</v>
      </c>
      <c r="G29" s="5" t="s">
        <v>12</v>
      </c>
      <c r="H29" s="5" t="s">
        <v>11</v>
      </c>
      <c r="I29" s="5" t="s">
        <v>10</v>
      </c>
      <c r="J29" s="5" t="s">
        <v>9</v>
      </c>
      <c r="K29" s="5" t="s">
        <v>8</v>
      </c>
      <c r="L29" s="5" t="s">
        <v>7</v>
      </c>
      <c r="M29" s="5" t="s">
        <v>6</v>
      </c>
      <c r="N29" s="167"/>
      <c r="O29" s="167"/>
      <c r="P29" s="167"/>
      <c r="Q29" s="167"/>
      <c r="R29" s="118"/>
      <c r="S29" s="118"/>
      <c r="T29" s="118"/>
      <c r="U29" s="118"/>
      <c r="V29" s="118"/>
      <c r="W29" s="118"/>
    </row>
    <row r="30" spans="1:23">
      <c r="A30" s="164"/>
      <c r="B30" s="164"/>
      <c r="C30" s="164"/>
      <c r="D30" s="164"/>
      <c r="E30" s="2" t="s">
        <v>5</v>
      </c>
      <c r="F30" s="2">
        <v>0</v>
      </c>
      <c r="G30" s="2" t="e">
        <v>#N/A</v>
      </c>
      <c r="H30" s="2" t="e">
        <v>#N/A</v>
      </c>
      <c r="I30" s="2" t="e">
        <v>#N/A</v>
      </c>
      <c r="J30" s="2" t="e">
        <v>#N/A</v>
      </c>
      <c r="K30" s="2" t="e">
        <v>#N/A</v>
      </c>
      <c r="L30" s="2" t="e">
        <v>#N/A</v>
      </c>
      <c r="M30" s="2" t="e">
        <v>#N/A</v>
      </c>
      <c r="N30" s="167"/>
      <c r="O30" s="167"/>
      <c r="P30" s="167"/>
      <c r="Q30" s="167"/>
      <c r="R30" s="118"/>
      <c r="S30" s="118"/>
      <c r="T30" s="118"/>
      <c r="U30" s="118"/>
      <c r="V30" s="118"/>
      <c r="W30" s="118"/>
    </row>
    <row r="31" spans="1:23" ht="13.5" thickBot="1">
      <c r="A31" s="164"/>
      <c r="B31" s="164"/>
      <c r="C31" s="164"/>
      <c r="D31" s="164"/>
      <c r="E31" s="4" t="s">
        <v>4</v>
      </c>
      <c r="F31" s="195">
        <v>0.11773684210526315</v>
      </c>
      <c r="G31" s="195">
        <v>1.1563061556540648E-2</v>
      </c>
      <c r="H31" s="4">
        <v>10.182151286625754</v>
      </c>
      <c r="I31" s="4">
        <v>1.8991595297155278E-5</v>
      </c>
      <c r="J31" s="4">
        <v>9.0394546333447359E-2</v>
      </c>
      <c r="K31" s="4">
        <v>0.14507913787707896</v>
      </c>
      <c r="L31" s="4">
        <v>9.0394546333447359E-2</v>
      </c>
      <c r="M31" s="4">
        <v>0.14507913787707896</v>
      </c>
      <c r="N31" s="167"/>
      <c r="O31" s="167"/>
      <c r="P31" s="167"/>
      <c r="Q31" s="167"/>
      <c r="R31" s="118"/>
      <c r="S31" s="118"/>
      <c r="T31" s="118"/>
      <c r="U31" s="118"/>
      <c r="V31" s="118"/>
      <c r="W31" s="118"/>
    </row>
    <row r="32" spans="1:23">
      <c r="A32" s="164"/>
      <c r="B32" s="164"/>
      <c r="C32" s="164"/>
      <c r="D32" s="164"/>
      <c r="N32" s="167"/>
      <c r="O32" s="167"/>
      <c r="P32" s="167"/>
      <c r="Q32" s="167"/>
      <c r="R32" s="118"/>
      <c r="S32" s="118"/>
      <c r="T32" s="118"/>
      <c r="U32" s="118"/>
      <c r="V32" s="118"/>
      <c r="W32" s="118"/>
    </row>
    <row r="33" spans="1:23">
      <c r="A33" s="164"/>
      <c r="B33" s="164"/>
      <c r="C33" s="164"/>
      <c r="D33" s="164"/>
      <c r="N33" s="167"/>
      <c r="O33" s="167"/>
      <c r="P33" s="167"/>
      <c r="Q33" s="167"/>
      <c r="R33" s="118"/>
      <c r="S33" s="118"/>
      <c r="T33" s="118"/>
      <c r="U33" s="118"/>
      <c r="V33" s="118"/>
      <c r="W33" s="118"/>
    </row>
    <row r="34" spans="1:23">
      <c r="A34" s="164"/>
      <c r="B34" s="164"/>
      <c r="C34" s="164"/>
      <c r="D34" s="164"/>
      <c r="N34" s="167"/>
      <c r="O34" s="167"/>
      <c r="P34" s="167"/>
      <c r="Q34" s="167"/>
      <c r="R34" s="118"/>
      <c r="S34" s="118"/>
      <c r="T34" s="118"/>
      <c r="U34" s="118"/>
      <c r="V34" s="118"/>
      <c r="W34" s="118"/>
    </row>
    <row r="35" spans="1:23">
      <c r="A35" s="164"/>
      <c r="B35" s="164"/>
      <c r="C35" s="164"/>
      <c r="D35" s="164"/>
      <c r="E35" t="s">
        <v>3</v>
      </c>
      <c r="N35" s="167"/>
      <c r="O35" s="167"/>
      <c r="P35" s="167"/>
      <c r="Q35" s="167"/>
      <c r="R35" s="118"/>
      <c r="S35" s="118"/>
      <c r="T35" s="118"/>
      <c r="U35" s="118"/>
      <c r="V35" s="118"/>
      <c r="W35" s="118"/>
    </row>
    <row r="36" spans="1:23" ht="13.5" thickBot="1">
      <c r="A36" s="164"/>
      <c r="B36" s="164"/>
      <c r="C36" s="164"/>
      <c r="D36" s="164"/>
      <c r="N36" s="167"/>
      <c r="O36" s="167"/>
      <c r="P36" s="167"/>
      <c r="Q36" s="167"/>
      <c r="R36" s="118"/>
      <c r="S36" s="118"/>
      <c r="T36" s="118"/>
      <c r="U36" s="118"/>
      <c r="V36" s="118"/>
      <c r="W36" s="118"/>
    </row>
    <row r="37" spans="1:23">
      <c r="A37" s="164"/>
      <c r="B37" s="164"/>
      <c r="C37" s="164"/>
      <c r="D37" s="164"/>
      <c r="E37" s="5" t="s">
        <v>2</v>
      </c>
      <c r="F37" s="5" t="s">
        <v>1</v>
      </c>
      <c r="G37" s="5" t="s">
        <v>0</v>
      </c>
      <c r="N37" s="167"/>
      <c r="O37" s="167"/>
      <c r="P37" s="167"/>
      <c r="Q37" s="167"/>
      <c r="R37" s="118"/>
      <c r="S37" s="118"/>
      <c r="T37" s="118"/>
      <c r="U37" s="118"/>
      <c r="V37" s="118"/>
      <c r="W37" s="118"/>
    </row>
    <row r="38" spans="1:23">
      <c r="A38" s="167"/>
      <c r="B38" s="167"/>
      <c r="C38" s="167"/>
      <c r="D38" s="167"/>
      <c r="E38" s="2">
        <v>1</v>
      </c>
      <c r="F38" s="2">
        <v>17.660526315789472</v>
      </c>
      <c r="G38" s="2">
        <v>-9.6605263157894719</v>
      </c>
      <c r="N38" s="167"/>
      <c r="O38" s="167"/>
      <c r="P38" s="167"/>
      <c r="Q38" s="167"/>
      <c r="R38" s="118"/>
      <c r="S38" s="118"/>
      <c r="T38" s="118"/>
      <c r="U38" s="118"/>
      <c r="V38" s="118"/>
      <c r="W38" s="118"/>
    </row>
    <row r="39" spans="1:23">
      <c r="A39" s="167"/>
      <c r="B39" s="167"/>
      <c r="C39" s="167"/>
      <c r="D39" s="167"/>
      <c r="E39" s="2">
        <v>2</v>
      </c>
      <c r="F39" s="2">
        <v>23.547368421052632</v>
      </c>
      <c r="G39" s="2">
        <v>-11.547368421052632</v>
      </c>
      <c r="N39" s="167"/>
      <c r="O39" s="167"/>
      <c r="P39" s="167"/>
      <c r="Q39" s="167"/>
      <c r="R39" s="118"/>
      <c r="S39" s="118"/>
      <c r="T39" s="118"/>
      <c r="U39" s="118"/>
      <c r="V39" s="118"/>
      <c r="W39" s="118"/>
    </row>
    <row r="40" spans="1:23">
      <c r="A40" s="167"/>
      <c r="B40" s="167"/>
      <c r="C40" s="167"/>
      <c r="D40" s="167"/>
      <c r="E40" s="2">
        <v>3</v>
      </c>
      <c r="F40" s="2">
        <v>29.434210526315788</v>
      </c>
      <c r="G40" s="2">
        <v>0.5657894736842124</v>
      </c>
      <c r="N40" s="167"/>
      <c r="O40" s="167"/>
      <c r="P40" s="167"/>
      <c r="Q40" s="167"/>
      <c r="R40" s="118"/>
      <c r="S40" s="118"/>
      <c r="T40" s="118"/>
      <c r="U40" s="118"/>
      <c r="V40" s="118"/>
      <c r="W40" s="118"/>
    </row>
    <row r="41" spans="1:23">
      <c r="A41" s="167"/>
      <c r="B41" s="167"/>
      <c r="C41" s="167"/>
      <c r="D41" s="167"/>
      <c r="E41" s="2">
        <v>4</v>
      </c>
      <c r="F41" s="2">
        <v>35.321052631578944</v>
      </c>
      <c r="G41" s="2">
        <v>-15.321052631578944</v>
      </c>
      <c r="N41" s="167"/>
      <c r="O41" s="167"/>
      <c r="P41" s="167"/>
      <c r="Q41" s="167"/>
      <c r="R41" s="118"/>
      <c r="S41" s="118"/>
      <c r="T41" s="118"/>
      <c r="U41" s="118"/>
      <c r="V41" s="118"/>
      <c r="W41" s="118"/>
    </row>
    <row r="42" spans="1:23">
      <c r="A42" s="167"/>
      <c r="B42" s="167"/>
      <c r="C42" s="167"/>
      <c r="D42" s="167"/>
      <c r="E42" s="2">
        <v>5</v>
      </c>
      <c r="F42" s="2">
        <v>41.207894736842107</v>
      </c>
      <c r="G42" s="2">
        <v>13.792105263157893</v>
      </c>
      <c r="N42" s="167"/>
      <c r="O42" s="167"/>
      <c r="P42" s="167"/>
      <c r="Q42" s="167"/>
      <c r="R42" s="118"/>
      <c r="S42" s="118"/>
      <c r="T42" s="118"/>
      <c r="U42" s="118"/>
      <c r="V42" s="118"/>
      <c r="W42" s="118"/>
    </row>
    <row r="43" spans="1:23">
      <c r="A43" s="169"/>
      <c r="B43" s="169"/>
      <c r="C43" s="169"/>
      <c r="D43" s="167"/>
      <c r="E43" s="2">
        <v>6</v>
      </c>
      <c r="F43" s="2">
        <v>47.094736842105263</v>
      </c>
      <c r="G43" s="2">
        <v>10.905263157894737</v>
      </c>
      <c r="N43" s="167"/>
      <c r="O43" s="167"/>
      <c r="P43" s="167"/>
      <c r="Q43" s="167"/>
      <c r="R43" s="118"/>
      <c r="S43" s="118"/>
      <c r="T43" s="118"/>
      <c r="U43" s="118"/>
      <c r="V43" s="118"/>
      <c r="W43" s="118"/>
    </row>
    <row r="44" spans="1:23">
      <c r="A44" s="164"/>
      <c r="B44" s="164"/>
      <c r="C44" s="164"/>
      <c r="D44" s="167"/>
      <c r="E44" s="2">
        <v>7</v>
      </c>
      <c r="F44" s="2">
        <v>52.981578947368419</v>
      </c>
      <c r="G44" s="2">
        <v>-8.9815789473684191</v>
      </c>
      <c r="N44" s="118"/>
      <c r="O44" s="118"/>
      <c r="P44" s="118"/>
      <c r="Q44" s="118"/>
      <c r="R44" s="118"/>
      <c r="S44" s="118"/>
      <c r="T44" s="118"/>
      <c r="U44" s="118"/>
      <c r="V44" s="118"/>
      <c r="W44" s="118"/>
    </row>
    <row r="45" spans="1:23" ht="13.5" thickBot="1">
      <c r="A45" s="118"/>
      <c r="B45" s="118"/>
      <c r="C45" s="118"/>
      <c r="D45" s="118"/>
      <c r="E45" s="4">
        <v>8</v>
      </c>
      <c r="F45" s="4">
        <v>58.868421052631575</v>
      </c>
      <c r="G45" s="4">
        <v>6.1315789473684248</v>
      </c>
      <c r="N45" s="118"/>
      <c r="O45" s="118"/>
      <c r="P45" s="118"/>
      <c r="Q45" s="118"/>
      <c r="R45" s="118"/>
      <c r="S45" s="118"/>
      <c r="T45" s="118"/>
      <c r="U45" s="118"/>
      <c r="V45" s="118"/>
      <c r="W45" s="118"/>
    </row>
    <row r="46" spans="1:23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</row>
    <row r="47" spans="1:23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</row>
    <row r="48" spans="1:23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</row>
    <row r="49" spans="1:23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</row>
    <row r="50" spans="1:23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</row>
    <row r="51" spans="1:23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</row>
    <row r="52" spans="1:23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</row>
    <row r="53" spans="1:23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</row>
    <row r="54" spans="1:23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</row>
    <row r="55" spans="1:23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</row>
    <row r="56" spans="1:23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</row>
    <row r="57" spans="1:23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</row>
    <row r="58" spans="1:23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</row>
    <row r="59" spans="1:23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</row>
    <row r="60" spans="1:23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</row>
    <row r="61" spans="1:23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</row>
    <row r="62" spans="1:23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</row>
    <row r="63" spans="1:23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</row>
    <row r="64" spans="1:23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</row>
    <row r="65" spans="1:23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</row>
    <row r="66" spans="1:23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</row>
    <row r="67" spans="1:23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</row>
    <row r="68" spans="1:23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</row>
    <row r="69" spans="1:23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</row>
    <row r="70" spans="1:23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</row>
    <row r="71" spans="1:23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</row>
    <row r="72" spans="1:23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</row>
    <row r="73" spans="1:23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</row>
    <row r="74" spans="1:23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</row>
    <row r="75" spans="1:23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</row>
    <row r="76" spans="1:23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</row>
    <row r="77" spans="1:23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</row>
    <row r="78" spans="1:23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</row>
    <row r="79" spans="1:23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</row>
    <row r="80" spans="1:23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</row>
    <row r="81" spans="1:23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</row>
    <row r="82" spans="1:23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</row>
    <row r="83" spans="1:23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</row>
    <row r="84" spans="1:23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</row>
    <row r="85" spans="1:23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</row>
    <row r="86" spans="1:23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</row>
    <row r="87" spans="1:23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</row>
    <row r="88" spans="1:23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</row>
    <row r="89" spans="1:23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</row>
    <row r="90" spans="1:23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</row>
    <row r="91" spans="1:23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</row>
    <row r="92" spans="1:23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</row>
    <row r="93" spans="1:23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</row>
    <row r="94" spans="1:23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</row>
    <row r="95" spans="1:23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</row>
    <row r="96" spans="1:23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</row>
    <row r="97" spans="1:23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</row>
    <row r="98" spans="1:23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</row>
    <row r="99" spans="1:23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</row>
    <row r="100" spans="1:23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</row>
    <row r="101" spans="1:23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</row>
    <row r="102" spans="1:23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</row>
    <row r="103" spans="1:23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</row>
    <row r="104" spans="1:23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</row>
    <row r="105" spans="1:23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</row>
    <row r="106" spans="1:23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</row>
    <row r="107" spans="1:23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</row>
    <row r="108" spans="1:23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</row>
    <row r="109" spans="1:23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</row>
    <row r="110" spans="1:23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</row>
    <row r="111" spans="1:23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</row>
    <row r="112" spans="1:23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</row>
    <row r="113" spans="1:23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</row>
    <row r="114" spans="1:23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</row>
    <row r="115" spans="1:23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</row>
    <row r="116" spans="1:23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</row>
    <row r="117" spans="1:23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</row>
    <row r="118" spans="1:23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</row>
    <row r="119" spans="1:23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</row>
    <row r="120" spans="1:23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</row>
    <row r="121" spans="1:23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</row>
    <row r="122" spans="1:23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</row>
    <row r="123" spans="1:23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</row>
    <row r="124" spans="1:23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</row>
    <row r="125" spans="1:23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</row>
    <row r="126" spans="1:23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</row>
    <row r="127" spans="1:23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</row>
    <row r="128" spans="1:23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</row>
    <row r="129" spans="1:23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</row>
    <row r="130" spans="1:23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</row>
    <row r="131" spans="1:23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</row>
    <row r="132" spans="1:23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</row>
    <row r="133" spans="1:23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</row>
    <row r="134" spans="1:23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</row>
    <row r="135" spans="1:23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</row>
    <row r="136" spans="1:23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</row>
    <row r="137" spans="1:23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</row>
    <row r="138" spans="1:23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</row>
    <row r="139" spans="1:23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</row>
    <row r="140" spans="1:23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</row>
    <row r="141" spans="1:23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</row>
    <row r="142" spans="1:23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</row>
    <row r="143" spans="1:23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</row>
    <row r="144" spans="1:23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</row>
    <row r="145" spans="1:23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</row>
    <row r="146" spans="1:23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</row>
    <row r="147" spans="1:23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</row>
    <row r="148" spans="1:23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</row>
    <row r="149" spans="1:23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</row>
    <row r="150" spans="1:23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</row>
    <row r="151" spans="1:23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</row>
    <row r="152" spans="1:23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</row>
    <row r="153" spans="1:23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</row>
    <row r="154" spans="1:23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</row>
    <row r="155" spans="1:23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</row>
    <row r="156" spans="1:23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</row>
    <row r="157" spans="1:23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</row>
    <row r="158" spans="1:23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</row>
    <row r="159" spans="1:23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</row>
    <row r="160" spans="1:23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</row>
    <row r="161" spans="1:23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</row>
    <row r="162" spans="1:23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</row>
    <row r="163" spans="1:23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</row>
    <row r="164" spans="1:23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</row>
    <row r="165" spans="1:23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</row>
    <row r="166" spans="1:23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</row>
    <row r="167" spans="1:23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</row>
    <row r="168" spans="1:23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</row>
    <row r="169" spans="1:23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</row>
    <row r="170" spans="1:23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</row>
    <row r="171" spans="1:23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</row>
    <row r="172" spans="1:23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</row>
    <row r="173" spans="1:23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</row>
    <row r="174" spans="1:23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</row>
    <row r="175" spans="1:23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</row>
    <row r="176" spans="1:23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</row>
    <row r="177" spans="1:23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</row>
    <row r="178" spans="1:23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</row>
    <row r="179" spans="1:23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</row>
    <row r="180" spans="1:23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</row>
    <row r="181" spans="1:23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</row>
    <row r="182" spans="1:23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</row>
    <row r="183" spans="1:23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</row>
    <row r="184" spans="1:23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</row>
    <row r="185" spans="1:23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</row>
    <row r="186" spans="1:23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</row>
    <row r="187" spans="1:23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</row>
    <row r="188" spans="1:23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</row>
    <row r="189" spans="1:23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</row>
    <row r="190" spans="1:23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</row>
    <row r="191" spans="1:23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</row>
    <row r="192" spans="1:23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</row>
    <row r="193" spans="1:23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</row>
    <row r="194" spans="1:23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</row>
    <row r="195" spans="1:23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</row>
    <row r="196" spans="1:23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</row>
    <row r="197" spans="1:23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</row>
    <row r="198" spans="1:23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</row>
    <row r="199" spans="1:23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</row>
    <row r="200" spans="1:23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</row>
    <row r="201" spans="1:23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</row>
    <row r="202" spans="1:23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</row>
    <row r="203" spans="1:23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</row>
    <row r="204" spans="1:23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</row>
    <row r="205" spans="1:23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</row>
    <row r="206" spans="1:23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</row>
    <row r="207" spans="1:23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</row>
    <row r="208" spans="1:23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</row>
    <row r="209" spans="1:23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</row>
    <row r="210" spans="1:23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</row>
    <row r="211" spans="1:23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</row>
    <row r="212" spans="1:23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</row>
    <row r="213" spans="1:23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</row>
    <row r="214" spans="1:23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</row>
    <row r="215" spans="1:23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</row>
    <row r="216" spans="1:23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</row>
    <row r="217" spans="1:23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</row>
    <row r="218" spans="1:23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</row>
    <row r="219" spans="1:23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</row>
    <row r="220" spans="1:23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</row>
    <row r="221" spans="1:23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</row>
    <row r="222" spans="1:23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</row>
    <row r="223" spans="1:23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</row>
    <row r="224" spans="1:23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</row>
    <row r="225" spans="1:23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</row>
    <row r="226" spans="1:23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</row>
    <row r="227" spans="1:23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</row>
    <row r="228" spans="1:23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</row>
    <row r="229" spans="1:23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</row>
    <row r="230" spans="1:23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</row>
    <row r="231" spans="1:23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</row>
    <row r="232" spans="1:23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</row>
    <row r="233" spans="1:23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</row>
    <row r="234" spans="1:23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</row>
    <row r="235" spans="1:23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</row>
    <row r="236" spans="1:23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</row>
    <row r="237" spans="1:23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</row>
    <row r="238" spans="1:23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</row>
    <row r="239" spans="1:23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</row>
    <row r="240" spans="1:23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</row>
    <row r="241" spans="1:23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</row>
    <row r="242" spans="1:23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</row>
    <row r="243" spans="1:23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</row>
    <row r="244" spans="1:23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</row>
    <row r="245" spans="1:23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</row>
    <row r="246" spans="1:23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</row>
    <row r="247" spans="1:23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</row>
    <row r="248" spans="1:23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</row>
    <row r="249" spans="1:23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</row>
    <row r="250" spans="1:23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</row>
    <row r="251" spans="1:23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</row>
    <row r="252" spans="1:23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</row>
    <row r="253" spans="1:23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</row>
    <row r="254" spans="1:23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</row>
    <row r="255" spans="1:23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</row>
    <row r="256" spans="1:23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</row>
    <row r="257" spans="1:23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</row>
    <row r="258" spans="1:23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</row>
    <row r="259" spans="1:23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</row>
    <row r="260" spans="1:23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</row>
    <row r="261" spans="1:23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</row>
    <row r="262" spans="1:23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</row>
    <row r="263" spans="1:23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</row>
    <row r="264" spans="1:23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</row>
    <row r="265" spans="1:23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</row>
    <row r="266" spans="1:23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</row>
    <row r="267" spans="1:23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</row>
    <row r="268" spans="1:23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</row>
    <row r="269" spans="1:23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</row>
    <row r="270" spans="1:23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</row>
    <row r="271" spans="1:23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</row>
    <row r="272" spans="1:23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</row>
    <row r="273" spans="1:23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</row>
    <row r="274" spans="1:23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</row>
    <row r="275" spans="1:23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</row>
    <row r="276" spans="1:23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</row>
    <row r="277" spans="1:23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</row>
    <row r="278" spans="1:23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</row>
    <row r="279" spans="1:23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</row>
    <row r="280" spans="1:23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</row>
    <row r="281" spans="1:23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</row>
    <row r="282" spans="1:23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</row>
    <row r="283" spans="1:23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</row>
    <row r="284" spans="1:23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</row>
    <row r="285" spans="1:23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</row>
    <row r="286" spans="1:23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</row>
    <row r="287" spans="1:23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</row>
    <row r="288" spans="1:23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</row>
    <row r="289" spans="1:23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</row>
    <row r="290" spans="1:23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</row>
    <row r="291" spans="1:23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</row>
    <row r="292" spans="1:23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</row>
    <row r="293" spans="1:23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</row>
    <row r="294" spans="1:23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</row>
    <row r="295" spans="1:23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</row>
    <row r="296" spans="1:23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</row>
    <row r="297" spans="1:23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</row>
    <row r="298" spans="1:23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</row>
    <row r="299" spans="1:23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</row>
    <row r="300" spans="1:23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</row>
    <row r="301" spans="1:23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9"/>
  <sheetViews>
    <sheetView zoomScale="115" zoomScaleNormal="115" workbookViewId="0">
      <selection activeCell="G1" sqref="G1"/>
    </sheetView>
  </sheetViews>
  <sheetFormatPr defaultRowHeight="12.75"/>
  <cols>
    <col min="1" max="1" width="11" customWidth="1"/>
    <col min="2" max="2" width="11.28515625" customWidth="1"/>
  </cols>
  <sheetData>
    <row r="1" spans="1:17">
      <c r="A1" s="65" t="s">
        <v>66</v>
      </c>
      <c r="B1" s="66" t="s">
        <v>67</v>
      </c>
      <c r="C1" s="67"/>
      <c r="D1" s="68"/>
      <c r="E1" s="6"/>
      <c r="F1" s="144"/>
      <c r="G1" s="76" t="s">
        <v>65</v>
      </c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17">
      <c r="A2" s="69">
        <v>150</v>
      </c>
      <c r="B2" s="61">
        <v>22</v>
      </c>
      <c r="C2" s="64">
        <v>21</v>
      </c>
      <c r="D2" s="70">
        <v>19.5</v>
      </c>
      <c r="E2" s="64"/>
      <c r="F2" s="144"/>
      <c r="G2" s="144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17">
      <c r="A3" s="69">
        <v>200</v>
      </c>
      <c r="B3" s="61">
        <v>30.5</v>
      </c>
      <c r="C3" s="64">
        <v>31</v>
      </c>
      <c r="D3" s="70">
        <v>28</v>
      </c>
      <c r="E3" s="64"/>
      <c r="F3" s="144"/>
      <c r="G3" s="144"/>
      <c r="H3" s="176"/>
      <c r="I3" s="176"/>
      <c r="J3" s="176"/>
      <c r="K3" s="176"/>
      <c r="L3" s="176"/>
      <c r="M3" s="176"/>
      <c r="N3" s="176"/>
      <c r="O3" s="176"/>
      <c r="P3" s="176"/>
      <c r="Q3" s="176"/>
    </row>
    <row r="4" spans="1:17">
      <c r="A4" s="69">
        <v>250</v>
      </c>
      <c r="B4" s="61">
        <v>35</v>
      </c>
      <c r="C4" s="64">
        <v>35.5</v>
      </c>
      <c r="D4" s="70">
        <v>30</v>
      </c>
      <c r="E4" s="64"/>
      <c r="F4" s="144"/>
      <c r="G4" s="144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17">
      <c r="A5" s="71">
        <v>300</v>
      </c>
      <c r="B5" s="62">
        <v>40</v>
      </c>
      <c r="C5" s="64">
        <v>41</v>
      </c>
      <c r="D5" s="70">
        <v>37.5</v>
      </c>
      <c r="E5" s="64"/>
      <c r="F5" s="144"/>
      <c r="G5" s="144"/>
      <c r="H5" s="176"/>
      <c r="I5" s="176"/>
      <c r="J5" s="176"/>
      <c r="K5" s="176"/>
      <c r="L5" s="176"/>
      <c r="M5" s="176"/>
      <c r="N5" s="176"/>
      <c r="O5" s="176"/>
      <c r="P5" s="176"/>
      <c r="Q5" s="176"/>
    </row>
    <row r="6" spans="1:17">
      <c r="A6" s="71">
        <v>350</v>
      </c>
      <c r="B6" s="62">
        <v>51</v>
      </c>
      <c r="C6" s="64">
        <v>49</v>
      </c>
      <c r="D6" s="70">
        <v>48</v>
      </c>
      <c r="E6" s="64"/>
      <c r="F6" s="144"/>
      <c r="G6" s="144"/>
      <c r="H6" s="176"/>
      <c r="I6" s="176"/>
      <c r="J6" s="176"/>
      <c r="K6" s="176"/>
      <c r="L6" s="176"/>
      <c r="M6" s="176"/>
      <c r="N6" s="176"/>
      <c r="O6" s="176"/>
      <c r="P6" s="176"/>
      <c r="Q6" s="176"/>
    </row>
    <row r="7" spans="1:17">
      <c r="A7" s="71">
        <v>400</v>
      </c>
      <c r="B7" s="62">
        <v>55</v>
      </c>
      <c r="C7" s="64">
        <v>53</v>
      </c>
      <c r="D7" s="70">
        <v>54</v>
      </c>
      <c r="E7" s="64"/>
      <c r="F7" s="144"/>
      <c r="G7" s="144"/>
      <c r="H7" s="176"/>
      <c r="I7" s="176"/>
      <c r="J7" s="176"/>
      <c r="K7" s="176"/>
      <c r="L7" s="176"/>
      <c r="M7" s="176"/>
      <c r="N7" s="176"/>
      <c r="O7" s="176"/>
      <c r="P7" s="176"/>
      <c r="Q7" s="176"/>
    </row>
    <row r="8" spans="1:17">
      <c r="A8" s="71">
        <v>450</v>
      </c>
      <c r="B8" s="62">
        <v>64</v>
      </c>
      <c r="C8" s="64">
        <v>66.5</v>
      </c>
      <c r="D8" s="70">
        <v>66</v>
      </c>
      <c r="E8" s="64"/>
      <c r="F8" s="144"/>
      <c r="G8" s="144"/>
      <c r="H8" s="176"/>
      <c r="I8" s="176"/>
      <c r="J8" s="176"/>
      <c r="K8" s="176"/>
      <c r="L8" s="176"/>
      <c r="M8" s="176"/>
      <c r="N8" s="176"/>
      <c r="O8" s="176"/>
      <c r="P8" s="176"/>
      <c r="Q8" s="176"/>
    </row>
    <row r="9" spans="1:17" ht="13.5" thickBot="1">
      <c r="A9" s="72">
        <v>500</v>
      </c>
      <c r="B9" s="73">
        <v>70.5</v>
      </c>
      <c r="C9" s="74">
        <v>71</v>
      </c>
      <c r="D9" s="75">
        <v>69</v>
      </c>
      <c r="E9" s="64"/>
      <c r="F9" s="144"/>
      <c r="G9" s="144"/>
      <c r="H9" s="176"/>
      <c r="I9" s="176"/>
      <c r="J9" s="176"/>
      <c r="K9" s="176"/>
      <c r="L9" s="176"/>
      <c r="M9" s="176"/>
      <c r="N9" s="176"/>
      <c r="O9" s="176"/>
      <c r="P9" s="176"/>
      <c r="Q9" s="176"/>
    </row>
    <row r="10" spans="1:17">
      <c r="A10" s="60"/>
      <c r="B10" s="63"/>
      <c r="E10" s="1"/>
      <c r="F10" s="144"/>
      <c r="G10" s="144"/>
      <c r="H10" s="176"/>
      <c r="I10" s="176"/>
      <c r="J10" s="176"/>
      <c r="K10" s="176"/>
      <c r="L10" s="176"/>
      <c r="M10" s="176"/>
      <c r="N10" s="176"/>
      <c r="O10" s="176"/>
      <c r="P10" s="176"/>
      <c r="Q10" s="176"/>
    </row>
    <row r="11" spans="1:17">
      <c r="A11" s="61"/>
      <c r="B11" s="63"/>
      <c r="F11" s="144"/>
      <c r="G11" s="144"/>
      <c r="H11" s="176"/>
      <c r="I11" s="176"/>
      <c r="J11" s="176"/>
      <c r="K11" s="176"/>
      <c r="L11" s="176"/>
      <c r="M11" s="176"/>
      <c r="N11" s="176"/>
      <c r="O11" s="176"/>
      <c r="P11" s="176"/>
      <c r="Q11" s="176"/>
    </row>
    <row r="12" spans="1:17">
      <c r="A12" s="61"/>
      <c r="B12" s="63"/>
      <c r="F12" s="144"/>
      <c r="G12" s="144"/>
      <c r="H12" s="176"/>
      <c r="I12" s="176"/>
      <c r="J12" s="176"/>
      <c r="K12" s="176"/>
      <c r="L12" s="176"/>
      <c r="M12" s="176"/>
      <c r="N12" s="176"/>
      <c r="O12" s="176"/>
      <c r="P12" s="176"/>
      <c r="Q12" s="176"/>
    </row>
    <row r="13" spans="1:17">
      <c r="A13" s="62"/>
      <c r="B13" s="63"/>
      <c r="F13" s="144"/>
      <c r="G13" s="144"/>
      <c r="H13" s="177"/>
      <c r="I13" s="176"/>
      <c r="J13" s="176"/>
      <c r="K13" s="176"/>
      <c r="L13" s="176"/>
      <c r="M13" s="176"/>
      <c r="N13" s="176"/>
      <c r="O13" s="176"/>
      <c r="P13" s="176"/>
      <c r="Q13" s="176"/>
    </row>
    <row r="14" spans="1:17">
      <c r="A14" s="62"/>
      <c r="B14" s="63"/>
      <c r="F14" s="144"/>
      <c r="G14" s="144"/>
      <c r="H14" s="176"/>
      <c r="I14" s="176"/>
      <c r="J14" s="176"/>
      <c r="K14" s="176"/>
      <c r="L14" s="176"/>
      <c r="M14" s="176"/>
      <c r="N14" s="176"/>
      <c r="O14" s="176"/>
      <c r="P14" s="176"/>
      <c r="Q14" s="176"/>
    </row>
    <row r="15" spans="1:17">
      <c r="A15" s="62"/>
      <c r="B15" s="63"/>
      <c r="F15" s="144"/>
      <c r="G15" s="144"/>
      <c r="H15" s="176"/>
      <c r="I15" s="176"/>
      <c r="J15" s="176"/>
      <c r="K15" s="176"/>
      <c r="L15" s="176"/>
      <c r="M15" s="176"/>
      <c r="N15" s="176"/>
      <c r="O15" s="176"/>
      <c r="P15" s="176"/>
      <c r="Q15" s="176"/>
    </row>
    <row r="16" spans="1:17">
      <c r="A16" s="62"/>
      <c r="B16" s="63"/>
      <c r="F16" s="144"/>
      <c r="G16" s="144"/>
      <c r="H16" s="176"/>
      <c r="I16" s="176"/>
      <c r="J16" s="176"/>
      <c r="K16" s="176"/>
      <c r="L16" s="176"/>
      <c r="M16" s="176"/>
      <c r="N16" s="176"/>
      <c r="O16" s="176"/>
      <c r="P16" s="176"/>
      <c r="Q16" s="176"/>
    </row>
    <row r="17" spans="1:17">
      <c r="A17" s="62"/>
      <c r="B17" s="63"/>
      <c r="F17" s="144"/>
      <c r="G17" s="144"/>
      <c r="H17" s="176"/>
      <c r="I17" s="176"/>
      <c r="J17" s="176"/>
      <c r="K17" s="176"/>
      <c r="L17" s="176"/>
      <c r="M17" s="176"/>
      <c r="N17" s="176"/>
      <c r="O17" s="176"/>
      <c r="P17" s="176"/>
      <c r="Q17" s="176"/>
    </row>
    <row r="18" spans="1:17">
      <c r="A18" s="60"/>
      <c r="B18" s="63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1:17">
      <c r="A19" s="61"/>
      <c r="B19" s="63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</row>
    <row r="20" spans="1:17">
      <c r="A20" s="61"/>
      <c r="B20" s="63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</row>
    <row r="21" spans="1:17">
      <c r="A21" s="62"/>
      <c r="B21" s="63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</row>
    <row r="22" spans="1:17">
      <c r="A22" s="62"/>
      <c r="B22" s="63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</row>
    <row r="23" spans="1:17">
      <c r="A23" s="62"/>
      <c r="B23" s="63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</row>
    <row r="24" spans="1:17">
      <c r="A24" s="62"/>
      <c r="B24" s="63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</row>
    <row r="25" spans="1:17">
      <c r="A25" s="62"/>
      <c r="B25" s="63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</row>
    <row r="26" spans="1:17"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</row>
    <row r="27" spans="1:17"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</row>
    <row r="28" spans="1:17"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</row>
    <row r="29" spans="1:17"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1:17"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</row>
    <row r="31" spans="1:17"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</row>
    <row r="32" spans="1:17"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</row>
    <row r="33" spans="1:17"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</row>
    <row r="34" spans="1:17"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</row>
    <row r="35" spans="1:17"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  <row r="36" spans="1:17"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</row>
    <row r="37" spans="1:17"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</row>
    <row r="38" spans="1:17"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</row>
    <row r="39" spans="1:17"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</row>
    <row r="41" spans="1:17">
      <c r="A41" s="59"/>
      <c r="B41" s="59"/>
    </row>
    <row r="42" spans="1:17">
      <c r="A42" s="60"/>
      <c r="B42" s="60"/>
    </row>
    <row r="43" spans="1:17">
      <c r="A43" s="61"/>
      <c r="B43" s="61"/>
    </row>
    <row r="44" spans="1:17">
      <c r="A44" s="61"/>
      <c r="B44" s="61"/>
    </row>
    <row r="45" spans="1:17">
      <c r="A45" s="62"/>
      <c r="B45" s="62"/>
    </row>
    <row r="46" spans="1:17">
      <c r="A46" s="62"/>
      <c r="B46" s="62"/>
    </row>
    <row r="47" spans="1:17">
      <c r="A47" s="62"/>
      <c r="B47" s="62"/>
    </row>
    <row r="48" spans="1:17">
      <c r="A48" s="62"/>
      <c r="B48" s="62"/>
    </row>
    <row r="49" spans="1:2">
      <c r="A49" s="62"/>
      <c r="B49" s="6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9"/>
  <sheetViews>
    <sheetView zoomScale="115" zoomScaleNormal="115" workbookViewId="0">
      <selection activeCell="G31" sqref="G31"/>
    </sheetView>
  </sheetViews>
  <sheetFormatPr defaultRowHeight="12.75"/>
  <cols>
    <col min="1" max="1" width="11" customWidth="1"/>
    <col min="2" max="2" width="11.28515625" customWidth="1"/>
  </cols>
  <sheetData>
    <row r="1" spans="1:8">
      <c r="A1" s="184" t="s">
        <v>66</v>
      </c>
      <c r="B1" s="185" t="s">
        <v>67</v>
      </c>
      <c r="C1" s="67"/>
      <c r="D1" s="68"/>
      <c r="E1" s="6" t="s">
        <v>68</v>
      </c>
      <c r="G1" s="76" t="s">
        <v>65</v>
      </c>
    </row>
    <row r="2" spans="1:8">
      <c r="A2" s="186">
        <v>150</v>
      </c>
      <c r="B2" s="187">
        <v>22</v>
      </c>
      <c r="C2" s="64">
        <v>21</v>
      </c>
      <c r="D2" s="70">
        <v>19.5</v>
      </c>
      <c r="E2" s="64">
        <f>AVERAGE(B2:D2)</f>
        <v>20.833333333333332</v>
      </c>
    </row>
    <row r="3" spans="1:8">
      <c r="A3" s="186">
        <v>200</v>
      </c>
      <c r="B3" s="187">
        <v>30.5</v>
      </c>
      <c r="C3" s="64">
        <v>31</v>
      </c>
      <c r="D3" s="70">
        <v>28</v>
      </c>
      <c r="E3" s="64">
        <f t="shared" ref="E3:E9" si="0">AVERAGE(B3:D3)</f>
        <v>29.833333333333332</v>
      </c>
    </row>
    <row r="4" spans="1:8">
      <c r="A4" s="186">
        <v>250</v>
      </c>
      <c r="B4" s="187">
        <v>35</v>
      </c>
      <c r="C4" s="64">
        <v>35.5</v>
      </c>
      <c r="D4" s="70">
        <v>30</v>
      </c>
      <c r="E4" s="64">
        <f t="shared" si="0"/>
        <v>33.5</v>
      </c>
      <c r="G4">
        <f t="array" ref="G4:H8">LINEST(E2:E9,A2:A9,1,1)</f>
        <v>0.14166666666666666</v>
      </c>
      <c r="H4">
        <v>-0.7083333333333286</v>
      </c>
    </row>
    <row r="5" spans="1:8">
      <c r="A5" s="186">
        <v>300</v>
      </c>
      <c r="B5" s="187">
        <v>40</v>
      </c>
      <c r="C5" s="64">
        <v>41</v>
      </c>
      <c r="D5" s="70">
        <v>37.5</v>
      </c>
      <c r="E5" s="64">
        <f t="shared" si="0"/>
        <v>39.5</v>
      </c>
      <c r="G5" s="14">
        <v>5.8775722351315013E-3</v>
      </c>
      <c r="H5" s="14">
        <v>2.0254185558246127</v>
      </c>
    </row>
    <row r="6" spans="1:8">
      <c r="A6" s="186">
        <v>350</v>
      </c>
      <c r="B6" s="187">
        <v>51</v>
      </c>
      <c r="C6" s="64">
        <v>49</v>
      </c>
      <c r="D6" s="70">
        <v>48</v>
      </c>
      <c r="E6" s="64">
        <f t="shared" si="0"/>
        <v>49.333333333333336</v>
      </c>
      <c r="G6" s="14">
        <v>0.98977767920048021</v>
      </c>
      <c r="H6" s="14">
        <v>1.9045510796024385</v>
      </c>
    </row>
    <row r="7" spans="1:8">
      <c r="A7" s="186">
        <v>400</v>
      </c>
      <c r="B7" s="187">
        <v>55</v>
      </c>
      <c r="C7" s="64">
        <v>53</v>
      </c>
      <c r="D7" s="70">
        <v>54</v>
      </c>
      <c r="E7" s="64">
        <f t="shared" si="0"/>
        <v>54</v>
      </c>
      <c r="G7">
        <v>580.95086151882606</v>
      </c>
      <c r="H7" s="14">
        <v>6</v>
      </c>
    </row>
    <row r="8" spans="1:8">
      <c r="A8" s="186">
        <v>450</v>
      </c>
      <c r="B8" s="187">
        <v>64</v>
      </c>
      <c r="C8" s="64">
        <v>66.5</v>
      </c>
      <c r="D8" s="70">
        <v>66</v>
      </c>
      <c r="E8" s="64">
        <f t="shared" si="0"/>
        <v>65.5</v>
      </c>
      <c r="G8">
        <v>2107.2916666666674</v>
      </c>
      <c r="H8">
        <v>21.763888888888886</v>
      </c>
    </row>
    <row r="9" spans="1:8" ht="13.5" thickBot="1">
      <c r="A9" s="188">
        <v>500</v>
      </c>
      <c r="B9" s="189">
        <v>70.5</v>
      </c>
      <c r="C9" s="74">
        <v>71</v>
      </c>
      <c r="D9" s="75">
        <v>69</v>
      </c>
      <c r="E9" s="64">
        <f t="shared" si="0"/>
        <v>70.166666666666671</v>
      </c>
    </row>
    <row r="10" spans="1:8">
      <c r="A10" s="190">
        <v>150</v>
      </c>
      <c r="B10" s="191">
        <v>21</v>
      </c>
      <c r="E10" s="1"/>
    </row>
    <row r="11" spans="1:8">
      <c r="A11" s="187">
        <v>200</v>
      </c>
      <c r="B11" s="191">
        <v>31</v>
      </c>
    </row>
    <row r="12" spans="1:8">
      <c r="A12" s="187">
        <v>250</v>
      </c>
      <c r="B12" s="191">
        <v>35.5</v>
      </c>
    </row>
    <row r="13" spans="1:8">
      <c r="A13" s="187">
        <v>300</v>
      </c>
      <c r="B13" s="191">
        <v>41</v>
      </c>
      <c r="H13" s="9" t="s">
        <v>69</v>
      </c>
    </row>
    <row r="14" spans="1:8">
      <c r="A14" s="187">
        <v>350</v>
      </c>
      <c r="B14" s="191">
        <v>49</v>
      </c>
    </row>
    <row r="15" spans="1:8">
      <c r="A15" s="187">
        <v>400</v>
      </c>
      <c r="B15" s="191">
        <v>53</v>
      </c>
    </row>
    <row r="16" spans="1:8">
      <c r="A16" s="187">
        <v>450</v>
      </c>
      <c r="B16" s="191">
        <v>66.5</v>
      </c>
    </row>
    <row r="17" spans="1:9">
      <c r="A17" s="187">
        <v>500</v>
      </c>
      <c r="B17" s="191">
        <v>71</v>
      </c>
    </row>
    <row r="18" spans="1:9">
      <c r="A18" s="190">
        <v>150</v>
      </c>
      <c r="B18" s="191">
        <v>19.5</v>
      </c>
    </row>
    <row r="19" spans="1:9">
      <c r="A19" s="187">
        <v>200</v>
      </c>
      <c r="B19" s="191">
        <v>28</v>
      </c>
    </row>
    <row r="20" spans="1:9">
      <c r="A20" s="187">
        <v>250</v>
      </c>
      <c r="B20" s="191">
        <v>30</v>
      </c>
    </row>
    <row r="21" spans="1:9">
      <c r="A21" s="187">
        <v>300</v>
      </c>
      <c r="B21" s="191">
        <v>37.5</v>
      </c>
      <c r="D21" s="84">
        <f t="array" ref="D21:E25">LINEST(B2:B25,A2:A25,0,1)</f>
        <v>0.13972807017543856</v>
      </c>
      <c r="E21" s="84">
        <v>0</v>
      </c>
      <c r="G21">
        <f t="array" ref="G21:H25">LINEST(B2:B25,A2:A25,1,1)</f>
        <v>0.14166666666666664</v>
      </c>
      <c r="H21">
        <v>-0.70833333333332149</v>
      </c>
      <c r="I21">
        <f>ABS(H21)/H22</f>
        <v>0.51369758670408316</v>
      </c>
    </row>
    <row r="22" spans="1:9">
      <c r="A22" s="187">
        <v>350</v>
      </c>
      <c r="B22" s="191">
        <v>48</v>
      </c>
      <c r="D22" s="84">
        <v>1.3088285233457786E-3</v>
      </c>
      <c r="E22" s="84" t="e">
        <v>#N/A</v>
      </c>
      <c r="G22" s="14">
        <v>4.001412689451503E-3</v>
      </c>
      <c r="H22" s="14">
        <v>1.3788916897157992</v>
      </c>
    </row>
    <row r="23" spans="1:9">
      <c r="A23" s="187">
        <v>400</v>
      </c>
      <c r="B23" s="191">
        <v>54</v>
      </c>
      <c r="D23" s="198">
        <v>0.99798604165712868</v>
      </c>
      <c r="E23" s="84">
        <v>2.2095568549014413</v>
      </c>
      <c r="G23" s="14">
        <v>0.98275125009715791</v>
      </c>
      <c r="H23" s="14">
        <v>2.2457873020525798</v>
      </c>
    </row>
    <row r="24" spans="1:9">
      <c r="A24" s="187">
        <v>450</v>
      </c>
      <c r="B24" s="191">
        <v>66</v>
      </c>
      <c r="D24" s="84">
        <v>11397.295797781037</v>
      </c>
      <c r="E24" s="84">
        <v>23</v>
      </c>
      <c r="G24">
        <v>1253.4547502816376</v>
      </c>
      <c r="H24" s="14">
        <v>22</v>
      </c>
      <c r="I24">
        <f>TINV(0.1,H24)</f>
        <v>1.7171443354398259</v>
      </c>
    </row>
    <row r="25" spans="1:9">
      <c r="A25" s="187">
        <v>500</v>
      </c>
      <c r="B25" s="191">
        <v>69</v>
      </c>
      <c r="D25" s="84">
        <v>55643.210745614037</v>
      </c>
      <c r="E25" s="84">
        <v>112.28925438596484</v>
      </c>
      <c r="G25">
        <v>6321.8750000000018</v>
      </c>
      <c r="H25">
        <v>110.95833333333331</v>
      </c>
    </row>
    <row r="26" spans="1:9">
      <c r="A26" s="196"/>
      <c r="B26" s="197"/>
    </row>
    <row r="41" spans="1:2">
      <c r="A41" s="59"/>
      <c r="B41" s="59"/>
    </row>
    <row r="42" spans="1:2">
      <c r="A42" s="60"/>
      <c r="B42" s="60"/>
    </row>
    <row r="43" spans="1:2">
      <c r="A43" s="61"/>
      <c r="B43" s="61"/>
    </row>
    <row r="44" spans="1:2">
      <c r="A44" s="61"/>
      <c r="B44" s="61"/>
    </row>
    <row r="45" spans="1:2">
      <c r="A45" s="62"/>
      <c r="B45" s="62"/>
    </row>
    <row r="46" spans="1:2">
      <c r="A46" s="62"/>
      <c r="B46" s="62"/>
    </row>
    <row r="47" spans="1:2">
      <c r="A47" s="62"/>
      <c r="B47" s="62"/>
    </row>
    <row r="48" spans="1:2">
      <c r="A48" s="62"/>
      <c r="B48" s="62"/>
    </row>
    <row r="49" spans="1:2">
      <c r="A49" s="62"/>
      <c r="B49" s="62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43"/>
  <sheetViews>
    <sheetView workbookViewId="0">
      <selection activeCell="B8" sqref="B8:C14"/>
    </sheetView>
  </sheetViews>
  <sheetFormatPr defaultRowHeight="12.75"/>
  <cols>
    <col min="3" max="3" width="16" customWidth="1"/>
  </cols>
  <sheetData>
    <row r="1" spans="1:17" ht="14.25">
      <c r="A1" s="38" t="s">
        <v>55</v>
      </c>
      <c r="L1" s="50"/>
      <c r="M1" s="36"/>
      <c r="N1" s="36"/>
      <c r="O1" s="36"/>
      <c r="P1" s="36"/>
      <c r="Q1" s="36"/>
    </row>
    <row r="3" spans="1:17" ht="14.25">
      <c r="A3" s="33" t="s">
        <v>53</v>
      </c>
    </row>
    <row r="4" spans="1:17">
      <c r="A4" s="9" t="s">
        <v>142</v>
      </c>
    </row>
    <row r="5" spans="1:17">
      <c r="A5" s="9" t="s">
        <v>143</v>
      </c>
    </row>
    <row r="6" spans="1:17">
      <c r="A6" s="9" t="s">
        <v>144</v>
      </c>
    </row>
    <row r="8" spans="1:17" ht="30">
      <c r="B8" s="35" t="s">
        <v>52</v>
      </c>
      <c r="C8" s="35" t="s">
        <v>51</v>
      </c>
    </row>
    <row r="9" spans="1:17" ht="14.25">
      <c r="B9" s="34">
        <v>5.0999999999999996</v>
      </c>
      <c r="C9" s="34">
        <v>78.099999999999994</v>
      </c>
    </row>
    <row r="10" spans="1:17" ht="14.25">
      <c r="B10" s="34">
        <v>17</v>
      </c>
      <c r="C10" s="34">
        <v>43.2</v>
      </c>
    </row>
    <row r="11" spans="1:17" ht="14.25">
      <c r="B11" s="34">
        <v>25.5</v>
      </c>
      <c r="C11" s="34">
        <v>31.4</v>
      </c>
    </row>
    <row r="12" spans="1:17" ht="14.25">
      <c r="B12" s="34">
        <v>34</v>
      </c>
      <c r="C12" s="34">
        <v>18.8</v>
      </c>
    </row>
    <row r="13" spans="1:17" ht="14.25">
      <c r="B13" s="34">
        <v>42.5</v>
      </c>
      <c r="C13" s="34">
        <v>14.5</v>
      </c>
    </row>
    <row r="14" spans="1:17" ht="14.25">
      <c r="B14" s="34">
        <v>51</v>
      </c>
      <c r="C14" s="34">
        <v>8.6999999999999993</v>
      </c>
    </row>
    <row r="23" spans="1:3" ht="14.25">
      <c r="A23" s="38" t="s">
        <v>50</v>
      </c>
    </row>
    <row r="26" spans="1:3" ht="16.5">
      <c r="A26" s="33" t="s">
        <v>49</v>
      </c>
    </row>
    <row r="28" spans="1:3" ht="32.25">
      <c r="B28" s="35" t="s">
        <v>70</v>
      </c>
      <c r="C28" s="35" t="s">
        <v>48</v>
      </c>
    </row>
    <row r="29" spans="1:3" ht="14.25">
      <c r="B29" s="34">
        <v>15</v>
      </c>
      <c r="C29" s="34">
        <v>-338.5</v>
      </c>
    </row>
    <row r="30" spans="1:3" ht="14.25">
      <c r="B30" s="34">
        <v>35</v>
      </c>
      <c r="C30" s="34">
        <v>-329.8</v>
      </c>
    </row>
    <row r="31" spans="1:3" ht="14.25">
      <c r="B31" s="34">
        <v>89</v>
      </c>
      <c r="C31" s="34">
        <v>-316.5</v>
      </c>
    </row>
    <row r="32" spans="1:3" ht="14.25">
      <c r="B32" s="34">
        <v>150</v>
      </c>
      <c r="C32" s="34">
        <v>-312.2</v>
      </c>
    </row>
    <row r="33" spans="1:3" ht="14.25">
      <c r="B33" s="34">
        <v>230</v>
      </c>
      <c r="C33" s="34">
        <v>-303.7</v>
      </c>
    </row>
    <row r="34" spans="1:3" ht="14.25">
      <c r="B34" s="34">
        <v>400</v>
      </c>
      <c r="C34" s="34">
        <v>-296.39999999999998</v>
      </c>
    </row>
    <row r="35" spans="1:3" ht="14.25">
      <c r="B35" s="34">
        <v>500</v>
      </c>
      <c r="C35" s="34">
        <v>-295.5</v>
      </c>
    </row>
    <row r="36" spans="1:3" ht="14.25">
      <c r="B36" s="34">
        <v>650</v>
      </c>
      <c r="C36" s="34">
        <v>-292.5</v>
      </c>
    </row>
    <row r="43" spans="1:3" ht="14.25">
      <c r="A43" s="33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Z47"/>
  <sheetViews>
    <sheetView tabSelected="1" workbookViewId="0">
      <selection activeCell="V24" sqref="V24"/>
    </sheetView>
  </sheetViews>
  <sheetFormatPr defaultRowHeight="12.75"/>
  <cols>
    <col min="3" max="3" width="15.5703125" customWidth="1"/>
  </cols>
  <sheetData>
    <row r="1" spans="1:26" ht="14.25">
      <c r="A1" s="38" t="s">
        <v>55</v>
      </c>
      <c r="C1" s="50" t="s">
        <v>54</v>
      </c>
      <c r="M1" s="176"/>
      <c r="N1" s="176"/>
      <c r="O1" s="176"/>
      <c r="P1" s="176"/>
      <c r="Q1" s="176"/>
      <c r="T1" s="243" t="s">
        <v>166</v>
      </c>
      <c r="U1" s="244"/>
      <c r="V1" s="244"/>
      <c r="W1" s="244"/>
      <c r="X1" s="244"/>
      <c r="Y1" s="244"/>
      <c r="Z1" s="244"/>
    </row>
    <row r="2" spans="1:26">
      <c r="L2" s="182" t="s">
        <v>125</v>
      </c>
      <c r="Q2">
        <v>35.6</v>
      </c>
      <c r="R2" s="9" t="s">
        <v>139</v>
      </c>
      <c r="Y2">
        <v>35.6</v>
      </c>
      <c r="Z2" s="9" t="s">
        <v>139</v>
      </c>
    </row>
    <row r="3" spans="1:26" ht="14.25">
      <c r="A3" s="33" t="s">
        <v>155</v>
      </c>
      <c r="L3" s="246">
        <f t="array" ref="L3:M7">LINEST(D13:D18,B13:B18,1,1)</f>
        <v>2.038814789242056E-2</v>
      </c>
      <c r="M3">
        <v>4.987628525743304E-3</v>
      </c>
      <c r="N3">
        <f>M3/M4</f>
        <v>0.21773418441432599</v>
      </c>
      <c r="O3" s="84">
        <f t="array" ref="O3:P7">LINEST(D13:D18,B13:B18,0,1)</f>
        <v>2.0521920185770447E-2</v>
      </c>
      <c r="P3" s="84">
        <v>0</v>
      </c>
      <c r="Q3" s="242">
        <f>-LOG10(Q2/100)/O3</f>
        <v>21.857116583960877</v>
      </c>
      <c r="R3" s="9" t="s">
        <v>140</v>
      </c>
      <c r="W3">
        <f t="array" ref="W3:X7">LINEST(Q13:Q18,B13:B18,1,1)</f>
        <v>4.6945445410845561E-2</v>
      </c>
      <c r="X3">
        <v>-4.5936857468953232</v>
      </c>
      <c r="Y3" s="241">
        <f>(-LN(Y2)-X3)/W3</f>
        <v>21.755893465255806</v>
      </c>
      <c r="Z3" s="9" t="s">
        <v>140</v>
      </c>
    </row>
    <row r="4" spans="1:26">
      <c r="L4">
        <v>6.944421445185308E-4</v>
      </c>
      <c r="M4">
        <v>2.2906961252590244E-2</v>
      </c>
      <c r="O4" s="84">
        <v>2.912382941216522E-4</v>
      </c>
      <c r="P4" s="84" t="e">
        <v>#N/A</v>
      </c>
      <c r="W4">
        <v>1.5990121299151844E-3</v>
      </c>
      <c r="X4">
        <v>5.2745227506006458E-2</v>
      </c>
    </row>
    <row r="5" spans="1:26">
      <c r="L5" s="246">
        <v>0.99538080981626009</v>
      </c>
      <c r="M5">
        <v>2.6154836850371285E-2</v>
      </c>
      <c r="O5" s="203">
        <v>0.99899400955197448</v>
      </c>
      <c r="P5" s="84">
        <v>2.3531819875631528E-2</v>
      </c>
      <c r="Q5" s="204">
        <f>SQRT(O5)</f>
        <v>0.9994968782102196</v>
      </c>
      <c r="R5" s="9" t="s">
        <v>141</v>
      </c>
      <c r="W5">
        <v>0.99538080981626009</v>
      </c>
      <c r="X5">
        <v>6.0223737441356208E-2</v>
      </c>
    </row>
    <row r="6" spans="1:26">
      <c r="L6" s="246">
        <v>861.95265422940417</v>
      </c>
      <c r="M6" s="246">
        <v>4</v>
      </c>
      <c r="N6" s="37">
        <f>TINV(0.05,M6)</f>
        <v>2.7764451050438028</v>
      </c>
      <c r="O6" s="84">
        <v>4965.22611876065</v>
      </c>
      <c r="P6" s="84">
        <v>5</v>
      </c>
      <c r="W6">
        <v>861.95265422940554</v>
      </c>
      <c r="X6">
        <v>4</v>
      </c>
    </row>
    <row r="7" spans="1:26">
      <c r="L7" s="246">
        <v>0.58964068487589172</v>
      </c>
      <c r="M7" s="246">
        <v>2.7363019626781586E-3</v>
      </c>
      <c r="O7" s="84">
        <v>2.7494768166456089</v>
      </c>
      <c r="P7" s="84">
        <v>2.768732733295835E-3</v>
      </c>
      <c r="W7">
        <v>3.1262148330046786</v>
      </c>
      <c r="X7">
        <v>1.4507594205621638E-2</v>
      </c>
    </row>
    <row r="12" spans="1:26" ht="30">
      <c r="B12" s="35" t="s">
        <v>52</v>
      </c>
      <c r="C12" s="35" t="s">
        <v>51</v>
      </c>
      <c r="D12" s="180" t="s">
        <v>127</v>
      </c>
      <c r="Q12" s="239" t="s">
        <v>165</v>
      </c>
    </row>
    <row r="13" spans="1:26" ht="14.25">
      <c r="B13" s="34">
        <v>5.0999999999999996</v>
      </c>
      <c r="C13" s="34">
        <v>78.099999999999994</v>
      </c>
      <c r="D13" s="181">
        <f>-LOG10(C13/100)</f>
        <v>0.10734896612269972</v>
      </c>
      <c r="Q13" s="240">
        <f>-LN(C13)</f>
        <v>-4.3579900568456402</v>
      </c>
    </row>
    <row r="14" spans="1:26" ht="14.25">
      <c r="B14" s="34">
        <v>17</v>
      </c>
      <c r="C14" s="34">
        <v>43.2</v>
      </c>
      <c r="D14" s="181">
        <f t="shared" ref="D14:D18" si="0">-LOG10(C14/100)</f>
        <v>0.36451625318508785</v>
      </c>
      <c r="Q14" s="240">
        <f t="shared" ref="Q14:Q18" si="1">-LN(C14)</f>
        <v>-3.7658404952500648</v>
      </c>
    </row>
    <row r="15" spans="1:26" ht="14.25">
      <c r="B15" s="34">
        <v>25.5</v>
      </c>
      <c r="C15" s="34">
        <v>31.4</v>
      </c>
      <c r="D15" s="181">
        <f t="shared" si="0"/>
        <v>0.50307035192678506</v>
      </c>
      <c r="Q15" s="240">
        <f t="shared" si="1"/>
        <v>-3.4468078929142076</v>
      </c>
    </row>
    <row r="16" spans="1:26" ht="14.25">
      <c r="B16" s="34">
        <v>34</v>
      </c>
      <c r="C16" s="34">
        <v>18.8</v>
      </c>
      <c r="D16" s="181">
        <f t="shared" si="0"/>
        <v>0.72584215073632019</v>
      </c>
      <c r="Q16" s="240">
        <f t="shared" si="1"/>
        <v>-2.9338568698359038</v>
      </c>
    </row>
    <row r="17" spans="1:22" ht="14.25">
      <c r="B17" s="34">
        <v>42.5</v>
      </c>
      <c r="C17" s="34">
        <v>14.5</v>
      </c>
      <c r="D17" s="181">
        <f t="shared" si="0"/>
        <v>0.83863199776502517</v>
      </c>
      <c r="Q17" s="240">
        <f t="shared" si="1"/>
        <v>-2.6741486494265287</v>
      </c>
    </row>
    <row r="18" spans="1:22" ht="14.25">
      <c r="B18" s="34">
        <v>51</v>
      </c>
      <c r="C18" s="34">
        <v>8.6999999999999993</v>
      </c>
      <c r="D18" s="181">
        <f t="shared" si="0"/>
        <v>1.0604807473813815</v>
      </c>
      <c r="Q18" s="240">
        <f t="shared" si="1"/>
        <v>-2.1633230256605378</v>
      </c>
    </row>
    <row r="23" spans="1:22">
      <c r="S23" s="245" t="s">
        <v>167</v>
      </c>
      <c r="T23" s="14"/>
      <c r="U23" s="9" t="s">
        <v>168</v>
      </c>
      <c r="V23" s="9" t="s">
        <v>169</v>
      </c>
    </row>
    <row r="24" spans="1:22">
      <c r="S24">
        <f t="array" ref="S24:T28">LOGEST(C13:C18,B13:B18,1,1)</f>
        <v>0.95413944885616886</v>
      </c>
      <c r="T24">
        <v>98.858125534943085</v>
      </c>
      <c r="U24" s="246">
        <f>-LOG10(S24)</f>
        <v>2.0388147892420588E-2</v>
      </c>
      <c r="V24" s="246">
        <f>2-LOG10(T24)</f>
        <v>4.9876285257430819E-3</v>
      </c>
    </row>
    <row r="25" spans="1:22">
      <c r="S25">
        <v>1.5990121299151844E-3</v>
      </c>
      <c r="T25">
        <v>5.2745227506006458E-2</v>
      </c>
    </row>
    <row r="26" spans="1:22">
      <c r="S26" s="246">
        <v>0.99538080981626009</v>
      </c>
      <c r="T26">
        <v>6.0223737441356208E-2</v>
      </c>
    </row>
    <row r="27" spans="1:22" ht="14.25">
      <c r="A27" s="38" t="s">
        <v>50</v>
      </c>
      <c r="S27" s="246">
        <v>861.95265422940554</v>
      </c>
      <c r="T27" s="246">
        <v>4</v>
      </c>
    </row>
    <row r="28" spans="1:22">
      <c r="S28" s="246">
        <v>3.1262148330046786</v>
      </c>
      <c r="T28" s="246">
        <v>1.4507594205621638E-2</v>
      </c>
    </row>
    <row r="30" spans="1:22" ht="16.5">
      <c r="A30" s="33" t="s">
        <v>154</v>
      </c>
    </row>
    <row r="32" spans="1:22" ht="32.25">
      <c r="B32" s="35" t="s">
        <v>70</v>
      </c>
      <c r="C32" s="35" t="s">
        <v>48</v>
      </c>
      <c r="D32" s="205" t="s">
        <v>148</v>
      </c>
    </row>
    <row r="33" spans="1:4" ht="14.25">
      <c r="B33" s="34">
        <v>15</v>
      </c>
      <c r="C33" s="34">
        <v>-338.5</v>
      </c>
      <c r="D33" s="24">
        <f>LOG10(B33)</f>
        <v>1.1760912590556813</v>
      </c>
    </row>
    <row r="34" spans="1:4" ht="14.25">
      <c r="B34" s="34">
        <v>35</v>
      </c>
      <c r="C34" s="34">
        <v>-329.8</v>
      </c>
      <c r="D34" s="24">
        <f t="shared" ref="D34:D40" si="2">LOG10(B34)</f>
        <v>1.5440680443502757</v>
      </c>
    </row>
    <row r="35" spans="1:4" ht="14.25">
      <c r="B35" s="34">
        <v>89</v>
      </c>
      <c r="C35" s="34">
        <v>-316.5</v>
      </c>
      <c r="D35" s="24">
        <f t="shared" si="2"/>
        <v>1.9493900066449128</v>
      </c>
    </row>
    <row r="36" spans="1:4" ht="14.25">
      <c r="B36" s="34">
        <v>150</v>
      </c>
      <c r="C36" s="34">
        <v>-312.2</v>
      </c>
      <c r="D36" s="24">
        <f t="shared" si="2"/>
        <v>2.1760912590556813</v>
      </c>
    </row>
    <row r="37" spans="1:4" ht="14.25">
      <c r="B37" s="34">
        <v>230</v>
      </c>
      <c r="C37" s="34">
        <v>-303.7</v>
      </c>
      <c r="D37" s="24">
        <f t="shared" si="2"/>
        <v>2.3617278360175931</v>
      </c>
    </row>
    <row r="38" spans="1:4" ht="14.25">
      <c r="B38" s="34">
        <v>400</v>
      </c>
      <c r="C38" s="34">
        <v>-296.39999999999998</v>
      </c>
      <c r="D38" s="24">
        <f t="shared" si="2"/>
        <v>2.6020599913279625</v>
      </c>
    </row>
    <row r="39" spans="1:4" ht="14.25">
      <c r="B39" s="34">
        <v>500</v>
      </c>
      <c r="C39" s="34">
        <v>-295.5</v>
      </c>
      <c r="D39" s="24">
        <f t="shared" si="2"/>
        <v>2.6989700043360187</v>
      </c>
    </row>
    <row r="40" spans="1:4" ht="14.25">
      <c r="B40" s="34">
        <v>650</v>
      </c>
      <c r="C40" s="34">
        <v>-292.5</v>
      </c>
      <c r="D40" s="24">
        <f t="shared" si="2"/>
        <v>2.8129133566428557</v>
      </c>
    </row>
    <row r="47" spans="1:4" ht="14.25">
      <c r="A47" s="33"/>
    </row>
  </sheetData>
  <hyperlinks>
    <hyperlink ref="C1" r:id="rId1"/>
  </hyperlinks>
  <pageMargins left="0.7" right="0.7" top="0.78740157499999996" bottom="0.78740157499999996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8:N20"/>
  <sheetViews>
    <sheetView zoomScaleNormal="100" workbookViewId="0">
      <selection activeCell="L14" sqref="L14"/>
    </sheetView>
  </sheetViews>
  <sheetFormatPr defaultRowHeight="12.75"/>
  <cols>
    <col min="1" max="1" width="12.5703125" customWidth="1"/>
    <col min="2" max="11" width="7.140625" customWidth="1"/>
  </cols>
  <sheetData>
    <row r="8" spans="1:14">
      <c r="A8" s="8" t="s">
        <v>128</v>
      </c>
      <c r="B8" s="182">
        <v>1.0900000000000001</v>
      </c>
      <c r="C8" s="182">
        <v>1.0900000000000001</v>
      </c>
      <c r="D8" s="182">
        <v>1.0900000000000001</v>
      </c>
      <c r="E8" s="182">
        <v>1.0900000000000001</v>
      </c>
      <c r="F8" s="182">
        <v>1.0900000000000001</v>
      </c>
      <c r="G8" s="182">
        <v>1.0900000000000001</v>
      </c>
      <c r="H8" s="182">
        <v>1.0900000000000001</v>
      </c>
      <c r="I8" s="182">
        <v>1.0900000000000001</v>
      </c>
      <c r="J8" s="182">
        <v>1.0900000000000001</v>
      </c>
      <c r="K8" s="182">
        <v>1.0900000000000001</v>
      </c>
    </row>
    <row r="9" spans="1:14">
      <c r="A9" s="9" t="s">
        <v>156</v>
      </c>
      <c r="B9" s="183">
        <v>1.1000000000000001</v>
      </c>
      <c r="C9" s="183">
        <v>1.08</v>
      </c>
      <c r="D9" s="183">
        <v>1.0900000000000001</v>
      </c>
      <c r="E9" s="183">
        <v>1.08</v>
      </c>
      <c r="F9" s="183">
        <v>1.1000000000000001</v>
      </c>
      <c r="G9" s="183">
        <v>1.08</v>
      </c>
      <c r="H9" s="183">
        <v>1.1000000000000001</v>
      </c>
      <c r="I9" s="183">
        <v>1.0900000000000001</v>
      </c>
      <c r="J9" s="183">
        <v>1.1100000000000001</v>
      </c>
      <c r="K9" s="183">
        <v>1.08</v>
      </c>
      <c r="L9" s="8" t="s">
        <v>151</v>
      </c>
      <c r="M9" s="143">
        <v>10</v>
      </c>
    </row>
    <row r="10" spans="1:14">
      <c r="B10" s="23">
        <f>B9-B8</f>
        <v>1.0000000000000009E-2</v>
      </c>
      <c r="C10" s="27">
        <f t="shared" ref="C10:K10" si="0">C9-C8</f>
        <v>-1.0000000000000009E-2</v>
      </c>
      <c r="D10" s="194">
        <f t="shared" si="0"/>
        <v>0</v>
      </c>
      <c r="E10" s="27">
        <f t="shared" si="0"/>
        <v>-1.0000000000000009E-2</v>
      </c>
      <c r="F10" s="23">
        <f t="shared" si="0"/>
        <v>1.0000000000000009E-2</v>
      </c>
      <c r="G10" s="27">
        <f t="shared" si="0"/>
        <v>-1.0000000000000009E-2</v>
      </c>
      <c r="H10" s="23">
        <f t="shared" si="0"/>
        <v>1.0000000000000009E-2</v>
      </c>
      <c r="I10" s="194">
        <f t="shared" si="0"/>
        <v>0</v>
      </c>
      <c r="J10" s="23">
        <f t="shared" si="0"/>
        <v>2.0000000000000018E-2</v>
      </c>
      <c r="K10" s="27">
        <f t="shared" si="0"/>
        <v>-1.0000000000000009E-2</v>
      </c>
    </row>
    <row r="11" spans="1:14">
      <c r="A11" s="8" t="s">
        <v>129</v>
      </c>
      <c r="B11">
        <f>ABS(B10)</f>
        <v>1.0000000000000009E-2</v>
      </c>
      <c r="C11">
        <f>ABS(C10)</f>
        <v>1.0000000000000009E-2</v>
      </c>
      <c r="D11" s="193"/>
      <c r="E11">
        <f t="shared" ref="E11:K11" si="1">ABS(E10)</f>
        <v>1.0000000000000009E-2</v>
      </c>
      <c r="F11">
        <f t="shared" si="1"/>
        <v>1.0000000000000009E-2</v>
      </c>
      <c r="G11">
        <f t="shared" si="1"/>
        <v>1.0000000000000009E-2</v>
      </c>
      <c r="H11">
        <f t="shared" si="1"/>
        <v>1.0000000000000009E-2</v>
      </c>
      <c r="I11" s="193"/>
      <c r="J11">
        <f t="shared" si="1"/>
        <v>2.0000000000000018E-2</v>
      </c>
      <c r="K11">
        <f t="shared" si="1"/>
        <v>1.0000000000000009E-2</v>
      </c>
      <c r="L11" s="8" t="s">
        <v>151</v>
      </c>
      <c r="M11" s="143">
        <v>8</v>
      </c>
    </row>
    <row r="12" spans="1:14">
      <c r="A12" s="8" t="s">
        <v>130</v>
      </c>
      <c r="B12">
        <f>RANK(B11,$B$11:$K$11,1)</f>
        <v>1</v>
      </c>
      <c r="C12">
        <f>RANK(C11,$B$11:$K$11,1)</f>
        <v>1</v>
      </c>
      <c r="D12" t="e">
        <f>RANK(D11,$B$11:$K$11,1)</f>
        <v>#N/A</v>
      </c>
      <c r="E12">
        <f t="shared" ref="E12:K12" si="2">RANK(E11,$B$11:$K$11,1)</f>
        <v>1</v>
      </c>
      <c r="F12">
        <f t="shared" si="2"/>
        <v>1</v>
      </c>
      <c r="G12">
        <f t="shared" si="2"/>
        <v>1</v>
      </c>
      <c r="H12">
        <f t="shared" si="2"/>
        <v>1</v>
      </c>
      <c r="I12" t="e">
        <f t="shared" si="2"/>
        <v>#N/A</v>
      </c>
      <c r="J12">
        <f t="shared" si="2"/>
        <v>8</v>
      </c>
      <c r="K12">
        <f t="shared" si="2"/>
        <v>1</v>
      </c>
    </row>
    <row r="13" spans="1:14" ht="13.5" thickBot="1">
      <c r="A13" s="8" t="s">
        <v>103</v>
      </c>
      <c r="B13" s="36">
        <v>4</v>
      </c>
      <c r="C13" s="36"/>
      <c r="D13" s="36"/>
      <c r="E13" s="36"/>
      <c r="F13" s="36">
        <v>4</v>
      </c>
      <c r="G13" s="36"/>
      <c r="H13" s="36">
        <v>4</v>
      </c>
      <c r="I13" s="36"/>
      <c r="J13" s="36">
        <v>8</v>
      </c>
      <c r="K13" s="36"/>
      <c r="L13" s="223">
        <f>SUM(B13:K13)</f>
        <v>20</v>
      </c>
    </row>
    <row r="14" spans="1:14" ht="13.5" thickBot="1">
      <c r="B14" s="220"/>
      <c r="C14" s="221">
        <v>4</v>
      </c>
      <c r="D14" s="220"/>
      <c r="E14" s="221">
        <v>4</v>
      </c>
      <c r="F14" s="220"/>
      <c r="G14" s="221">
        <v>4</v>
      </c>
      <c r="H14" s="220"/>
      <c r="I14" s="220"/>
      <c r="J14" s="220"/>
      <c r="K14" s="221">
        <v>4</v>
      </c>
      <c r="L14" s="222">
        <f>SUM(B14:K14)</f>
        <v>16</v>
      </c>
      <c r="M14" s="207" t="s">
        <v>120</v>
      </c>
      <c r="N14" s="208">
        <v>3</v>
      </c>
    </row>
    <row r="18" spans="1:2">
      <c r="B18" s="110"/>
    </row>
    <row r="20" spans="1:2">
      <c r="A20" s="9" t="s">
        <v>149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2" sqref="M2"/>
    </sheetView>
  </sheetViews>
  <sheetFormatPr defaultRowHeight="12.75"/>
  <sheetData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L19"/>
  <sheetViews>
    <sheetView workbookViewId="0">
      <selection activeCell="H19" sqref="H19"/>
    </sheetView>
  </sheetViews>
  <sheetFormatPr defaultRowHeight="12.75"/>
  <sheetData>
    <row r="2" spans="1:12">
      <c r="L2" s="37" t="s">
        <v>158</v>
      </c>
    </row>
    <row r="9" spans="1:12">
      <c r="C9" s="31" t="s">
        <v>103</v>
      </c>
      <c r="D9" s="30" t="s">
        <v>161</v>
      </c>
      <c r="E9" s="232" t="s">
        <v>163</v>
      </c>
      <c r="F9" s="8" t="s">
        <v>162</v>
      </c>
    </row>
    <row r="10" spans="1:12">
      <c r="A10" s="226" t="s">
        <v>159</v>
      </c>
      <c r="B10" s="230">
        <v>51</v>
      </c>
      <c r="C10" s="234">
        <f>RANK(B10,$B$10:$B$19,0)</f>
        <v>6</v>
      </c>
    </row>
    <row r="11" spans="1:12">
      <c r="B11" s="231">
        <v>67</v>
      </c>
      <c r="C11" s="234">
        <f t="shared" ref="C11:C19" si="0">RANK(B11,$B$10:$B$19,0)</f>
        <v>1</v>
      </c>
    </row>
    <row r="12" spans="1:12">
      <c r="B12" s="231">
        <v>56</v>
      </c>
      <c r="C12" s="234">
        <f t="shared" si="0"/>
        <v>3</v>
      </c>
    </row>
    <row r="13" spans="1:12">
      <c r="B13" s="231">
        <v>63</v>
      </c>
      <c r="C13" s="234">
        <f t="shared" si="0"/>
        <v>2</v>
      </c>
      <c r="D13" s="235">
        <f>SUM(C10:C13)</f>
        <v>12</v>
      </c>
      <c r="E13" s="90">
        <v>4</v>
      </c>
      <c r="F13">
        <f>$E$13*$E$19+E13*(E13+1)/2-D13</f>
        <v>22</v>
      </c>
    </row>
    <row r="14" spans="1:12">
      <c r="A14" s="227" t="s">
        <v>160</v>
      </c>
      <c r="B14" s="228">
        <v>45</v>
      </c>
      <c r="C14" s="233">
        <f t="shared" si="0"/>
        <v>9</v>
      </c>
    </row>
    <row r="15" spans="1:12">
      <c r="B15" s="228">
        <v>54</v>
      </c>
      <c r="C15" s="233">
        <f t="shared" si="0"/>
        <v>4</v>
      </c>
    </row>
    <row r="16" spans="1:12">
      <c r="B16" s="228">
        <v>48</v>
      </c>
      <c r="C16" s="233">
        <f t="shared" si="0"/>
        <v>8</v>
      </c>
    </row>
    <row r="17" spans="2:8">
      <c r="B17" s="228">
        <v>44</v>
      </c>
      <c r="C17" s="233">
        <f t="shared" si="0"/>
        <v>10</v>
      </c>
    </row>
    <row r="18" spans="2:8">
      <c r="B18" s="228">
        <v>53</v>
      </c>
      <c r="C18" s="233">
        <f t="shared" si="0"/>
        <v>5</v>
      </c>
    </row>
    <row r="19" spans="2:8">
      <c r="B19" s="229">
        <v>50</v>
      </c>
      <c r="C19" s="233">
        <f t="shared" si="0"/>
        <v>7</v>
      </c>
      <c r="D19" s="236">
        <f>SUM(C14:C19)</f>
        <v>43</v>
      </c>
      <c r="E19" s="90">
        <v>6</v>
      </c>
      <c r="F19" s="237">
        <f>$E$13*$E$19+E19*(E19+1)/2-D19</f>
        <v>2</v>
      </c>
      <c r="G19" s="31" t="s">
        <v>164</v>
      </c>
      <c r="H19" s="238">
        <v>2</v>
      </c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N34"/>
  <sheetViews>
    <sheetView zoomScale="115" zoomScaleNormal="115" workbookViewId="0">
      <selection activeCell="J17" sqref="J17"/>
    </sheetView>
  </sheetViews>
  <sheetFormatPr defaultRowHeight="12.75"/>
  <cols>
    <col min="6" max="6" width="6.5703125" customWidth="1"/>
  </cols>
  <sheetData>
    <row r="2" spans="2:14">
      <c r="M2" s="211" t="s">
        <v>136</v>
      </c>
      <c r="N2" s="176"/>
    </row>
    <row r="3" spans="2:14">
      <c r="M3" s="211" t="s">
        <v>137</v>
      </c>
      <c r="N3" s="176"/>
    </row>
    <row r="7" spans="2:14">
      <c r="B7" t="s">
        <v>97</v>
      </c>
      <c r="C7" t="s">
        <v>98</v>
      </c>
      <c r="E7" s="8" t="s">
        <v>134</v>
      </c>
      <c r="F7" s="8" t="s">
        <v>135</v>
      </c>
      <c r="G7" s="9" t="s">
        <v>103</v>
      </c>
    </row>
    <row r="8" spans="2:14">
      <c r="B8">
        <v>11.68</v>
      </c>
      <c r="C8">
        <v>11.23</v>
      </c>
      <c r="E8" s="90">
        <f>B8-C8</f>
        <v>0.44999999999999929</v>
      </c>
      <c r="F8">
        <f>ABS(E8)</f>
        <v>0.44999999999999929</v>
      </c>
      <c r="G8">
        <f>RANK(F8,$F$8:$F$15,1)</f>
        <v>6</v>
      </c>
    </row>
    <row r="9" spans="2:14">
      <c r="B9">
        <v>23.91</v>
      </c>
      <c r="C9">
        <v>23.77</v>
      </c>
      <c r="E9" s="90">
        <f t="shared" ref="E9:E15" si="0">B9-C9</f>
        <v>0.14000000000000057</v>
      </c>
      <c r="F9">
        <f t="shared" ref="F9:F15" si="1">ABS(E9)</f>
        <v>0.14000000000000057</v>
      </c>
      <c r="G9">
        <v>1.5</v>
      </c>
    </row>
    <row r="10" spans="2:14">
      <c r="B10">
        <v>32.270000000000003</v>
      </c>
      <c r="C10">
        <v>33.04</v>
      </c>
      <c r="E10" s="192">
        <f t="shared" si="0"/>
        <v>-0.76999999999999602</v>
      </c>
      <c r="F10">
        <f t="shared" si="1"/>
        <v>0.76999999999999602</v>
      </c>
      <c r="H10" s="37">
        <v>8</v>
      </c>
    </row>
    <row r="11" spans="2:14">
      <c r="B11">
        <v>38.29</v>
      </c>
      <c r="C11">
        <v>38.43</v>
      </c>
      <c r="E11" s="192">
        <f t="shared" si="0"/>
        <v>-0.14000000000000057</v>
      </c>
      <c r="F11">
        <f t="shared" si="1"/>
        <v>0.14000000000000057</v>
      </c>
      <c r="H11" s="37">
        <v>1.5</v>
      </c>
    </row>
    <row r="12" spans="2:14">
      <c r="B12">
        <v>47.04</v>
      </c>
      <c r="C12">
        <v>46.79</v>
      </c>
      <c r="E12" s="90">
        <f t="shared" si="0"/>
        <v>0.25</v>
      </c>
      <c r="F12">
        <f t="shared" si="1"/>
        <v>0.25</v>
      </c>
      <c r="G12">
        <f t="shared" ref="G12:G15" si="2">RANK(F12,$F$8:$F$15,1)</f>
        <v>3</v>
      </c>
    </row>
    <row r="13" spans="2:14">
      <c r="B13">
        <v>51.34</v>
      </c>
      <c r="C13">
        <v>50.96</v>
      </c>
      <c r="E13" s="90">
        <f t="shared" si="0"/>
        <v>0.38000000000000256</v>
      </c>
      <c r="F13">
        <f t="shared" si="1"/>
        <v>0.38000000000000256</v>
      </c>
      <c r="G13">
        <f t="shared" si="2"/>
        <v>4</v>
      </c>
    </row>
    <row r="14" spans="2:14">
      <c r="B14">
        <v>68.23</v>
      </c>
      <c r="C14">
        <v>67.849999999999994</v>
      </c>
      <c r="E14" s="90">
        <f t="shared" si="0"/>
        <v>0.38000000000000966</v>
      </c>
      <c r="F14">
        <f t="shared" si="1"/>
        <v>0.38000000000000966</v>
      </c>
      <c r="G14">
        <f t="shared" si="2"/>
        <v>5</v>
      </c>
    </row>
    <row r="15" spans="2:14">
      <c r="B15">
        <v>79.239999999999995</v>
      </c>
      <c r="C15">
        <v>78.55</v>
      </c>
      <c r="E15" s="90">
        <f t="shared" si="0"/>
        <v>0.68999999999999773</v>
      </c>
      <c r="F15">
        <f t="shared" si="1"/>
        <v>0.68999999999999773</v>
      </c>
      <c r="G15">
        <f t="shared" si="2"/>
        <v>7</v>
      </c>
    </row>
    <row r="16" spans="2:14" ht="13.5" thickBot="1"/>
    <row r="17" spans="1:10" ht="13.5" thickBot="1">
      <c r="A17" s="8" t="s">
        <v>131</v>
      </c>
      <c r="B17" s="45">
        <f>AVERAGE(B8:B15)</f>
        <v>44</v>
      </c>
      <c r="C17" s="45">
        <f>AVERAGE(C8:C15)</f>
        <v>43.827500000000001</v>
      </c>
      <c r="G17">
        <f>SUM(G8:G15)</f>
        <v>26.5</v>
      </c>
      <c r="H17" s="206">
        <f>SUM(H8:H15)</f>
        <v>9.5</v>
      </c>
      <c r="I17" s="207" t="s">
        <v>120</v>
      </c>
      <c r="J17" s="208">
        <v>3</v>
      </c>
    </row>
    <row r="18" spans="1:10">
      <c r="A18" s="8" t="s">
        <v>132</v>
      </c>
      <c r="B18">
        <f>STDEV(B8:B15)</f>
        <v>22.394052781932977</v>
      </c>
      <c r="C18">
        <f>STDEV(C8:C15)</f>
        <v>22.209344719219938</v>
      </c>
    </row>
    <row r="19" spans="1:10">
      <c r="A19" s="8" t="s">
        <v>133</v>
      </c>
      <c r="B19">
        <f>VAR(B8:B15)</f>
        <v>501.49360000000007</v>
      </c>
      <c r="C19">
        <f>VAR(C8:C15)</f>
        <v>493.2549928571425</v>
      </c>
    </row>
    <row r="20" spans="1:10" ht="13.5" thickBot="1"/>
    <row r="21" spans="1:10" ht="13.5" thickBot="1">
      <c r="B21" s="209">
        <f>(B17-C17)*SQRT(7)/SQRT(B19+C19)</f>
        <v>1.4470430532131441E-2</v>
      </c>
      <c r="C21" s="210">
        <f>TINV(0.05,14)</f>
        <v>2.1447866812820848</v>
      </c>
    </row>
    <row r="34" spans="2:2">
      <c r="B34" s="9" t="s">
        <v>138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34" sqref="N34"/>
    </sheetView>
  </sheetViews>
  <sheetFormatPr defaultRowHeight="12.75"/>
  <sheetData/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2:I38"/>
  <sheetViews>
    <sheetView topLeftCell="B1" workbookViewId="0">
      <selection activeCell="P25" sqref="P25"/>
    </sheetView>
  </sheetViews>
  <sheetFormatPr defaultRowHeight="12.75"/>
  <sheetData>
    <row r="12" spans="2:8">
      <c r="B12" s="9" t="s">
        <v>150</v>
      </c>
    </row>
    <row r="13" spans="2:8">
      <c r="B13" s="212">
        <v>1</v>
      </c>
      <c r="C13" s="213">
        <v>14.2</v>
      </c>
      <c r="D13" s="213">
        <v>16.8</v>
      </c>
      <c r="E13" s="213">
        <v>19.100000000000001</v>
      </c>
      <c r="F13" s="213">
        <v>15.5</v>
      </c>
      <c r="G13" s="213">
        <v>16</v>
      </c>
      <c r="H13" s="214">
        <v>15.9</v>
      </c>
    </row>
    <row r="14" spans="2:8">
      <c r="B14" s="212">
        <v>2</v>
      </c>
      <c r="C14" s="213">
        <v>15.4</v>
      </c>
      <c r="D14" s="213">
        <v>20</v>
      </c>
      <c r="E14" s="213">
        <v>18</v>
      </c>
      <c r="F14" s="213">
        <v>15.4</v>
      </c>
      <c r="G14" s="213">
        <v>16.100000000000001</v>
      </c>
      <c r="H14" s="214">
        <v>17.7</v>
      </c>
    </row>
    <row r="15" spans="2:8">
      <c r="B15" s="212">
        <v>3</v>
      </c>
      <c r="C15" s="213">
        <v>18.3</v>
      </c>
      <c r="D15" s="213">
        <v>20.100000000000001</v>
      </c>
      <c r="E15" s="213">
        <v>17.7</v>
      </c>
      <c r="F15" s="213">
        <v>17.899999999999999</v>
      </c>
      <c r="G15" s="213">
        <v>19.3</v>
      </c>
      <c r="H15" s="214">
        <v>16.899999999999999</v>
      </c>
    </row>
    <row r="17" spans="2:9">
      <c r="C17" s="8" t="s">
        <v>130</v>
      </c>
      <c r="D17" s="8" t="s">
        <v>103</v>
      </c>
    </row>
    <row r="18" spans="2:9" ht="13.5" thickBot="1">
      <c r="B18" s="215">
        <v>14.2</v>
      </c>
      <c r="C18">
        <f>RANK(B18,$B$18:$B$35,0)</f>
        <v>18</v>
      </c>
      <c r="D18">
        <f>C18</f>
        <v>18</v>
      </c>
    </row>
    <row r="19" spans="2:9" ht="13.5" thickBot="1">
      <c r="B19" s="215">
        <v>16.8</v>
      </c>
      <c r="C19">
        <f t="shared" ref="C19:C35" si="0">RANK(B19,$B$18:$B$35,0)</f>
        <v>11</v>
      </c>
      <c r="D19">
        <f t="shared" ref="D19:D35" si="1">C19</f>
        <v>11</v>
      </c>
      <c r="F19" s="218" t="s">
        <v>152</v>
      </c>
      <c r="G19" s="219">
        <f>12/18/19*(F23+F29+F35)-3*19</f>
        <v>4.973684210526315</v>
      </c>
      <c r="H19" s="224" t="s">
        <v>153</v>
      </c>
      <c r="I19" s="225">
        <v>5.8010000000000002</v>
      </c>
    </row>
    <row r="20" spans="2:9">
      <c r="B20" s="215">
        <v>19.100000000000001</v>
      </c>
      <c r="C20">
        <f t="shared" si="0"/>
        <v>4</v>
      </c>
      <c r="D20">
        <f t="shared" si="1"/>
        <v>4</v>
      </c>
    </row>
    <row r="21" spans="2:9">
      <c r="B21" s="215">
        <v>15.5</v>
      </c>
      <c r="C21">
        <f t="shared" si="0"/>
        <v>15</v>
      </c>
      <c r="D21">
        <f t="shared" si="1"/>
        <v>15</v>
      </c>
    </row>
    <row r="22" spans="2:9">
      <c r="B22" s="215">
        <v>16</v>
      </c>
      <c r="C22">
        <f t="shared" si="0"/>
        <v>13</v>
      </c>
      <c r="D22">
        <f t="shared" si="1"/>
        <v>13</v>
      </c>
    </row>
    <row r="23" spans="2:9">
      <c r="B23" s="215">
        <v>15.9</v>
      </c>
      <c r="C23">
        <f t="shared" si="0"/>
        <v>14</v>
      </c>
      <c r="D23">
        <f t="shared" si="1"/>
        <v>14</v>
      </c>
      <c r="E23" s="215">
        <f>SUM(D18:D23)</f>
        <v>75</v>
      </c>
      <c r="F23">
        <f>E23*E23/6</f>
        <v>937.5</v>
      </c>
    </row>
    <row r="24" spans="2:9">
      <c r="B24" s="216">
        <v>15.4</v>
      </c>
      <c r="C24">
        <f t="shared" si="0"/>
        <v>16</v>
      </c>
      <c r="D24" s="20">
        <v>16.5</v>
      </c>
    </row>
    <row r="25" spans="2:9">
      <c r="B25" s="216">
        <v>20</v>
      </c>
      <c r="C25">
        <f t="shared" si="0"/>
        <v>2</v>
      </c>
      <c r="D25">
        <f t="shared" si="1"/>
        <v>2</v>
      </c>
    </row>
    <row r="26" spans="2:9">
      <c r="B26" s="216">
        <v>18</v>
      </c>
      <c r="C26">
        <f t="shared" si="0"/>
        <v>6</v>
      </c>
      <c r="D26">
        <f t="shared" si="1"/>
        <v>6</v>
      </c>
    </row>
    <row r="27" spans="2:9">
      <c r="B27" s="216">
        <v>15.4</v>
      </c>
      <c r="C27">
        <f t="shared" si="0"/>
        <v>16</v>
      </c>
      <c r="D27" s="20">
        <v>16.5</v>
      </c>
    </row>
    <row r="28" spans="2:9">
      <c r="B28" s="216">
        <v>16.100000000000001</v>
      </c>
      <c r="C28">
        <f t="shared" si="0"/>
        <v>12</v>
      </c>
      <c r="D28">
        <f t="shared" si="1"/>
        <v>12</v>
      </c>
    </row>
    <row r="29" spans="2:9">
      <c r="B29" s="216">
        <v>17.7</v>
      </c>
      <c r="C29">
        <f t="shared" si="0"/>
        <v>8</v>
      </c>
      <c r="D29" s="20">
        <v>8.5</v>
      </c>
      <c r="E29" s="216">
        <f>SUM(D24:D29)</f>
        <v>61.5</v>
      </c>
      <c r="F29">
        <f>E29*E29/6</f>
        <v>630.375</v>
      </c>
    </row>
    <row r="30" spans="2:9">
      <c r="B30" s="217">
        <v>18.3</v>
      </c>
      <c r="C30">
        <f t="shared" si="0"/>
        <v>5</v>
      </c>
      <c r="D30">
        <f t="shared" si="1"/>
        <v>5</v>
      </c>
    </row>
    <row r="31" spans="2:9">
      <c r="B31" s="217">
        <v>20.100000000000001</v>
      </c>
      <c r="C31">
        <f t="shared" si="0"/>
        <v>1</v>
      </c>
      <c r="D31">
        <f t="shared" si="1"/>
        <v>1</v>
      </c>
    </row>
    <row r="32" spans="2:9">
      <c r="B32" s="217">
        <v>17.7</v>
      </c>
      <c r="C32">
        <f t="shared" si="0"/>
        <v>8</v>
      </c>
      <c r="D32" s="20">
        <v>8.5</v>
      </c>
    </row>
    <row r="33" spans="2:6">
      <c r="B33" s="217">
        <v>17.899999999999999</v>
      </c>
      <c r="C33">
        <f t="shared" si="0"/>
        <v>7</v>
      </c>
      <c r="D33">
        <f t="shared" si="1"/>
        <v>7</v>
      </c>
    </row>
    <row r="34" spans="2:6">
      <c r="B34" s="217">
        <v>19.3</v>
      </c>
      <c r="C34">
        <f t="shared" si="0"/>
        <v>3</v>
      </c>
      <c r="D34">
        <f t="shared" si="1"/>
        <v>3</v>
      </c>
    </row>
    <row r="35" spans="2:6">
      <c r="B35" s="217">
        <v>16.899999999999999</v>
      </c>
      <c r="C35">
        <f t="shared" si="0"/>
        <v>10</v>
      </c>
      <c r="D35">
        <f t="shared" si="1"/>
        <v>10</v>
      </c>
      <c r="E35" s="217">
        <f>SUM(D30:D35)</f>
        <v>34.5</v>
      </c>
      <c r="F35">
        <f>E35*E35/6</f>
        <v>198.375</v>
      </c>
    </row>
    <row r="37" spans="2:6">
      <c r="D37" s="8" t="s">
        <v>151</v>
      </c>
      <c r="E37" s="143">
        <v>18</v>
      </c>
    </row>
    <row r="38" spans="2:6">
      <c r="D38" s="9"/>
    </row>
  </sheetData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G19" sqref="G19"/>
    </sheetView>
  </sheetViews>
  <sheetFormatPr defaultRowHeight="12.75"/>
  <cols>
    <col min="4" max="4" width="15.5703125" customWidth="1"/>
  </cols>
  <sheetData>
    <row r="1" spans="1:7">
      <c r="A1" s="9" t="s">
        <v>95</v>
      </c>
    </row>
    <row r="2" spans="1:7">
      <c r="A2" s="9" t="s">
        <v>96</v>
      </c>
    </row>
    <row r="3" spans="1:7">
      <c r="A3" s="9"/>
    </row>
    <row r="4" spans="1:7">
      <c r="A4" s="9" t="s">
        <v>123</v>
      </c>
    </row>
    <row r="5" spans="1:7">
      <c r="A5" s="9"/>
    </row>
    <row r="6" spans="1:7">
      <c r="A6" s="59" t="s">
        <v>97</v>
      </c>
      <c r="B6" s="59" t="s">
        <v>98</v>
      </c>
      <c r="C6" s="31" t="s">
        <v>99</v>
      </c>
      <c r="D6" s="140" t="s">
        <v>100</v>
      </c>
      <c r="E6" s="31" t="s">
        <v>104</v>
      </c>
      <c r="F6" s="31" t="s">
        <v>103</v>
      </c>
      <c r="G6" s="116" t="s">
        <v>105</v>
      </c>
    </row>
    <row r="7" spans="1:7">
      <c r="A7" s="59">
        <v>114</v>
      </c>
      <c r="B7" s="59">
        <v>116</v>
      </c>
      <c r="C7" s="115">
        <f>A7-B7</f>
        <v>-2</v>
      </c>
      <c r="D7" s="141">
        <f>SIGN(C7)</f>
        <v>-1</v>
      </c>
      <c r="E7" s="115">
        <f>ABS(C7)</f>
        <v>2</v>
      </c>
      <c r="F7">
        <f>RANK(E7,$E$7:$E$16,1)</f>
        <v>1</v>
      </c>
      <c r="G7" s="37">
        <f>F7*SIGN(C7)</f>
        <v>-1</v>
      </c>
    </row>
    <row r="8" spans="1:7">
      <c r="A8" s="59">
        <v>49</v>
      </c>
      <c r="B8" s="59">
        <v>42</v>
      </c>
      <c r="C8" s="115">
        <f t="shared" ref="C8:C16" si="0">A8-B8</f>
        <v>7</v>
      </c>
      <c r="D8" s="142" t="s">
        <v>102</v>
      </c>
      <c r="E8" s="115">
        <f t="shared" ref="E8:E16" si="1">ABS(C8)</f>
        <v>7</v>
      </c>
      <c r="F8">
        <f>7.5</f>
        <v>7.5</v>
      </c>
      <c r="G8">
        <f t="shared" ref="G8:G16" si="2">F8*SIGN(C8)</f>
        <v>7.5</v>
      </c>
    </row>
    <row r="9" spans="1:7">
      <c r="A9" s="59">
        <v>100</v>
      </c>
      <c r="B9" s="59">
        <v>95</v>
      </c>
      <c r="C9" s="115">
        <f t="shared" si="0"/>
        <v>5</v>
      </c>
      <c r="D9" s="142" t="s">
        <v>102</v>
      </c>
      <c r="E9" s="115">
        <f t="shared" si="1"/>
        <v>5</v>
      </c>
      <c r="F9">
        <f>RANK(E9,$E$7:$E$16,1)</f>
        <v>4</v>
      </c>
      <c r="G9">
        <f t="shared" si="2"/>
        <v>4</v>
      </c>
    </row>
    <row r="10" spans="1:7">
      <c r="A10" s="59">
        <v>20</v>
      </c>
      <c r="B10" s="59">
        <v>10</v>
      </c>
      <c r="C10" s="115">
        <f t="shared" si="0"/>
        <v>10</v>
      </c>
      <c r="D10" s="142" t="s">
        <v>102</v>
      </c>
      <c r="E10" s="115">
        <f t="shared" si="1"/>
        <v>10</v>
      </c>
      <c r="F10">
        <f>9.5</f>
        <v>9.5</v>
      </c>
      <c r="G10">
        <f t="shared" si="2"/>
        <v>9.5</v>
      </c>
    </row>
    <row r="11" spans="1:7">
      <c r="A11" s="59">
        <v>90</v>
      </c>
      <c r="B11" s="59">
        <v>94</v>
      </c>
      <c r="C11" s="115">
        <f t="shared" si="0"/>
        <v>-4</v>
      </c>
      <c r="D11" s="142" t="s">
        <v>101</v>
      </c>
      <c r="E11" s="115">
        <f t="shared" si="1"/>
        <v>4</v>
      </c>
      <c r="F11">
        <f>2.5</f>
        <v>2.5</v>
      </c>
      <c r="G11" s="37">
        <f t="shared" si="2"/>
        <v>-2.5</v>
      </c>
    </row>
    <row r="12" spans="1:7">
      <c r="A12" s="59">
        <v>106</v>
      </c>
      <c r="B12" s="59">
        <v>100</v>
      </c>
      <c r="C12" s="115">
        <f t="shared" si="0"/>
        <v>6</v>
      </c>
      <c r="D12" s="142" t="s">
        <v>102</v>
      </c>
      <c r="E12" s="115">
        <f t="shared" si="1"/>
        <v>6</v>
      </c>
      <c r="F12">
        <v>5.5</v>
      </c>
      <c r="G12">
        <f t="shared" si="2"/>
        <v>5.5</v>
      </c>
    </row>
    <row r="13" spans="1:7">
      <c r="A13" s="59">
        <v>100</v>
      </c>
      <c r="B13" s="59">
        <v>96</v>
      </c>
      <c r="C13" s="115">
        <f t="shared" si="0"/>
        <v>4</v>
      </c>
      <c r="D13" s="142" t="s">
        <v>102</v>
      </c>
      <c r="E13" s="115">
        <f t="shared" si="1"/>
        <v>4</v>
      </c>
      <c r="F13">
        <v>2.5</v>
      </c>
      <c r="G13">
        <f t="shared" si="2"/>
        <v>2.5</v>
      </c>
    </row>
    <row r="14" spans="1:7">
      <c r="A14" s="59">
        <v>95</v>
      </c>
      <c r="B14" s="59">
        <v>102</v>
      </c>
      <c r="C14" s="115">
        <f t="shared" si="0"/>
        <v>-7</v>
      </c>
      <c r="D14" s="142" t="s">
        <v>101</v>
      </c>
      <c r="E14" s="115">
        <f t="shared" si="1"/>
        <v>7</v>
      </c>
      <c r="F14">
        <v>7.5</v>
      </c>
      <c r="G14" s="37">
        <f t="shared" si="2"/>
        <v>-7.5</v>
      </c>
    </row>
    <row r="15" spans="1:7">
      <c r="A15" s="59">
        <v>160</v>
      </c>
      <c r="B15" s="59">
        <v>150</v>
      </c>
      <c r="C15" s="115">
        <f t="shared" si="0"/>
        <v>10</v>
      </c>
      <c r="D15" s="142" t="s">
        <v>102</v>
      </c>
      <c r="E15" s="115">
        <f t="shared" si="1"/>
        <v>10</v>
      </c>
      <c r="F15">
        <v>9.5</v>
      </c>
      <c r="G15">
        <f t="shared" si="2"/>
        <v>9.5</v>
      </c>
    </row>
    <row r="16" spans="1:7">
      <c r="A16" s="59">
        <v>110</v>
      </c>
      <c r="B16" s="59">
        <v>104</v>
      </c>
      <c r="C16" s="115">
        <f t="shared" si="0"/>
        <v>6</v>
      </c>
      <c r="D16" s="142" t="s">
        <v>102</v>
      </c>
      <c r="E16" s="115">
        <f t="shared" si="1"/>
        <v>6</v>
      </c>
      <c r="F16">
        <v>5.5</v>
      </c>
      <c r="G16">
        <f t="shared" si="2"/>
        <v>5.5</v>
      </c>
    </row>
    <row r="17" spans="3:8">
      <c r="D17" s="10"/>
    </row>
    <row r="18" spans="3:8">
      <c r="D18" s="10"/>
      <c r="G18" s="20">
        <f>SUM(G8:G10,G12:G13,G15:G16)</f>
        <v>44</v>
      </c>
    </row>
    <row r="19" spans="3:8">
      <c r="C19" s="9" t="s">
        <v>107</v>
      </c>
      <c r="D19" s="10">
        <f>(2*3-10)/SQRT(10)</f>
        <v>-1.2649110640673518</v>
      </c>
      <c r="G19" s="54">
        <f>ABS(SUM(G7,G11,G14))</f>
        <v>11</v>
      </c>
      <c r="H19" s="37" t="s">
        <v>157</v>
      </c>
    </row>
    <row r="20" spans="3:8">
      <c r="D20" s="10"/>
    </row>
    <row r="21" spans="3:8">
      <c r="D21" s="10"/>
    </row>
    <row r="22" spans="3:8">
      <c r="D22" s="10"/>
    </row>
    <row r="23" spans="3:8">
      <c r="D23" s="10"/>
    </row>
    <row r="24" spans="3:8">
      <c r="D24" s="10"/>
    </row>
    <row r="25" spans="3:8">
      <c r="D25" s="10"/>
    </row>
    <row r="26" spans="3:8">
      <c r="D26" s="10"/>
    </row>
    <row r="27" spans="3:8">
      <c r="C27" s="9" t="s">
        <v>119</v>
      </c>
      <c r="D27" s="10"/>
    </row>
    <row r="28" spans="3:8">
      <c r="C28" s="9" t="s">
        <v>106</v>
      </c>
      <c r="D28" s="10"/>
    </row>
    <row r="29" spans="3:8">
      <c r="C29" s="8" t="s">
        <v>121</v>
      </c>
      <c r="D29" s="143">
        <v>0.34399999999999997</v>
      </c>
    </row>
    <row r="30" spans="3:8">
      <c r="D30" s="9" t="s">
        <v>122</v>
      </c>
    </row>
  </sheetData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M35" sqref="M35"/>
    </sheetView>
  </sheetViews>
  <sheetFormatPr defaultRowHeight="12.75"/>
  <cols>
    <col min="1" max="1" width="9.140625" style="118"/>
    <col min="2" max="2" width="10.140625" style="118" customWidth="1"/>
    <col min="3" max="3" width="11" style="118" customWidth="1"/>
    <col min="4" max="16384" width="9.140625" style="118"/>
  </cols>
  <sheetData>
    <row r="1" spans="1:3">
      <c r="A1" s="119" t="s">
        <v>111</v>
      </c>
    </row>
    <row r="2" spans="1:3">
      <c r="A2" s="119" t="s">
        <v>112</v>
      </c>
    </row>
    <row r="3" spans="1:3">
      <c r="A3" s="119" t="s">
        <v>113</v>
      </c>
      <c r="B3" s="119" t="s">
        <v>114</v>
      </c>
      <c r="C3" s="119" t="s">
        <v>115</v>
      </c>
    </row>
    <row r="4" spans="1:3">
      <c r="A4" s="123">
        <v>6</v>
      </c>
      <c r="B4" s="124">
        <v>2</v>
      </c>
      <c r="C4" s="124">
        <v>0</v>
      </c>
    </row>
    <row r="5" spans="1:3">
      <c r="A5" s="123">
        <v>7</v>
      </c>
      <c r="B5" s="124">
        <v>3</v>
      </c>
      <c r="C5" s="124">
        <v>2</v>
      </c>
    </row>
    <row r="6" spans="1:3">
      <c r="A6" s="123">
        <v>8</v>
      </c>
      <c r="B6" s="124">
        <v>5</v>
      </c>
      <c r="C6" s="124">
        <v>3</v>
      </c>
    </row>
    <row r="7" spans="1:3">
      <c r="A7" s="123">
        <v>9</v>
      </c>
      <c r="B7" s="124">
        <v>8</v>
      </c>
      <c r="C7" s="124">
        <v>5</v>
      </c>
    </row>
    <row r="8" spans="1:3">
      <c r="A8" s="123">
        <v>10</v>
      </c>
      <c r="B8" s="124">
        <v>10</v>
      </c>
      <c r="C8" s="124">
        <v>8</v>
      </c>
    </row>
    <row r="9" spans="1:3">
      <c r="A9" s="123">
        <v>11</v>
      </c>
      <c r="B9" s="124">
        <v>13</v>
      </c>
      <c r="C9" s="124">
        <v>10</v>
      </c>
    </row>
    <row r="10" spans="1:3">
      <c r="A10" s="123">
        <v>12</v>
      </c>
      <c r="B10" s="124">
        <v>17</v>
      </c>
      <c r="C10" s="124">
        <v>13</v>
      </c>
    </row>
    <row r="11" spans="1:3">
      <c r="A11" s="123">
        <v>13</v>
      </c>
      <c r="B11" s="124">
        <v>21</v>
      </c>
      <c r="C11" s="124">
        <v>17</v>
      </c>
    </row>
    <row r="12" spans="1:3">
      <c r="A12" s="123">
        <v>14</v>
      </c>
      <c r="B12" s="124">
        <v>25</v>
      </c>
      <c r="C12" s="124">
        <v>21</v>
      </c>
    </row>
    <row r="13" spans="1:3">
      <c r="A13" s="123">
        <v>15</v>
      </c>
      <c r="B13" s="124">
        <v>30</v>
      </c>
      <c r="C13" s="124">
        <v>25</v>
      </c>
    </row>
    <row r="14" spans="1:3">
      <c r="A14" s="123">
        <v>16</v>
      </c>
      <c r="B14" s="124">
        <v>35</v>
      </c>
      <c r="C14" s="124">
        <v>30</v>
      </c>
    </row>
    <row r="15" spans="1:3">
      <c r="A15" s="123">
        <v>17</v>
      </c>
      <c r="B15" s="124">
        <v>41</v>
      </c>
      <c r="C15" s="124">
        <v>35</v>
      </c>
    </row>
    <row r="16" spans="1:3">
      <c r="A16" s="123">
        <v>18</v>
      </c>
      <c r="B16" s="124">
        <v>47</v>
      </c>
      <c r="C16" s="124">
        <v>40</v>
      </c>
    </row>
    <row r="17" spans="1:3">
      <c r="A17" s="123">
        <v>19</v>
      </c>
      <c r="B17" s="124">
        <v>53</v>
      </c>
      <c r="C17" s="124">
        <v>46</v>
      </c>
    </row>
    <row r="18" spans="1:3">
      <c r="A18" s="123">
        <v>20</v>
      </c>
      <c r="B18" s="124">
        <v>60</v>
      </c>
      <c r="C18" s="124">
        <v>52</v>
      </c>
    </row>
    <row r="19" spans="1:3">
      <c r="A19" s="123">
        <v>21</v>
      </c>
      <c r="B19" s="124">
        <v>67</v>
      </c>
      <c r="C19" s="124">
        <v>59</v>
      </c>
    </row>
    <row r="20" spans="1:3">
      <c r="A20" s="123">
        <v>22</v>
      </c>
      <c r="B20" s="124">
        <v>75</v>
      </c>
      <c r="C20" s="124">
        <v>66</v>
      </c>
    </row>
    <row r="21" spans="1:3">
      <c r="A21" s="123">
        <v>23</v>
      </c>
      <c r="B21" s="124">
        <v>83</v>
      </c>
      <c r="C21" s="124">
        <v>73</v>
      </c>
    </row>
    <row r="22" spans="1:3">
      <c r="A22" s="123">
        <v>24</v>
      </c>
      <c r="B22" s="124">
        <v>91</v>
      </c>
      <c r="C22" s="124">
        <v>81</v>
      </c>
    </row>
    <row r="23" spans="1:3">
      <c r="A23" s="123">
        <v>25</v>
      </c>
      <c r="B23" s="124">
        <v>100</v>
      </c>
      <c r="C23" s="124">
        <v>89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43"/>
  <sheetViews>
    <sheetView workbookViewId="0">
      <selection activeCell="E33" sqref="E33"/>
    </sheetView>
  </sheetViews>
  <sheetFormatPr defaultRowHeight="12.75"/>
  <cols>
    <col min="1" max="1" width="4" style="118" customWidth="1"/>
    <col min="2" max="11" width="8.28515625" style="118" bestFit="1" customWidth="1"/>
    <col min="12" max="12" width="9.28515625" style="118" bestFit="1" customWidth="1"/>
    <col min="13" max="16384" width="9.140625" style="118"/>
  </cols>
  <sheetData>
    <row r="1" spans="1:12">
      <c r="A1" s="117" t="s">
        <v>108</v>
      </c>
      <c r="C1" s="119" t="s">
        <v>109</v>
      </c>
    </row>
    <row r="3" spans="1:12">
      <c r="A3" s="129" t="s">
        <v>117</v>
      </c>
    </row>
    <row r="4" spans="1:12">
      <c r="A4" s="129" t="s">
        <v>118</v>
      </c>
    </row>
    <row r="6" spans="1:12" ht="13.5" thickBot="1">
      <c r="A6" s="120" t="s">
        <v>110</v>
      </c>
      <c r="B6" s="125">
        <v>0</v>
      </c>
      <c r="C6" s="125">
        <v>1</v>
      </c>
      <c r="D6" s="125">
        <v>2</v>
      </c>
      <c r="E6" s="125">
        <v>3</v>
      </c>
      <c r="F6" s="125">
        <v>4</v>
      </c>
      <c r="G6" s="125">
        <v>5</v>
      </c>
      <c r="H6" s="125">
        <v>6</v>
      </c>
      <c r="I6" s="125">
        <v>7</v>
      </c>
      <c r="J6" s="125">
        <v>8</v>
      </c>
      <c r="K6" s="125">
        <v>9</v>
      </c>
      <c r="L6" s="125">
        <v>10</v>
      </c>
    </row>
    <row r="7" spans="1:12">
      <c r="A7" s="126">
        <v>4</v>
      </c>
      <c r="B7" s="130">
        <v>6.3E-2</v>
      </c>
      <c r="C7" s="131">
        <v>0.313</v>
      </c>
      <c r="D7" s="131">
        <v>0.68799999999999994</v>
      </c>
      <c r="E7" s="132"/>
      <c r="F7" s="132"/>
      <c r="G7" s="132"/>
      <c r="H7" s="132"/>
      <c r="I7" s="132"/>
      <c r="J7" s="132"/>
      <c r="K7" s="132"/>
      <c r="L7" s="132"/>
    </row>
    <row r="8" spans="1:12">
      <c r="A8" s="127">
        <v>5</v>
      </c>
      <c r="B8" s="133">
        <v>3.1E-2</v>
      </c>
      <c r="C8" s="134">
        <v>0.188</v>
      </c>
      <c r="D8" s="134">
        <v>0.5</v>
      </c>
      <c r="E8" s="135"/>
      <c r="F8" s="135"/>
      <c r="G8" s="135"/>
      <c r="H8" s="135"/>
      <c r="I8" s="135"/>
      <c r="J8" s="135"/>
      <c r="K8" s="135"/>
      <c r="L8" s="135"/>
    </row>
    <row r="9" spans="1:12">
      <c r="A9" s="127">
        <v>6</v>
      </c>
      <c r="B9" s="133">
        <v>1.6E-2</v>
      </c>
      <c r="C9" s="134">
        <v>0.109</v>
      </c>
      <c r="D9" s="134">
        <v>0.34399999999999997</v>
      </c>
      <c r="E9" s="134">
        <v>0.65600000000000003</v>
      </c>
      <c r="F9" s="135"/>
      <c r="G9" s="135"/>
      <c r="H9" s="135"/>
      <c r="I9" s="135"/>
      <c r="J9" s="135"/>
      <c r="K9" s="135"/>
      <c r="L9" s="135"/>
    </row>
    <row r="10" spans="1:12">
      <c r="A10" s="127">
        <v>7</v>
      </c>
      <c r="B10" s="133">
        <v>8.0000000000000002E-3</v>
      </c>
      <c r="C10" s="134">
        <v>6.2E-2</v>
      </c>
      <c r="D10" s="134">
        <v>0.22700000000000001</v>
      </c>
      <c r="E10" s="134">
        <v>0.5</v>
      </c>
      <c r="F10" s="135"/>
      <c r="G10" s="135"/>
      <c r="H10" s="135"/>
      <c r="I10" s="135"/>
      <c r="J10" s="135"/>
      <c r="K10" s="135"/>
      <c r="L10" s="135"/>
    </row>
    <row r="11" spans="1:12">
      <c r="A11" s="127">
        <v>8</v>
      </c>
      <c r="B11" s="133">
        <v>4.0000000000000001E-3</v>
      </c>
      <c r="C11" s="134">
        <v>3.5000000000000003E-2</v>
      </c>
      <c r="D11" s="134">
        <v>0.14499999999999999</v>
      </c>
      <c r="E11" s="134">
        <v>0.36299999999999999</v>
      </c>
      <c r="F11" s="134">
        <v>0.63700000000000001</v>
      </c>
      <c r="G11" s="135"/>
      <c r="H11" s="135"/>
      <c r="I11" s="135"/>
      <c r="J11" s="135"/>
      <c r="K11" s="135"/>
      <c r="L11" s="135"/>
    </row>
    <row r="12" spans="1:12">
      <c r="A12" s="127">
        <v>9</v>
      </c>
      <c r="B12" s="133">
        <v>2E-3</v>
      </c>
      <c r="C12" s="134">
        <v>0.02</v>
      </c>
      <c r="D12" s="134">
        <v>0.09</v>
      </c>
      <c r="E12" s="134">
        <v>0.254</v>
      </c>
      <c r="F12" s="134">
        <v>0.5</v>
      </c>
      <c r="G12" s="135"/>
      <c r="H12" s="135"/>
      <c r="I12" s="135"/>
      <c r="J12" s="135"/>
      <c r="K12" s="135"/>
      <c r="L12" s="135"/>
    </row>
    <row r="13" spans="1:12">
      <c r="A13" s="127">
        <v>10</v>
      </c>
      <c r="B13" s="133">
        <v>1E-3</v>
      </c>
      <c r="C13" s="134">
        <v>1.0999999999999999E-2</v>
      </c>
      <c r="D13" s="134">
        <v>5.5E-2</v>
      </c>
      <c r="E13" s="134">
        <v>0.17199999999999999</v>
      </c>
      <c r="F13" s="134">
        <v>0.377</v>
      </c>
      <c r="G13" s="134">
        <v>0.623</v>
      </c>
      <c r="H13" s="135"/>
      <c r="I13" s="135"/>
      <c r="J13" s="135"/>
      <c r="K13" s="135"/>
      <c r="L13" s="135"/>
    </row>
    <row r="14" spans="1:12">
      <c r="A14" s="127">
        <v>11</v>
      </c>
      <c r="B14" s="136"/>
      <c r="C14" s="134">
        <v>6.0000000000000001E-3</v>
      </c>
      <c r="D14" s="134">
        <v>3.3000000000000002E-2</v>
      </c>
      <c r="E14" s="134">
        <v>0.113</v>
      </c>
      <c r="F14" s="134">
        <v>0.27400000000000002</v>
      </c>
      <c r="G14" s="134">
        <v>0.5</v>
      </c>
      <c r="H14" s="135"/>
      <c r="I14" s="135"/>
      <c r="J14" s="135"/>
      <c r="K14" s="135"/>
      <c r="L14" s="135"/>
    </row>
    <row r="15" spans="1:12">
      <c r="A15" s="127">
        <v>12</v>
      </c>
      <c r="B15" s="136"/>
      <c r="C15" s="134">
        <v>3.0000000000000001E-3</v>
      </c>
      <c r="D15" s="134">
        <v>1.9E-2</v>
      </c>
      <c r="E15" s="134">
        <v>7.2999999999999995E-2</v>
      </c>
      <c r="F15" s="134">
        <v>0.19400000000000001</v>
      </c>
      <c r="G15" s="134">
        <v>0.38700000000000001</v>
      </c>
      <c r="H15" s="134">
        <v>0.61299999999999999</v>
      </c>
      <c r="I15" s="135"/>
      <c r="J15" s="135"/>
      <c r="K15" s="135"/>
      <c r="L15" s="135"/>
    </row>
    <row r="16" spans="1:12">
      <c r="A16" s="127">
        <v>13</v>
      </c>
      <c r="B16" s="136"/>
      <c r="C16" s="134">
        <v>2E-3</v>
      </c>
      <c r="D16" s="134">
        <v>1.0999999999999999E-2</v>
      </c>
      <c r="E16" s="134">
        <v>4.5999999999999999E-2</v>
      </c>
      <c r="F16" s="134">
        <v>0.13300000000000001</v>
      </c>
      <c r="G16" s="134">
        <v>0.29099999999999998</v>
      </c>
      <c r="H16" s="134">
        <v>0.5</v>
      </c>
      <c r="I16" s="135"/>
      <c r="J16" s="135"/>
      <c r="K16" s="135"/>
      <c r="L16" s="135"/>
    </row>
    <row r="17" spans="1:12">
      <c r="A17" s="127">
        <v>14</v>
      </c>
      <c r="B17" s="136"/>
      <c r="C17" s="134">
        <v>1E-3</v>
      </c>
      <c r="D17" s="134">
        <v>6.0000000000000001E-3</v>
      </c>
      <c r="E17" s="134">
        <v>2.9000000000000001E-2</v>
      </c>
      <c r="F17" s="134">
        <v>0.09</v>
      </c>
      <c r="G17" s="134">
        <v>0.21199999999999999</v>
      </c>
      <c r="H17" s="134">
        <v>0.39500000000000002</v>
      </c>
      <c r="I17" s="134">
        <v>0.60499999999999998</v>
      </c>
      <c r="J17" s="135"/>
      <c r="K17" s="135"/>
      <c r="L17" s="135"/>
    </row>
    <row r="18" spans="1:12">
      <c r="A18" s="127">
        <v>15</v>
      </c>
      <c r="B18" s="136"/>
      <c r="C18" s="135"/>
      <c r="D18" s="134">
        <v>4.0000000000000001E-3</v>
      </c>
      <c r="E18" s="134">
        <v>1.7999999999999999E-2</v>
      </c>
      <c r="F18" s="134">
        <v>5.8999999999999997E-2</v>
      </c>
      <c r="G18" s="134">
        <v>0.151</v>
      </c>
      <c r="H18" s="134">
        <v>0.30399999999999999</v>
      </c>
      <c r="I18" s="134">
        <v>0.5</v>
      </c>
      <c r="J18" s="135"/>
      <c r="K18" s="135"/>
      <c r="L18" s="135"/>
    </row>
    <row r="19" spans="1:12">
      <c r="A19" s="127">
        <v>16</v>
      </c>
      <c r="B19" s="136"/>
      <c r="C19" s="135"/>
      <c r="D19" s="134">
        <v>2E-3</v>
      </c>
      <c r="E19" s="134">
        <v>1.0999999999999999E-2</v>
      </c>
      <c r="F19" s="134">
        <v>3.7999999999999999E-2</v>
      </c>
      <c r="G19" s="134">
        <v>0.105</v>
      </c>
      <c r="H19" s="134">
        <v>0.22700000000000001</v>
      </c>
      <c r="I19" s="134">
        <v>0.40200000000000002</v>
      </c>
      <c r="J19" s="134">
        <v>0.59799999999999998</v>
      </c>
      <c r="K19" s="135"/>
      <c r="L19" s="135"/>
    </row>
    <row r="20" spans="1:12">
      <c r="A20" s="127">
        <v>17</v>
      </c>
      <c r="B20" s="136"/>
      <c r="C20" s="135"/>
      <c r="D20" s="134">
        <v>1E-3</v>
      </c>
      <c r="E20" s="134">
        <v>6.0000000000000001E-3</v>
      </c>
      <c r="F20" s="134">
        <v>2.5000000000000001E-2</v>
      </c>
      <c r="G20" s="134">
        <v>7.1999999999999995E-2</v>
      </c>
      <c r="H20" s="134">
        <v>0.16600000000000001</v>
      </c>
      <c r="I20" s="134">
        <v>0.315</v>
      </c>
      <c r="J20" s="134">
        <v>0.5</v>
      </c>
      <c r="K20" s="135"/>
      <c r="L20" s="135"/>
    </row>
    <row r="21" spans="1:12">
      <c r="A21" s="127">
        <v>18</v>
      </c>
      <c r="B21" s="136"/>
      <c r="C21" s="135"/>
      <c r="D21" s="134">
        <v>1E-3</v>
      </c>
      <c r="E21" s="134">
        <v>4.0000000000000001E-3</v>
      </c>
      <c r="F21" s="134">
        <v>1.4999999999999999E-2</v>
      </c>
      <c r="G21" s="134">
        <v>4.8000000000000001E-2</v>
      </c>
      <c r="H21" s="134">
        <v>0.11899999999999999</v>
      </c>
      <c r="I21" s="134">
        <v>0.24</v>
      </c>
      <c r="J21" s="134">
        <v>0.40699999999999997</v>
      </c>
      <c r="K21" s="134">
        <v>0.59299999999999997</v>
      </c>
      <c r="L21" s="135"/>
    </row>
    <row r="22" spans="1:12">
      <c r="A22" s="127">
        <v>19</v>
      </c>
      <c r="B22" s="136"/>
      <c r="C22" s="135"/>
      <c r="D22" s="135"/>
      <c r="E22" s="134">
        <v>2E-3</v>
      </c>
      <c r="F22" s="134">
        <v>0.01</v>
      </c>
      <c r="G22" s="134">
        <v>3.2000000000000001E-2</v>
      </c>
      <c r="H22" s="134">
        <v>8.4000000000000005E-2</v>
      </c>
      <c r="I22" s="134">
        <v>0.18</v>
      </c>
      <c r="J22" s="134">
        <v>0.32400000000000001</v>
      </c>
      <c r="K22" s="134">
        <v>0.5</v>
      </c>
      <c r="L22" s="135"/>
    </row>
    <row r="23" spans="1:12" ht="13.5" thickBot="1">
      <c r="A23" s="128">
        <v>20</v>
      </c>
      <c r="B23" s="137"/>
      <c r="C23" s="138"/>
      <c r="D23" s="138"/>
      <c r="E23" s="139">
        <v>1E-3</v>
      </c>
      <c r="F23" s="139">
        <v>6.0000000000000001E-3</v>
      </c>
      <c r="G23" s="139">
        <v>2.1000000000000001E-2</v>
      </c>
      <c r="H23" s="139">
        <v>5.8000000000000003E-2</v>
      </c>
      <c r="I23" s="139">
        <v>0.13200000000000001</v>
      </c>
      <c r="J23" s="139">
        <v>0.252</v>
      </c>
      <c r="K23" s="139">
        <v>0.41199999999999998</v>
      </c>
      <c r="L23" s="139">
        <v>0.58799999999999997</v>
      </c>
    </row>
    <row r="25" spans="1:12" ht="13.5" thickBot="1">
      <c r="A25" s="119" t="s">
        <v>116</v>
      </c>
    </row>
    <row r="26" spans="1:12" ht="13.5" thickBot="1">
      <c r="A26" s="120" t="s">
        <v>110</v>
      </c>
      <c r="B26" s="125">
        <v>0</v>
      </c>
      <c r="C26" s="125">
        <v>1</v>
      </c>
      <c r="D26" s="125">
        <v>2</v>
      </c>
      <c r="E26" s="125">
        <v>3</v>
      </c>
      <c r="F26" s="125">
        <v>4</v>
      </c>
      <c r="G26" s="125">
        <v>5</v>
      </c>
      <c r="H26" s="125">
        <v>6</v>
      </c>
      <c r="I26" s="125">
        <v>7</v>
      </c>
      <c r="J26" s="125">
        <v>8</v>
      </c>
      <c r="K26" s="125">
        <v>9</v>
      </c>
      <c r="L26" s="125">
        <v>10</v>
      </c>
    </row>
    <row r="27" spans="1:12">
      <c r="A27" s="126">
        <v>4</v>
      </c>
      <c r="B27" s="121">
        <f t="shared" ref="B27:D28" si="0">2*B7</f>
        <v>0.126</v>
      </c>
      <c r="C27" s="121">
        <f t="shared" si="0"/>
        <v>0.626</v>
      </c>
      <c r="D27" s="121">
        <f t="shared" si="0"/>
        <v>1.3759999999999999</v>
      </c>
      <c r="E27" s="121"/>
      <c r="F27" s="121"/>
      <c r="G27" s="121"/>
      <c r="H27" s="121"/>
      <c r="I27" s="121"/>
      <c r="J27" s="121"/>
      <c r="K27" s="121"/>
      <c r="L27" s="121"/>
    </row>
    <row r="28" spans="1:12">
      <c r="A28" s="127">
        <v>5</v>
      </c>
      <c r="B28" s="121">
        <f t="shared" si="0"/>
        <v>6.2E-2</v>
      </c>
      <c r="C28" s="121">
        <f t="shared" si="0"/>
        <v>0.376</v>
      </c>
      <c r="D28" s="121">
        <f t="shared" si="0"/>
        <v>1</v>
      </c>
      <c r="E28" s="121"/>
      <c r="F28" s="121"/>
      <c r="G28" s="121"/>
      <c r="H28" s="121"/>
      <c r="I28" s="121"/>
      <c r="J28" s="121"/>
      <c r="K28" s="121"/>
      <c r="L28" s="121"/>
    </row>
    <row r="29" spans="1:12">
      <c r="A29" s="127">
        <v>6</v>
      </c>
      <c r="B29" s="121">
        <f t="shared" ref="B29:L43" si="1">2*B9</f>
        <v>3.2000000000000001E-2</v>
      </c>
      <c r="C29" s="121">
        <f t="shared" si="1"/>
        <v>0.218</v>
      </c>
      <c r="D29" s="121">
        <f t="shared" si="1"/>
        <v>0.68799999999999994</v>
      </c>
      <c r="E29" s="121">
        <f t="shared" si="1"/>
        <v>1.3120000000000001</v>
      </c>
      <c r="F29" s="121"/>
      <c r="G29" s="121"/>
      <c r="H29" s="121"/>
      <c r="I29" s="121"/>
      <c r="J29" s="121"/>
      <c r="K29" s="121"/>
      <c r="L29" s="121"/>
    </row>
    <row r="30" spans="1:12">
      <c r="A30" s="127">
        <v>7</v>
      </c>
      <c r="B30" s="121">
        <f t="shared" si="1"/>
        <v>1.6E-2</v>
      </c>
      <c r="C30" s="121">
        <f t="shared" si="1"/>
        <v>0.124</v>
      </c>
      <c r="D30" s="121">
        <f t="shared" si="1"/>
        <v>0.45400000000000001</v>
      </c>
      <c r="E30" s="121">
        <f t="shared" si="1"/>
        <v>1</v>
      </c>
      <c r="F30" s="121"/>
      <c r="G30" s="121"/>
      <c r="H30" s="121"/>
      <c r="I30" s="121"/>
      <c r="J30" s="121"/>
      <c r="K30" s="121"/>
      <c r="L30" s="121"/>
    </row>
    <row r="31" spans="1:12">
      <c r="A31" s="127">
        <v>8</v>
      </c>
      <c r="B31" s="121">
        <f t="shared" si="1"/>
        <v>8.0000000000000002E-3</v>
      </c>
      <c r="C31" s="121">
        <f t="shared" si="1"/>
        <v>7.0000000000000007E-2</v>
      </c>
      <c r="D31" s="121">
        <f t="shared" si="1"/>
        <v>0.28999999999999998</v>
      </c>
      <c r="E31" s="121">
        <f t="shared" si="1"/>
        <v>0.72599999999999998</v>
      </c>
      <c r="F31" s="121">
        <f t="shared" si="1"/>
        <v>1.274</v>
      </c>
      <c r="G31" s="121"/>
      <c r="H31" s="121"/>
      <c r="I31" s="121"/>
      <c r="J31" s="121"/>
      <c r="K31" s="121"/>
      <c r="L31" s="121"/>
    </row>
    <row r="32" spans="1:12">
      <c r="A32" s="127">
        <v>9</v>
      </c>
      <c r="B32" s="121">
        <f t="shared" si="1"/>
        <v>4.0000000000000001E-3</v>
      </c>
      <c r="C32" s="121">
        <f t="shared" si="1"/>
        <v>0.04</v>
      </c>
      <c r="D32" s="121">
        <f t="shared" si="1"/>
        <v>0.18</v>
      </c>
      <c r="E32" s="121">
        <f t="shared" si="1"/>
        <v>0.50800000000000001</v>
      </c>
      <c r="F32" s="121">
        <f t="shared" si="1"/>
        <v>1</v>
      </c>
      <c r="G32" s="121"/>
      <c r="H32" s="121"/>
      <c r="I32" s="121"/>
      <c r="J32" s="121"/>
      <c r="K32" s="121"/>
      <c r="L32" s="121"/>
    </row>
    <row r="33" spans="1:12">
      <c r="A33" s="127">
        <v>10</v>
      </c>
      <c r="B33" s="121">
        <f t="shared" si="1"/>
        <v>2E-3</v>
      </c>
      <c r="C33" s="121">
        <f t="shared" si="1"/>
        <v>2.1999999999999999E-2</v>
      </c>
      <c r="D33" s="121">
        <f t="shared" si="1"/>
        <v>0.11</v>
      </c>
      <c r="E33" s="121">
        <f t="shared" si="1"/>
        <v>0.34399999999999997</v>
      </c>
      <c r="F33" s="121">
        <f t="shared" si="1"/>
        <v>0.754</v>
      </c>
      <c r="G33" s="121">
        <f t="shared" si="1"/>
        <v>1.246</v>
      </c>
      <c r="H33" s="121"/>
      <c r="I33" s="121"/>
      <c r="J33" s="121"/>
      <c r="K33" s="121"/>
      <c r="L33" s="121"/>
    </row>
    <row r="34" spans="1:12">
      <c r="A34" s="127">
        <v>11</v>
      </c>
      <c r="B34" s="121"/>
      <c r="C34" s="121">
        <f t="shared" si="1"/>
        <v>1.2E-2</v>
      </c>
      <c r="D34" s="121">
        <f t="shared" si="1"/>
        <v>6.6000000000000003E-2</v>
      </c>
      <c r="E34" s="121">
        <f t="shared" si="1"/>
        <v>0.22600000000000001</v>
      </c>
      <c r="F34" s="121">
        <f t="shared" si="1"/>
        <v>0.54800000000000004</v>
      </c>
      <c r="G34" s="121">
        <f t="shared" si="1"/>
        <v>1</v>
      </c>
      <c r="H34" s="121"/>
      <c r="I34" s="121"/>
      <c r="J34" s="121"/>
      <c r="K34" s="121"/>
      <c r="L34" s="121"/>
    </row>
    <row r="35" spans="1:12">
      <c r="A35" s="127">
        <v>12</v>
      </c>
      <c r="B35" s="121"/>
      <c r="C35" s="121">
        <f t="shared" si="1"/>
        <v>6.0000000000000001E-3</v>
      </c>
      <c r="D35" s="121">
        <f t="shared" si="1"/>
        <v>3.7999999999999999E-2</v>
      </c>
      <c r="E35" s="121">
        <f t="shared" si="1"/>
        <v>0.14599999999999999</v>
      </c>
      <c r="F35" s="121">
        <f t="shared" si="1"/>
        <v>0.38800000000000001</v>
      </c>
      <c r="G35" s="121">
        <f t="shared" si="1"/>
        <v>0.77400000000000002</v>
      </c>
      <c r="H35" s="121">
        <f t="shared" si="1"/>
        <v>1.226</v>
      </c>
      <c r="I35" s="121"/>
      <c r="J35" s="121"/>
      <c r="K35" s="121"/>
      <c r="L35" s="121"/>
    </row>
    <row r="36" spans="1:12">
      <c r="A36" s="127">
        <v>13</v>
      </c>
      <c r="B36" s="121"/>
      <c r="C36" s="121">
        <f t="shared" si="1"/>
        <v>4.0000000000000001E-3</v>
      </c>
      <c r="D36" s="121">
        <f t="shared" si="1"/>
        <v>2.1999999999999999E-2</v>
      </c>
      <c r="E36" s="121">
        <f t="shared" si="1"/>
        <v>9.1999999999999998E-2</v>
      </c>
      <c r="F36" s="121">
        <f t="shared" si="1"/>
        <v>0.26600000000000001</v>
      </c>
      <c r="G36" s="121">
        <f t="shared" si="1"/>
        <v>0.58199999999999996</v>
      </c>
      <c r="H36" s="121">
        <f t="shared" si="1"/>
        <v>1</v>
      </c>
      <c r="I36" s="121"/>
      <c r="J36" s="121"/>
      <c r="K36" s="121"/>
      <c r="L36" s="121"/>
    </row>
    <row r="37" spans="1:12">
      <c r="A37" s="127">
        <v>14</v>
      </c>
      <c r="B37" s="121"/>
      <c r="C37" s="121">
        <f t="shared" si="1"/>
        <v>2E-3</v>
      </c>
      <c r="D37" s="121">
        <f t="shared" si="1"/>
        <v>1.2E-2</v>
      </c>
      <c r="E37" s="121">
        <f t="shared" si="1"/>
        <v>5.8000000000000003E-2</v>
      </c>
      <c r="F37" s="121">
        <f t="shared" si="1"/>
        <v>0.18</v>
      </c>
      <c r="G37" s="121">
        <f t="shared" si="1"/>
        <v>0.42399999999999999</v>
      </c>
      <c r="H37" s="121">
        <f t="shared" si="1"/>
        <v>0.79</v>
      </c>
      <c r="I37" s="121">
        <f>2*I17</f>
        <v>1.21</v>
      </c>
      <c r="J37" s="121"/>
      <c r="K37" s="121"/>
      <c r="L37" s="121"/>
    </row>
    <row r="38" spans="1:12">
      <c r="A38" s="127">
        <v>15</v>
      </c>
      <c r="B38" s="121"/>
      <c r="C38" s="121"/>
      <c r="D38" s="121">
        <f t="shared" si="1"/>
        <v>8.0000000000000002E-3</v>
      </c>
      <c r="E38" s="121">
        <f t="shared" si="1"/>
        <v>3.5999999999999997E-2</v>
      </c>
      <c r="F38" s="121">
        <f t="shared" si="1"/>
        <v>0.11799999999999999</v>
      </c>
      <c r="G38" s="121">
        <f t="shared" si="1"/>
        <v>0.30199999999999999</v>
      </c>
      <c r="H38" s="121">
        <f t="shared" si="1"/>
        <v>0.60799999999999998</v>
      </c>
      <c r="I38" s="121">
        <f>2*I18</f>
        <v>1</v>
      </c>
      <c r="J38" s="121"/>
      <c r="K38" s="121"/>
      <c r="L38" s="121"/>
    </row>
    <row r="39" spans="1:12">
      <c r="A39" s="127">
        <v>16</v>
      </c>
      <c r="B39" s="121"/>
      <c r="C39" s="121"/>
      <c r="D39" s="121">
        <f t="shared" si="1"/>
        <v>4.0000000000000001E-3</v>
      </c>
      <c r="E39" s="121">
        <f t="shared" si="1"/>
        <v>2.1999999999999999E-2</v>
      </c>
      <c r="F39" s="121">
        <f t="shared" si="1"/>
        <v>7.5999999999999998E-2</v>
      </c>
      <c r="G39" s="121">
        <f t="shared" si="1"/>
        <v>0.21</v>
      </c>
      <c r="H39" s="121">
        <f t="shared" si="1"/>
        <v>0.45400000000000001</v>
      </c>
      <c r="I39" s="121">
        <f>2*I19</f>
        <v>0.80400000000000005</v>
      </c>
      <c r="J39" s="121">
        <f>2*J19</f>
        <v>1.196</v>
      </c>
      <c r="K39" s="121"/>
      <c r="L39" s="121"/>
    </row>
    <row r="40" spans="1:12">
      <c r="A40" s="127">
        <v>17</v>
      </c>
      <c r="B40" s="121"/>
      <c r="C40" s="121"/>
      <c r="D40" s="121">
        <f t="shared" si="1"/>
        <v>2E-3</v>
      </c>
      <c r="E40" s="121">
        <f t="shared" si="1"/>
        <v>1.2E-2</v>
      </c>
      <c r="F40" s="121">
        <f t="shared" si="1"/>
        <v>0.05</v>
      </c>
      <c r="G40" s="121">
        <f t="shared" si="1"/>
        <v>0.14399999999999999</v>
      </c>
      <c r="H40" s="121">
        <f t="shared" si="1"/>
        <v>0.33200000000000002</v>
      </c>
      <c r="I40" s="121">
        <f>2*I20</f>
        <v>0.63</v>
      </c>
      <c r="J40" s="121">
        <f>2*J20</f>
        <v>1</v>
      </c>
      <c r="K40" s="121"/>
      <c r="L40" s="121"/>
    </row>
    <row r="41" spans="1:12">
      <c r="A41" s="127">
        <v>18</v>
      </c>
      <c r="B41" s="121"/>
      <c r="C41" s="121"/>
      <c r="D41" s="121">
        <f t="shared" si="1"/>
        <v>2E-3</v>
      </c>
      <c r="E41" s="121">
        <f t="shared" si="1"/>
        <v>8.0000000000000002E-3</v>
      </c>
      <c r="F41" s="121">
        <f t="shared" si="1"/>
        <v>0.03</v>
      </c>
      <c r="G41" s="121">
        <f t="shared" si="1"/>
        <v>9.6000000000000002E-2</v>
      </c>
      <c r="H41" s="121">
        <f t="shared" si="1"/>
        <v>0.23799999999999999</v>
      </c>
      <c r="I41" s="121">
        <f>2*I21</f>
        <v>0.48</v>
      </c>
      <c r="J41" s="121">
        <f>2*J21</f>
        <v>0.81399999999999995</v>
      </c>
      <c r="K41" s="121">
        <f>2*K21</f>
        <v>1.1859999999999999</v>
      </c>
      <c r="L41" s="121"/>
    </row>
    <row r="42" spans="1:12">
      <c r="A42" s="127">
        <v>19</v>
      </c>
      <c r="B42" s="121"/>
      <c r="C42" s="121"/>
      <c r="D42" s="121"/>
      <c r="E42" s="121">
        <f t="shared" si="1"/>
        <v>4.0000000000000001E-3</v>
      </c>
      <c r="F42" s="121">
        <f t="shared" si="1"/>
        <v>0.02</v>
      </c>
      <c r="G42" s="121">
        <f t="shared" si="1"/>
        <v>6.4000000000000001E-2</v>
      </c>
      <c r="H42" s="121">
        <f t="shared" si="1"/>
        <v>0.16800000000000001</v>
      </c>
      <c r="I42" s="121">
        <f t="shared" si="1"/>
        <v>0.36</v>
      </c>
      <c r="J42" s="121">
        <f t="shared" si="1"/>
        <v>0.64800000000000002</v>
      </c>
      <c r="K42" s="121">
        <f t="shared" si="1"/>
        <v>1</v>
      </c>
      <c r="L42" s="121"/>
    </row>
    <row r="43" spans="1:12" ht="13.5" thickBot="1">
      <c r="A43" s="128">
        <v>20</v>
      </c>
      <c r="B43" s="122"/>
      <c r="C43" s="122"/>
      <c r="D43" s="122"/>
      <c r="E43" s="122">
        <f t="shared" si="1"/>
        <v>2E-3</v>
      </c>
      <c r="F43" s="122">
        <f t="shared" si="1"/>
        <v>1.2E-2</v>
      </c>
      <c r="G43" s="122">
        <f t="shared" si="1"/>
        <v>4.2000000000000003E-2</v>
      </c>
      <c r="H43" s="122">
        <f t="shared" si="1"/>
        <v>0.11600000000000001</v>
      </c>
      <c r="I43" s="122">
        <f t="shared" si="1"/>
        <v>0.26400000000000001</v>
      </c>
      <c r="J43" s="122">
        <f t="shared" si="1"/>
        <v>0.504</v>
      </c>
      <c r="K43" s="122">
        <f t="shared" si="1"/>
        <v>0.82399999999999995</v>
      </c>
      <c r="L43" s="122">
        <f t="shared" si="1"/>
        <v>1.1759999999999999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37"/>
  <sheetViews>
    <sheetView workbookViewId="0">
      <selection activeCell="F6" sqref="F6"/>
    </sheetView>
  </sheetViews>
  <sheetFormatPr defaultRowHeight="12.75"/>
  <sheetData>
    <row r="1" spans="1:18" ht="13.5" thickBot="1">
      <c r="A1" s="9" t="s">
        <v>64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5" thickBot="1">
      <c r="A2" s="82" t="s">
        <v>74</v>
      </c>
      <c r="B2" s="83" t="s">
        <v>75</v>
      </c>
      <c r="D2" s="17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78">
        <v>0.12</v>
      </c>
      <c r="B3" s="79">
        <v>133.5</v>
      </c>
      <c r="D3" s="179"/>
      <c r="E3" s="1"/>
      <c r="F3" s="179"/>
      <c r="G3" s="178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78">
        <v>0.23</v>
      </c>
      <c r="B4" s="79">
        <v>254.6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78">
        <v>0.36</v>
      </c>
      <c r="B5" s="79">
        <v>404.4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78">
        <v>0.51</v>
      </c>
      <c r="B6" s="79">
        <v>560.70000000000005</v>
      </c>
      <c r="D6" s="1"/>
      <c r="E6" s="1"/>
      <c r="F6" s="17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3.5" thickBot="1">
      <c r="A7" s="80">
        <v>0.62</v>
      </c>
      <c r="B7" s="81">
        <v>689.1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4:18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4:18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4:18">
      <c r="D19" s="179"/>
      <c r="E19" s="17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4:18">
      <c r="D20" s="1"/>
      <c r="E20" s="17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4:18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4:18">
      <c r="D22" s="1"/>
      <c r="E22" s="17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4:18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4:18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4:18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4:18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4:18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4:18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4:18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4:18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4:18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4:18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4:18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4:18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4:18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4:18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4:18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23"/>
  <sheetViews>
    <sheetView topLeftCell="C1" workbookViewId="0">
      <selection activeCell="F6" sqref="F6"/>
    </sheetView>
  </sheetViews>
  <sheetFormatPr defaultRowHeight="12.75"/>
  <sheetData>
    <row r="1" spans="1:7" ht="13.5" thickBot="1">
      <c r="A1" s="9" t="s">
        <v>64</v>
      </c>
    </row>
    <row r="2" spans="1:7" ht="13.5" thickBot="1">
      <c r="A2" s="82" t="s">
        <v>74</v>
      </c>
      <c r="B2" s="83" t="s">
        <v>75</v>
      </c>
      <c r="D2" s="9" t="s">
        <v>76</v>
      </c>
    </row>
    <row r="3" spans="1:7">
      <c r="A3" s="78">
        <v>0.12</v>
      </c>
      <c r="B3" s="79">
        <v>133.5</v>
      </c>
      <c r="D3" s="85">
        <f t="array" ref="D3:E7">LINEST(B3:B7,A3:A7,1,1)</f>
        <v>1106.6143170197226</v>
      </c>
      <c r="E3" s="84">
        <v>1.2259313367421214</v>
      </c>
      <c r="F3" s="37">
        <f>ABS(E3)/E4</f>
        <v>0.29176761734146556</v>
      </c>
      <c r="G3" s="9" t="s">
        <v>73</v>
      </c>
    </row>
    <row r="4" spans="1:7">
      <c r="A4" s="78">
        <v>0.23</v>
      </c>
      <c r="B4" s="79">
        <v>254.6</v>
      </c>
      <c r="D4" s="84">
        <v>10.242661159779662</v>
      </c>
      <c r="E4" s="84">
        <v>4.2017388629779715</v>
      </c>
    </row>
    <row r="5" spans="1:7">
      <c r="A5" s="78">
        <v>0.36</v>
      </c>
      <c r="B5" s="79">
        <v>404.4</v>
      </c>
      <c r="D5" s="84">
        <v>0.99974305350819115</v>
      </c>
      <c r="E5" s="84">
        <v>4.1515010589090764</v>
      </c>
    </row>
    <row r="6" spans="1:7">
      <c r="A6" s="78">
        <v>0.51</v>
      </c>
      <c r="B6" s="79">
        <v>560.70000000000005</v>
      </c>
      <c r="D6" s="84">
        <v>11672.582643220794</v>
      </c>
      <c r="E6" s="84">
        <v>3</v>
      </c>
      <c r="F6" s="37">
        <f>TINV(0.05,E6)</f>
        <v>3.1824463048868799</v>
      </c>
    </row>
    <row r="7" spans="1:7" ht="13.5" thickBot="1">
      <c r="A7" s="80">
        <v>0.62</v>
      </c>
      <c r="B7" s="81">
        <v>689.1</v>
      </c>
      <c r="D7" s="84">
        <v>201176.50711687366</v>
      </c>
      <c r="E7" s="84">
        <v>51.704883126369552</v>
      </c>
    </row>
    <row r="19" spans="4:5">
      <c r="D19" s="85">
        <f t="array" ref="D19:E23">LINEST(B3:B7,A3:A7,0,1)</f>
        <v>1109.2952222486333</v>
      </c>
      <c r="E19" s="85">
        <v>0</v>
      </c>
    </row>
    <row r="20" spans="4:5">
      <c r="D20" s="84">
        <v>3.9747564367033421</v>
      </c>
      <c r="E20" s="85" t="e">
        <v>#N/A</v>
      </c>
    </row>
    <row r="21" spans="4:5">
      <c r="D21" s="84">
        <v>0.99994864716242515</v>
      </c>
      <c r="E21" s="84">
        <v>3.6459589545632389</v>
      </c>
    </row>
    <row r="22" spans="4:5">
      <c r="D22" s="84">
        <v>77888.482458684797</v>
      </c>
      <c r="E22" s="85">
        <v>4</v>
      </c>
    </row>
    <row r="23" spans="4:5">
      <c r="D23" s="84">
        <v>1035372.8979332066</v>
      </c>
      <c r="E23" s="84">
        <v>53.17206679343947</v>
      </c>
    </row>
  </sheetData>
  <pageMargins left="0.7" right="0.7" top="0.78740157499999996" bottom="0.78740157499999996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44"/>
  <sheetViews>
    <sheetView workbookViewId="0">
      <selection activeCell="N29" sqref="N29"/>
    </sheetView>
  </sheetViews>
  <sheetFormatPr defaultRowHeight="12.75"/>
  <cols>
    <col min="1" max="1" width="14.7109375" customWidth="1"/>
    <col min="2" max="2" width="10.5703125" customWidth="1"/>
    <col min="3" max="3" width="7.28515625" customWidth="1"/>
    <col min="4" max="4" width="11.140625" bestFit="1" customWidth="1"/>
    <col min="5" max="5" width="9.5703125" customWidth="1"/>
  </cols>
  <sheetData>
    <row r="1" spans="1:12">
      <c r="A1" s="20" t="s">
        <v>43</v>
      </c>
      <c r="L1" t="s">
        <v>47</v>
      </c>
    </row>
    <row r="2" spans="1:12" ht="7.5" customHeight="1"/>
    <row r="3" spans="1:12" ht="37.5" customHeight="1">
      <c r="A3" s="19" t="s">
        <v>42</v>
      </c>
      <c r="B3" s="32" t="s">
        <v>41</v>
      </c>
      <c r="D3" s="31" t="s">
        <v>46</v>
      </c>
      <c r="E3" s="31" t="s">
        <v>45</v>
      </c>
      <c r="F3" s="30" t="s">
        <v>44</v>
      </c>
    </row>
    <row r="4" spans="1:12">
      <c r="A4" s="29">
        <v>1</v>
      </c>
      <c r="B4" s="17">
        <v>95</v>
      </c>
      <c r="C4" s="28">
        <f t="shared" ref="C4:C11" si="0">A$18*A4+B$18</f>
        <v>97.250000000000014</v>
      </c>
      <c r="D4" s="24">
        <f t="shared" ref="D4:D11" si="1">F$24*B$20/A$18*SQRT(1/1+1/COUNT(A$4:A$11)+((C4-AVERAGE(B$4:B$11))^2)/A$18/A$18/F$12 )</f>
        <v>0.15547407333023971</v>
      </c>
      <c r="E4" s="23">
        <f t="shared" ref="E4:E11" si="2">C4-F$24*B$20/A$18*SQRT(1/COUNT(A$4:A$11)+(C4-AVERAGE(B$4:B$11))^2/F$12)</f>
        <v>90.102109219627408</v>
      </c>
      <c r="F4" s="23">
        <f t="shared" ref="F4:F11" si="3">A4-A$12</f>
        <v>-3.5</v>
      </c>
    </row>
    <row r="5" spans="1:12">
      <c r="A5" s="29">
        <v>2</v>
      </c>
      <c r="B5" s="17">
        <v>201</v>
      </c>
      <c r="C5" s="28">
        <f t="shared" si="0"/>
        <v>198.57142857142858</v>
      </c>
      <c r="D5" s="24">
        <f t="shared" si="1"/>
        <v>0.14742678171730064</v>
      </c>
      <c r="E5" s="23">
        <f t="shared" si="2"/>
        <v>193.4656899965301</v>
      </c>
      <c r="F5" s="23">
        <f t="shared" si="3"/>
        <v>-2.5</v>
      </c>
    </row>
    <row r="6" spans="1:12">
      <c r="A6" s="29">
        <v>3</v>
      </c>
      <c r="B6" s="17">
        <v>305</v>
      </c>
      <c r="C6" s="28">
        <f t="shared" si="0"/>
        <v>299.89285714285717</v>
      </c>
      <c r="D6" s="24">
        <f t="shared" si="1"/>
        <v>0.14180844460258066</v>
      </c>
      <c r="E6" s="23">
        <f t="shared" si="2"/>
        <v>296.82919121460714</v>
      </c>
      <c r="F6" s="23">
        <f t="shared" si="3"/>
        <v>-1.5</v>
      </c>
    </row>
    <row r="7" spans="1:12">
      <c r="A7" s="29">
        <v>4</v>
      </c>
      <c r="B7" s="17">
        <v>399</v>
      </c>
      <c r="C7" s="28">
        <f t="shared" si="0"/>
        <v>401.21428571428572</v>
      </c>
      <c r="D7" s="24">
        <f t="shared" si="1"/>
        <v>0.13891409020378195</v>
      </c>
      <c r="E7" s="23">
        <f t="shared" si="2"/>
        <v>400.19213592962745</v>
      </c>
      <c r="F7" s="23">
        <f t="shared" si="3"/>
        <v>-0.5</v>
      </c>
    </row>
    <row r="8" spans="1:12">
      <c r="A8" s="29">
        <v>5</v>
      </c>
      <c r="B8" s="17">
        <v>495</v>
      </c>
      <c r="C8" s="28">
        <f t="shared" si="0"/>
        <v>502.53571428571428</v>
      </c>
      <c r="D8" s="24">
        <f t="shared" si="1"/>
        <v>0.13891409020378195</v>
      </c>
      <c r="E8" s="23">
        <f t="shared" si="2"/>
        <v>501.51356450105601</v>
      </c>
      <c r="F8" s="23">
        <f t="shared" si="3"/>
        <v>0.5</v>
      </c>
    </row>
    <row r="9" spans="1:12">
      <c r="A9" s="29">
        <v>6</v>
      </c>
      <c r="B9" s="17">
        <v>610</v>
      </c>
      <c r="C9" s="28">
        <f t="shared" si="0"/>
        <v>603.85714285714289</v>
      </c>
      <c r="D9" s="24">
        <f t="shared" si="1"/>
        <v>0.14180844460258066</v>
      </c>
      <c r="E9" s="23">
        <f t="shared" si="2"/>
        <v>600.79347692889291</v>
      </c>
      <c r="F9" s="23">
        <f t="shared" si="3"/>
        <v>1.5</v>
      </c>
    </row>
    <row r="10" spans="1:12">
      <c r="A10" s="29">
        <v>7</v>
      </c>
      <c r="B10" s="17">
        <v>700</v>
      </c>
      <c r="C10" s="28">
        <f t="shared" si="0"/>
        <v>705.17857142857144</v>
      </c>
      <c r="D10" s="24">
        <f t="shared" si="1"/>
        <v>0.14742678171730064</v>
      </c>
      <c r="E10" s="23">
        <f t="shared" si="2"/>
        <v>700.07283285367294</v>
      </c>
      <c r="F10" s="23">
        <f t="shared" si="3"/>
        <v>2.5</v>
      </c>
    </row>
    <row r="11" spans="1:12">
      <c r="A11" s="29">
        <v>8</v>
      </c>
      <c r="B11" s="17">
        <v>810</v>
      </c>
      <c r="C11" s="28">
        <f t="shared" si="0"/>
        <v>806.5</v>
      </c>
      <c r="D11" s="24">
        <f t="shared" si="1"/>
        <v>0.15547407333023971</v>
      </c>
      <c r="E11" s="23">
        <f t="shared" si="2"/>
        <v>799.35210921962744</v>
      </c>
      <c r="F11" s="23">
        <f t="shared" si="3"/>
        <v>3.5</v>
      </c>
    </row>
    <row r="12" spans="1:12">
      <c r="A12" s="27">
        <f>AVERAGE(A4:A11)</f>
        <v>4.5</v>
      </c>
      <c r="B12" s="27">
        <f>AVERAGE(B4:B11)</f>
        <v>451.875</v>
      </c>
      <c r="C12" s="26"/>
      <c r="D12" s="25"/>
      <c r="E12" s="24"/>
      <c r="F12" s="23">
        <f>SUMSQ(F4:F11)</f>
        <v>42</v>
      </c>
    </row>
    <row r="18" spans="1:6">
      <c r="A18" s="21">
        <f t="array" ref="A18:B22">LINEST(B4:B11,A4:A11,1,1)</f>
        <v>101.32142857142857</v>
      </c>
      <c r="B18" s="21">
        <v>-4.0714285714285552</v>
      </c>
    </row>
    <row r="19" spans="1:6">
      <c r="A19" s="21">
        <v>0.83460786887290983</v>
      </c>
      <c r="B19" s="21">
        <v>4.214563146638902</v>
      </c>
    </row>
    <row r="20" spans="1:6">
      <c r="A20" s="21">
        <v>0.99959305396522535</v>
      </c>
      <c r="B20" s="22">
        <v>5.4088771830161173</v>
      </c>
    </row>
    <row r="21" spans="1:6">
      <c r="A21" s="21">
        <v>14737.969684638865</v>
      </c>
      <c r="B21" s="21">
        <v>6</v>
      </c>
    </row>
    <row r="22" spans="1:6">
      <c r="A22" s="21">
        <v>431173.33928571426</v>
      </c>
      <c r="B22" s="21">
        <v>175.53571428571422</v>
      </c>
    </row>
    <row r="24" spans="1:6">
      <c r="F24">
        <f>TINV(0.05,6)</f>
        <v>2.4469118464326822</v>
      </c>
    </row>
    <row r="34" spans="1:2">
      <c r="A34" s="20" t="s">
        <v>43</v>
      </c>
    </row>
    <row r="36" spans="1:2" ht="38.25">
      <c r="A36" s="19" t="s">
        <v>42</v>
      </c>
      <c r="B36" s="18" t="s">
        <v>41</v>
      </c>
    </row>
    <row r="37" spans="1:2">
      <c r="A37" s="17">
        <v>0</v>
      </c>
      <c r="B37" s="17">
        <v>0</v>
      </c>
    </row>
    <row r="38" spans="1:2">
      <c r="A38" s="17">
        <v>2.5</v>
      </c>
      <c r="B38" s="17">
        <v>5.23</v>
      </c>
    </row>
    <row r="39" spans="1:2">
      <c r="A39" s="17">
        <v>5</v>
      </c>
      <c r="B39" s="17">
        <v>10.31</v>
      </c>
    </row>
    <row r="40" spans="1:2">
      <c r="A40" s="17">
        <v>7.5</v>
      </c>
      <c r="B40" s="17">
        <v>15.04</v>
      </c>
    </row>
    <row r="41" spans="1:2">
      <c r="A41" s="17">
        <v>10</v>
      </c>
      <c r="B41" s="17">
        <v>19.55</v>
      </c>
    </row>
    <row r="42" spans="1:2">
      <c r="A42" s="17"/>
      <c r="B42" s="17"/>
    </row>
    <row r="43" spans="1:2">
      <c r="A43" s="17"/>
      <c r="B43" s="17"/>
    </row>
    <row r="44" spans="1:2">
      <c r="A44" s="17"/>
      <c r="B44" s="17"/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I40" sqref="I40:K40"/>
    </sheetView>
  </sheetViews>
  <sheetFormatPr defaultRowHeight="12.75"/>
  <cols>
    <col min="1" max="1" width="14.140625" customWidth="1"/>
    <col min="2" max="2" width="11.42578125" customWidth="1"/>
    <col min="10" max="10" width="9.140625" customWidth="1"/>
    <col min="13" max="13" width="8.5703125" customWidth="1"/>
  </cols>
  <sheetData>
    <row r="1" spans="1:8">
      <c r="F1" s="9" t="s">
        <v>77</v>
      </c>
    </row>
    <row r="2" spans="1:8">
      <c r="A2" s="29">
        <v>1.01</v>
      </c>
      <c r="B2" s="53">
        <v>95</v>
      </c>
      <c r="C2" s="53">
        <v>93</v>
      </c>
      <c r="D2" s="53">
        <v>99</v>
      </c>
      <c r="E2" s="45"/>
    </row>
    <row r="3" spans="1:8">
      <c r="A3" s="29">
        <v>2.02</v>
      </c>
      <c r="B3" s="53">
        <v>201</v>
      </c>
      <c r="C3" s="53">
        <v>190</v>
      </c>
      <c r="D3" s="53">
        <v>198</v>
      </c>
      <c r="E3" s="45"/>
    </row>
    <row r="4" spans="1:8">
      <c r="A4" s="29">
        <v>3.03</v>
      </c>
      <c r="B4" s="53">
        <v>305</v>
      </c>
      <c r="C4" s="53">
        <v>295</v>
      </c>
      <c r="D4" s="53">
        <v>297</v>
      </c>
      <c r="E4" s="45"/>
    </row>
    <row r="5" spans="1:8">
      <c r="A5" s="29">
        <v>4.04</v>
      </c>
      <c r="B5" s="53">
        <v>399</v>
      </c>
      <c r="C5" s="53">
        <v>400</v>
      </c>
      <c r="D5" s="53">
        <v>404</v>
      </c>
      <c r="E5" s="45"/>
    </row>
    <row r="6" spans="1:8">
      <c r="A6" s="29">
        <v>5.05</v>
      </c>
      <c r="B6" s="53">
        <v>495</v>
      </c>
      <c r="C6" s="53">
        <v>510</v>
      </c>
      <c r="D6" s="53">
        <v>503</v>
      </c>
      <c r="E6" s="45"/>
    </row>
    <row r="7" spans="1:8">
      <c r="A7" s="29">
        <v>6.06</v>
      </c>
      <c r="B7" s="53">
        <v>610</v>
      </c>
      <c r="C7" s="53">
        <v>605</v>
      </c>
      <c r="D7" s="53">
        <v>600</v>
      </c>
      <c r="E7" s="45"/>
      <c r="H7" s="77"/>
    </row>
    <row r="8" spans="1:8">
      <c r="A8" s="29">
        <v>7.07</v>
      </c>
      <c r="B8" s="53">
        <v>700</v>
      </c>
      <c r="C8" s="53">
        <v>695</v>
      </c>
      <c r="D8" s="53">
        <v>698</v>
      </c>
      <c r="E8" s="45"/>
    </row>
    <row r="9" spans="1:8">
      <c r="A9" s="29">
        <v>8.08</v>
      </c>
      <c r="B9" s="53">
        <v>810</v>
      </c>
      <c r="C9" s="53">
        <v>803</v>
      </c>
      <c r="D9" s="53">
        <v>808</v>
      </c>
      <c r="E9" s="45"/>
    </row>
    <row r="10" spans="1:8">
      <c r="A10" s="92">
        <f>(E10-B43)/A43</f>
        <v>6.6009993337774802</v>
      </c>
      <c r="B10" s="54">
        <v>650</v>
      </c>
      <c r="C10" s="54">
        <v>666</v>
      </c>
      <c r="D10" s="54">
        <v>654</v>
      </c>
      <c r="E10" s="90">
        <f>AVERAGE(B10:D10)</f>
        <v>656.66666666666663</v>
      </c>
      <c r="F10" s="9" t="s">
        <v>78</v>
      </c>
    </row>
    <row r="12" spans="1:8" ht="38.25">
      <c r="A12" s="88" t="s">
        <v>42</v>
      </c>
      <c r="B12" s="87" t="s">
        <v>41</v>
      </c>
      <c r="D12" s="51" t="s">
        <v>44</v>
      </c>
      <c r="E12" s="96" t="s">
        <v>46</v>
      </c>
    </row>
    <row r="13" spans="1:8">
      <c r="A13" s="29">
        <v>1.01</v>
      </c>
      <c r="B13" s="53">
        <v>95</v>
      </c>
      <c r="C13" s="95">
        <f t="shared" ref="C13:C20" si="0">A$43*A13+B$43</f>
        <v>96.138888888888829</v>
      </c>
      <c r="D13" s="27">
        <f t="shared" ref="D13:D20" si="1">A13-A$37</f>
        <v>-3.5350000000000001</v>
      </c>
      <c r="E13" s="97">
        <f>C$46*B$45/A$43*SQRT(1/1+1/COUNT(A$13:A$36)+((C13-AVERAGE(B$13:B$36))^2)/A$43/A$43/D$37 )</f>
        <v>0.10634908311650952</v>
      </c>
    </row>
    <row r="14" spans="1:8">
      <c r="A14" s="29">
        <v>2.02</v>
      </c>
      <c r="B14" s="53">
        <v>201</v>
      </c>
      <c r="C14" s="95">
        <f t="shared" si="0"/>
        <v>197.39682539682536</v>
      </c>
      <c r="D14" s="27">
        <f t="shared" si="1"/>
        <v>-2.5249999999999999</v>
      </c>
      <c r="E14" s="97">
        <f>C$46*B$45/A$43*SQRT(1/1+1/COUNT(A$13:A$36)+((C14-AVERAGE(B$13:B$36))^2)/A$43/A$43/D$37 )</f>
        <v>0.10410201805679337</v>
      </c>
    </row>
    <row r="15" spans="1:8">
      <c r="A15" s="29">
        <v>3.03</v>
      </c>
      <c r="B15" s="53">
        <v>305</v>
      </c>
      <c r="C15" s="95">
        <f t="shared" si="0"/>
        <v>298.65476190476187</v>
      </c>
      <c r="D15" s="27">
        <f t="shared" si="1"/>
        <v>-1.5150000000000001</v>
      </c>
      <c r="E15" s="97">
        <f t="shared" ref="E15:E35" si="2">C$46*B$45/A$43*SQRT(1/1+1/COUNT(A$13:A$36)+((C15-AVERAGE(B$13:B$36))^2)/A$43/A$43/D$37 )</f>
        <v>0.10257663128614326</v>
      </c>
    </row>
    <row r="16" spans="1:8">
      <c r="A16" s="29">
        <v>4.04</v>
      </c>
      <c r="B16" s="53">
        <v>399</v>
      </c>
      <c r="C16" s="95">
        <f t="shared" si="0"/>
        <v>399.91269841269843</v>
      </c>
      <c r="D16" s="27">
        <f t="shared" si="1"/>
        <v>-0.50499999999999989</v>
      </c>
      <c r="E16" s="97">
        <f t="shared" si="2"/>
        <v>0.10180536747771017</v>
      </c>
    </row>
    <row r="17" spans="1:5">
      <c r="A17" s="29">
        <v>5.05</v>
      </c>
      <c r="B17" s="53">
        <v>495</v>
      </c>
      <c r="C17" s="95">
        <f t="shared" si="0"/>
        <v>501.17063492063494</v>
      </c>
      <c r="D17" s="27">
        <f t="shared" si="1"/>
        <v>0.50499999999999989</v>
      </c>
      <c r="E17" s="97">
        <f t="shared" si="2"/>
        <v>0.10180536747771017</v>
      </c>
    </row>
    <row r="18" spans="1:5">
      <c r="A18" s="29">
        <v>6.06</v>
      </c>
      <c r="B18" s="53">
        <v>610</v>
      </c>
      <c r="C18" s="95">
        <f t="shared" si="0"/>
        <v>602.42857142857144</v>
      </c>
      <c r="D18" s="27">
        <f t="shared" si="1"/>
        <v>1.5149999999999997</v>
      </c>
      <c r="E18" s="97">
        <f t="shared" si="2"/>
        <v>0.10257663128614326</v>
      </c>
    </row>
    <row r="19" spans="1:5">
      <c r="A19" s="29">
        <v>7.07</v>
      </c>
      <c r="B19" s="53">
        <v>700</v>
      </c>
      <c r="C19" s="95">
        <f t="shared" si="0"/>
        <v>703.68650793650806</v>
      </c>
      <c r="D19" s="27">
        <f t="shared" si="1"/>
        <v>2.5250000000000004</v>
      </c>
      <c r="E19" s="97">
        <f t="shared" si="2"/>
        <v>0.10410201805679337</v>
      </c>
    </row>
    <row r="20" spans="1:5">
      <c r="A20" s="29">
        <v>8.08</v>
      </c>
      <c r="B20" s="53">
        <v>810</v>
      </c>
      <c r="C20" s="95">
        <f t="shared" si="0"/>
        <v>804.94444444444457</v>
      </c>
      <c r="D20" s="27">
        <f t="shared" si="1"/>
        <v>3.5350000000000001</v>
      </c>
      <c r="E20" s="97">
        <f t="shared" si="2"/>
        <v>0.10634908311650952</v>
      </c>
    </row>
    <row r="21" spans="1:5">
      <c r="A21" s="29">
        <v>1.01</v>
      </c>
      <c r="B21" s="52">
        <v>93</v>
      </c>
      <c r="C21" s="95">
        <f t="shared" ref="C21:C36" si="3">A$43*A21+B$43</f>
        <v>96.138888888888829</v>
      </c>
      <c r="D21" s="27">
        <f t="shared" ref="D21:D36" si="4">A21-A$37</f>
        <v>-3.5350000000000001</v>
      </c>
      <c r="E21" s="97">
        <f t="shared" si="2"/>
        <v>0.10634908311650952</v>
      </c>
    </row>
    <row r="22" spans="1:5">
      <c r="A22" s="29">
        <v>2.02</v>
      </c>
      <c r="B22" s="52">
        <v>190</v>
      </c>
      <c r="C22" s="95">
        <f t="shared" si="3"/>
        <v>197.39682539682536</v>
      </c>
      <c r="D22" s="27">
        <f t="shared" si="4"/>
        <v>-2.5249999999999999</v>
      </c>
      <c r="E22" s="97">
        <f t="shared" si="2"/>
        <v>0.10410201805679337</v>
      </c>
    </row>
    <row r="23" spans="1:5">
      <c r="A23" s="29">
        <v>3.03</v>
      </c>
      <c r="B23" s="52">
        <v>295</v>
      </c>
      <c r="C23" s="95">
        <f t="shared" si="3"/>
        <v>298.65476190476187</v>
      </c>
      <c r="D23" s="27">
        <f t="shared" si="4"/>
        <v>-1.5150000000000001</v>
      </c>
      <c r="E23" s="97">
        <f t="shared" si="2"/>
        <v>0.10257663128614326</v>
      </c>
    </row>
    <row r="24" spans="1:5">
      <c r="A24" s="29">
        <v>4.04</v>
      </c>
      <c r="B24" s="52">
        <v>400</v>
      </c>
      <c r="C24" s="95">
        <f t="shared" si="3"/>
        <v>399.91269841269843</v>
      </c>
      <c r="D24" s="27">
        <f t="shared" si="4"/>
        <v>-0.50499999999999989</v>
      </c>
      <c r="E24" s="97">
        <f t="shared" si="2"/>
        <v>0.10180536747771017</v>
      </c>
    </row>
    <row r="25" spans="1:5">
      <c r="A25" s="29">
        <v>5.05</v>
      </c>
      <c r="B25" s="52">
        <v>510</v>
      </c>
      <c r="C25" s="95">
        <f t="shared" si="3"/>
        <v>501.17063492063494</v>
      </c>
      <c r="D25" s="27">
        <f t="shared" si="4"/>
        <v>0.50499999999999989</v>
      </c>
      <c r="E25" s="97">
        <f t="shared" si="2"/>
        <v>0.10180536747771017</v>
      </c>
    </row>
    <row r="26" spans="1:5">
      <c r="A26" s="29">
        <v>6.06</v>
      </c>
      <c r="B26" s="52">
        <v>605</v>
      </c>
      <c r="C26" s="95">
        <f t="shared" si="3"/>
        <v>602.42857142857144</v>
      </c>
      <c r="D26" s="27">
        <f t="shared" si="4"/>
        <v>1.5149999999999997</v>
      </c>
      <c r="E26" s="97">
        <f t="shared" si="2"/>
        <v>0.10257663128614326</v>
      </c>
    </row>
    <row r="27" spans="1:5">
      <c r="A27" s="29">
        <v>7.07</v>
      </c>
      <c r="B27" s="52">
        <v>695</v>
      </c>
      <c r="C27" s="95">
        <f t="shared" si="3"/>
        <v>703.68650793650806</v>
      </c>
      <c r="D27" s="27">
        <f t="shared" si="4"/>
        <v>2.5250000000000004</v>
      </c>
      <c r="E27" s="97">
        <f t="shared" si="2"/>
        <v>0.10410201805679337</v>
      </c>
    </row>
    <row r="28" spans="1:5">
      <c r="A28" s="29">
        <v>8.08</v>
      </c>
      <c r="B28" s="52">
        <v>803</v>
      </c>
      <c r="C28" s="95">
        <f t="shared" si="3"/>
        <v>804.94444444444457</v>
      </c>
      <c r="D28" s="27">
        <f t="shared" si="4"/>
        <v>3.5350000000000001</v>
      </c>
      <c r="E28" s="97">
        <f t="shared" si="2"/>
        <v>0.10634908311650952</v>
      </c>
    </row>
    <row r="29" spans="1:5">
      <c r="A29" s="29">
        <v>1.01</v>
      </c>
      <c r="B29" s="52">
        <v>99</v>
      </c>
      <c r="C29" s="95">
        <f t="shared" si="3"/>
        <v>96.138888888888829</v>
      </c>
      <c r="D29" s="27">
        <f t="shared" si="4"/>
        <v>-3.5350000000000001</v>
      </c>
      <c r="E29" s="97">
        <f t="shared" si="2"/>
        <v>0.10634908311650952</v>
      </c>
    </row>
    <row r="30" spans="1:5">
      <c r="A30" s="29">
        <v>2.02</v>
      </c>
      <c r="B30" s="52">
        <v>198</v>
      </c>
      <c r="C30" s="95">
        <f t="shared" si="3"/>
        <v>197.39682539682536</v>
      </c>
      <c r="D30" s="27">
        <f t="shared" si="4"/>
        <v>-2.5249999999999999</v>
      </c>
      <c r="E30" s="97">
        <f t="shared" si="2"/>
        <v>0.10410201805679337</v>
      </c>
    </row>
    <row r="31" spans="1:5">
      <c r="A31" s="29">
        <v>3.03</v>
      </c>
      <c r="B31" s="52">
        <v>297</v>
      </c>
      <c r="C31" s="95">
        <f t="shared" si="3"/>
        <v>298.65476190476187</v>
      </c>
      <c r="D31" s="27">
        <f t="shared" si="4"/>
        <v>-1.5150000000000001</v>
      </c>
      <c r="E31" s="97">
        <f t="shared" si="2"/>
        <v>0.10257663128614326</v>
      </c>
    </row>
    <row r="32" spans="1:5">
      <c r="A32" s="29">
        <v>4.04</v>
      </c>
      <c r="B32" s="52">
        <v>404</v>
      </c>
      <c r="C32" s="95">
        <f t="shared" si="3"/>
        <v>399.91269841269843</v>
      </c>
      <c r="D32" s="27">
        <f t="shared" si="4"/>
        <v>-0.50499999999999989</v>
      </c>
      <c r="E32" s="97">
        <f t="shared" si="2"/>
        <v>0.10180536747771017</v>
      </c>
    </row>
    <row r="33" spans="1:13">
      <c r="A33" s="29">
        <v>5.05</v>
      </c>
      <c r="B33" s="52">
        <v>503</v>
      </c>
      <c r="C33" s="95">
        <f t="shared" si="3"/>
        <v>501.17063492063494</v>
      </c>
      <c r="D33" s="27">
        <f t="shared" si="4"/>
        <v>0.50499999999999989</v>
      </c>
      <c r="E33" s="97">
        <f t="shared" si="2"/>
        <v>0.10180536747771017</v>
      </c>
    </row>
    <row r="34" spans="1:13">
      <c r="A34" s="29">
        <v>6.06</v>
      </c>
      <c r="B34" s="52">
        <v>600</v>
      </c>
      <c r="C34" s="95">
        <f t="shared" si="3"/>
        <v>602.42857142857144</v>
      </c>
      <c r="D34" s="27">
        <f t="shared" si="4"/>
        <v>1.5149999999999997</v>
      </c>
      <c r="E34" s="97">
        <f t="shared" si="2"/>
        <v>0.10257663128614326</v>
      </c>
    </row>
    <row r="35" spans="1:13">
      <c r="A35" s="29">
        <v>7.07</v>
      </c>
      <c r="B35" s="52">
        <v>698</v>
      </c>
      <c r="C35" s="95">
        <f t="shared" si="3"/>
        <v>703.68650793650806</v>
      </c>
      <c r="D35" s="27">
        <f t="shared" si="4"/>
        <v>2.5250000000000004</v>
      </c>
      <c r="E35" s="97">
        <f t="shared" si="2"/>
        <v>0.10410201805679337</v>
      </c>
    </row>
    <row r="36" spans="1:13">
      <c r="A36" s="29">
        <v>8.08</v>
      </c>
      <c r="B36" s="52">
        <v>808</v>
      </c>
      <c r="C36" s="95">
        <f t="shared" si="3"/>
        <v>804.94444444444457</v>
      </c>
      <c r="D36" s="27">
        <f t="shared" si="4"/>
        <v>3.5350000000000001</v>
      </c>
      <c r="E36" s="97">
        <f>C$46*B$45/A$43*SQRT(1/1+1/COUNT(A$13:A$36)+((C36-AVERAGE(B$13:B$36))^2)/A$43/A$43/D$37 )</f>
        <v>0.10634908311650952</v>
      </c>
    </row>
    <row r="37" spans="1:13">
      <c r="A37" s="98">
        <f>AVERAGE(A13:A36)</f>
        <v>4.5449999999999999</v>
      </c>
      <c r="B37" s="98">
        <f>AVERAGE(B13:B36)</f>
        <v>450.54166666666669</v>
      </c>
      <c r="C37" s="26"/>
      <c r="D37" s="86">
        <f>SUMSQ(D13:D36)</f>
        <v>128.53260000000003</v>
      </c>
      <c r="E37" s="24"/>
    </row>
    <row r="38" spans="1:13">
      <c r="C38" s="89"/>
      <c r="D38" s="93">
        <f>A10</f>
        <v>6.6009993337774802</v>
      </c>
      <c r="E38" s="91">
        <f>C$46*B$45/A$43*SQRT(1/COUNT(B10:D10)+1/COUNT(A$13:A$36)+((E10-B37)^2)/A$43/A$43/D$37 )</f>
        <v>6.3644860972342787E-2</v>
      </c>
    </row>
    <row r="39" spans="1:13">
      <c r="H39" s="20" t="s">
        <v>80</v>
      </c>
      <c r="I39" s="20"/>
      <c r="J39" s="94">
        <f>D38-E38</f>
        <v>6.5373544728051378</v>
      </c>
      <c r="K39" s="20" t="s">
        <v>81</v>
      </c>
      <c r="L39" s="20"/>
      <c r="M39" s="94">
        <f>D38+E38</f>
        <v>6.6646441947498225</v>
      </c>
    </row>
    <row r="40" spans="1:13">
      <c r="I40" s="100">
        <f>A10</f>
        <v>6.6009993337774802</v>
      </c>
      <c r="J40" s="101" t="s">
        <v>79</v>
      </c>
      <c r="K40" s="102">
        <f>E38</f>
        <v>6.3644860972342787E-2</v>
      </c>
    </row>
    <row r="43" spans="1:13">
      <c r="A43" s="56">
        <f t="array" ref="A43:B47">LINEST(B13:B36,A13:A36,1,1)</f>
        <v>100.25538268112528</v>
      </c>
      <c r="B43" s="56">
        <v>-5.1190476190477057</v>
      </c>
      <c r="C43">
        <f>ABS(B43)/B44</f>
        <v>2.3620318558805544</v>
      </c>
      <c r="D43" s="20" t="s">
        <v>63</v>
      </c>
    </row>
    <row r="44" spans="1:13">
      <c r="A44" s="55">
        <v>0.4249246790196336</v>
      </c>
      <c r="B44" s="55">
        <v>2.167222091566309</v>
      </c>
    </row>
    <row r="45" spans="1:13">
      <c r="A45" s="55">
        <v>0.9996049431579096</v>
      </c>
      <c r="B45" s="56">
        <v>4.8174653691513658</v>
      </c>
    </row>
    <row r="46" spans="1:13">
      <c r="A46" s="57">
        <v>55666.188777056406</v>
      </c>
      <c r="B46" s="99">
        <v>22</v>
      </c>
      <c r="C46">
        <f>TINV(0.05,B46)</f>
        <v>2.0738730583156064</v>
      </c>
    </row>
    <row r="47" spans="1:13">
      <c r="A47" s="57">
        <v>1291899.3829365079</v>
      </c>
      <c r="B47" s="58">
        <v>510.57539682539948</v>
      </c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2:O49"/>
  <sheetViews>
    <sheetView workbookViewId="0">
      <selection activeCell="C40" sqref="C40"/>
    </sheetView>
  </sheetViews>
  <sheetFormatPr defaultRowHeight="12.75"/>
  <cols>
    <col min="3" max="3" width="10.140625" bestFit="1" customWidth="1"/>
    <col min="7" max="7" width="12" customWidth="1"/>
    <col min="8" max="8" width="11.28515625" customWidth="1"/>
    <col min="9" max="9" width="13.7109375" customWidth="1"/>
    <col min="10" max="10" width="9" customWidth="1"/>
    <col min="12" max="12" width="15.42578125" customWidth="1"/>
    <col min="13" max="15" width="12.42578125" customWidth="1"/>
  </cols>
  <sheetData>
    <row r="2" spans="2:12">
      <c r="B2" t="s">
        <v>62</v>
      </c>
    </row>
    <row r="4" spans="2:12">
      <c r="B4">
        <v>0</v>
      </c>
      <c r="C4">
        <v>0</v>
      </c>
      <c r="G4" t="s">
        <v>27</v>
      </c>
    </row>
    <row r="5" spans="2:12" ht="13.5" thickBot="1">
      <c r="B5">
        <v>1</v>
      </c>
      <c r="C5">
        <v>0.98</v>
      </c>
      <c r="E5" s="1"/>
      <c r="F5" s="1"/>
    </row>
    <row r="6" spans="2:12">
      <c r="B6">
        <v>1</v>
      </c>
      <c r="C6" s="45">
        <v>0.9</v>
      </c>
      <c r="E6" s="1"/>
      <c r="F6" s="1"/>
      <c r="G6" s="7" t="s">
        <v>25</v>
      </c>
      <c r="H6" s="7"/>
    </row>
    <row r="7" spans="2:12">
      <c r="B7">
        <v>2</v>
      </c>
      <c r="C7" s="45">
        <v>2.1</v>
      </c>
      <c r="E7" s="3"/>
      <c r="F7" s="3"/>
      <c r="G7" s="2" t="s">
        <v>24</v>
      </c>
      <c r="H7" s="2">
        <v>0.98348645417867586</v>
      </c>
    </row>
    <row r="8" spans="2:12">
      <c r="B8">
        <v>2</v>
      </c>
      <c r="C8" s="45">
        <v>2.2000000000000002</v>
      </c>
      <c r="E8" s="2"/>
      <c r="F8" s="2"/>
      <c r="G8" s="2" t="s">
        <v>23</v>
      </c>
      <c r="H8" s="2">
        <v>0.96724560555294459</v>
      </c>
    </row>
    <row r="9" spans="2:12">
      <c r="B9">
        <v>3</v>
      </c>
      <c r="C9">
        <v>3.16</v>
      </c>
      <c r="E9" s="2"/>
      <c r="F9" s="2"/>
      <c r="G9" s="2" t="s">
        <v>22</v>
      </c>
      <c r="H9" s="2">
        <v>0.9636062283921607</v>
      </c>
    </row>
    <row r="10" spans="2:12">
      <c r="B10">
        <v>3</v>
      </c>
      <c r="C10">
        <v>3.22</v>
      </c>
      <c r="E10" s="2"/>
      <c r="F10" s="2"/>
      <c r="G10" s="2" t="s">
        <v>12</v>
      </c>
      <c r="H10" s="2">
        <v>0.27638967867901082</v>
      </c>
    </row>
    <row r="11" spans="2:12" ht="13.5" thickBot="1">
      <c r="B11">
        <v>4</v>
      </c>
      <c r="C11">
        <v>3.68</v>
      </c>
      <c r="E11" s="2"/>
      <c r="F11" s="2"/>
      <c r="G11" s="4" t="s">
        <v>2</v>
      </c>
      <c r="H11" s="4">
        <v>11</v>
      </c>
    </row>
    <row r="12" spans="2:12">
      <c r="B12">
        <v>4</v>
      </c>
      <c r="C12">
        <v>3.72</v>
      </c>
      <c r="E12" s="2"/>
      <c r="F12" s="2"/>
    </row>
    <row r="13" spans="2:12" ht="13.5" thickBot="1">
      <c r="B13">
        <v>5</v>
      </c>
      <c r="C13">
        <v>4.1500000000000004</v>
      </c>
      <c r="E13" s="2"/>
      <c r="F13" s="2"/>
      <c r="G13" t="s">
        <v>21</v>
      </c>
    </row>
    <row r="14" spans="2:12">
      <c r="B14">
        <v>5</v>
      </c>
      <c r="C14">
        <v>4.2699999999999996</v>
      </c>
      <c r="E14" s="2"/>
      <c r="F14" s="2"/>
      <c r="G14" s="5"/>
      <c r="H14" s="5" t="s">
        <v>20</v>
      </c>
      <c r="I14" s="5" t="s">
        <v>19</v>
      </c>
      <c r="J14" s="5" t="s">
        <v>18</v>
      </c>
      <c r="K14" s="5" t="s">
        <v>17</v>
      </c>
      <c r="L14" s="5" t="s">
        <v>16</v>
      </c>
    </row>
    <row r="15" spans="2:12">
      <c r="E15" s="2"/>
      <c r="F15" s="2"/>
      <c r="G15" s="2" t="s">
        <v>15</v>
      </c>
      <c r="H15" s="2">
        <v>1</v>
      </c>
      <c r="I15" s="47">
        <v>20.302678709677416</v>
      </c>
      <c r="J15" s="47">
        <v>20.302678709677416</v>
      </c>
      <c r="K15" s="49">
        <v>265.77229092260325</v>
      </c>
      <c r="L15" s="2">
        <v>5.4625517620436477E-8</v>
      </c>
    </row>
    <row r="16" spans="2:12">
      <c r="B16">
        <v>0</v>
      </c>
      <c r="C16">
        <v>0</v>
      </c>
      <c r="E16" s="2"/>
      <c r="F16" s="2"/>
      <c r="G16" s="2" t="s">
        <v>0</v>
      </c>
      <c r="H16" s="2">
        <v>9</v>
      </c>
      <c r="I16" s="48">
        <v>0.68752129032258169</v>
      </c>
      <c r="J16" s="47">
        <v>7.6391254480286858E-2</v>
      </c>
      <c r="K16" s="2"/>
      <c r="L16" s="2"/>
    </row>
    <row r="17" spans="1:15" ht="13.5" thickBot="1">
      <c r="B17">
        <v>1</v>
      </c>
      <c r="C17">
        <v>0.98</v>
      </c>
      <c r="D17" s="45">
        <v>0.9</v>
      </c>
      <c r="E17" s="2"/>
      <c r="F17" s="2"/>
      <c r="G17" s="4" t="s">
        <v>14</v>
      </c>
      <c r="H17" s="4">
        <v>10</v>
      </c>
      <c r="I17" s="46">
        <v>20.990199999999998</v>
      </c>
      <c r="J17" s="46"/>
      <c r="K17" s="4"/>
      <c r="L17" s="4"/>
    </row>
    <row r="18" spans="1:15" ht="13.5" thickBot="1">
      <c r="B18">
        <v>2</v>
      </c>
      <c r="C18" s="45">
        <v>2.1</v>
      </c>
      <c r="D18" s="45">
        <v>2.2000000000000002</v>
      </c>
      <c r="E18" s="2"/>
      <c r="F18" s="2"/>
    </row>
    <row r="19" spans="1:15">
      <c r="B19">
        <v>3</v>
      </c>
      <c r="C19">
        <v>3.16</v>
      </c>
      <c r="D19">
        <v>3.22</v>
      </c>
      <c r="E19" s="1"/>
      <c r="F19" s="1"/>
      <c r="G19" s="5"/>
      <c r="H19" s="5" t="s">
        <v>13</v>
      </c>
      <c r="I19" s="5" t="s">
        <v>12</v>
      </c>
      <c r="J19" s="5" t="s">
        <v>11</v>
      </c>
      <c r="K19" s="5" t="s">
        <v>10</v>
      </c>
      <c r="L19" s="5" t="s">
        <v>9</v>
      </c>
      <c r="M19" s="5" t="s">
        <v>8</v>
      </c>
      <c r="N19" s="5" t="s">
        <v>7</v>
      </c>
      <c r="O19" s="5" t="s">
        <v>6</v>
      </c>
    </row>
    <row r="20" spans="1:15">
      <c r="B20">
        <v>4</v>
      </c>
      <c r="C20">
        <v>3.68</v>
      </c>
      <c r="D20">
        <v>3.72</v>
      </c>
      <c r="E20" s="1"/>
      <c r="F20" s="1"/>
      <c r="G20" s="2" t="s">
        <v>5</v>
      </c>
      <c r="H20" s="44">
        <v>0.26516129032258018</v>
      </c>
      <c r="I20" s="2">
        <v>0.16464074274135299</v>
      </c>
      <c r="J20" s="2">
        <v>1.610544789263632</v>
      </c>
      <c r="K20" s="2">
        <v>0.14173902839442654</v>
      </c>
      <c r="L20" s="2">
        <v>-0.10728194439678684</v>
      </c>
      <c r="M20" s="2">
        <v>0.6376045250419472</v>
      </c>
      <c r="N20" s="2">
        <v>-0.10728194439678684</v>
      </c>
      <c r="O20" s="2">
        <v>0.6376045250419472</v>
      </c>
    </row>
    <row r="21" spans="1:15" ht="13.5" thickBot="1">
      <c r="B21">
        <v>5</v>
      </c>
      <c r="C21">
        <v>4.1500000000000004</v>
      </c>
      <c r="D21">
        <v>4.2699999999999996</v>
      </c>
      <c r="E21" s="1"/>
      <c r="F21" s="1"/>
      <c r="G21" s="4" t="s">
        <v>61</v>
      </c>
      <c r="H21" s="43">
        <v>0.84877419354838735</v>
      </c>
      <c r="I21" s="4">
        <v>5.2063974272450964E-2</v>
      </c>
      <c r="J21" s="4">
        <v>16.302524066002896</v>
      </c>
      <c r="K21" s="4">
        <v>5.4625517620436292E-8</v>
      </c>
      <c r="L21" s="4">
        <v>0.73099730146499708</v>
      </c>
      <c r="M21" s="4">
        <v>0.96655108563177761</v>
      </c>
      <c r="N21" s="4">
        <v>0.73099730146499708</v>
      </c>
      <c r="O21" s="4">
        <v>0.96655108563177761</v>
      </c>
    </row>
    <row r="22" spans="1:15">
      <c r="E22" s="1"/>
      <c r="F22" s="1"/>
    </row>
    <row r="23" spans="1:15">
      <c r="E23" s="1"/>
      <c r="F23" s="1"/>
    </row>
    <row r="24" spans="1:15">
      <c r="G24" s="3"/>
      <c r="H24" s="3"/>
      <c r="I24" s="3"/>
      <c r="J24" s="3"/>
      <c r="K24" s="3"/>
      <c r="L24" s="3"/>
      <c r="M24" s="3"/>
      <c r="N24" s="1"/>
    </row>
    <row r="25" spans="1:15">
      <c r="G25" s="2"/>
      <c r="H25" s="2"/>
      <c r="I25" s="2"/>
      <c r="J25" s="2"/>
      <c r="K25" s="2"/>
      <c r="L25" s="2"/>
      <c r="M25" s="2"/>
      <c r="N25" s="1"/>
    </row>
    <row r="26" spans="1:15">
      <c r="B26" t="s">
        <v>60</v>
      </c>
      <c r="G26" s="2"/>
      <c r="H26" s="2"/>
      <c r="I26" s="2"/>
      <c r="J26" s="2"/>
      <c r="K26" s="2"/>
      <c r="L26" s="2"/>
      <c r="M26" s="2"/>
      <c r="N26" s="1"/>
    </row>
    <row r="27" spans="1:15">
      <c r="G27" s="2"/>
      <c r="H27" s="2"/>
      <c r="I27" s="2"/>
      <c r="J27" s="2"/>
      <c r="K27" s="2"/>
      <c r="L27" s="2"/>
      <c r="M27" s="2"/>
      <c r="N27" s="1"/>
    </row>
    <row r="28" spans="1:15">
      <c r="B28" t="s">
        <v>56</v>
      </c>
      <c r="C28">
        <v>0</v>
      </c>
      <c r="D28">
        <v>10</v>
      </c>
      <c r="E28">
        <v>20</v>
      </c>
      <c r="G28" s="2">
        <v>30</v>
      </c>
      <c r="H28" s="2">
        <v>40</v>
      </c>
      <c r="I28" s="2">
        <v>50</v>
      </c>
      <c r="J28" s="2"/>
      <c r="K28" s="2"/>
      <c r="L28" s="2"/>
      <c r="M28" s="2"/>
      <c r="N28" s="1"/>
    </row>
    <row r="29" spans="1:15">
      <c r="B29" t="s">
        <v>59</v>
      </c>
      <c r="C29">
        <v>4</v>
      </c>
      <c r="D29">
        <v>21.2</v>
      </c>
      <c r="E29">
        <v>44.6</v>
      </c>
      <c r="G29" s="2">
        <v>61.8</v>
      </c>
      <c r="H29" s="2">
        <v>78</v>
      </c>
      <c r="I29" s="2">
        <v>105.2</v>
      </c>
      <c r="J29" s="2"/>
      <c r="K29" s="2"/>
      <c r="L29" s="2"/>
      <c r="M29" s="2"/>
      <c r="N29" s="1"/>
    </row>
    <row r="30" spans="1:15">
      <c r="G30" s="2"/>
      <c r="H30" s="2"/>
      <c r="I30" s="2"/>
      <c r="J30" s="2"/>
      <c r="K30" s="2"/>
      <c r="L30" s="2"/>
      <c r="M30" s="2"/>
      <c r="N30" s="1"/>
    </row>
    <row r="31" spans="1:15">
      <c r="A31" t="s">
        <v>56</v>
      </c>
      <c r="B31" t="s">
        <v>59</v>
      </c>
      <c r="C31" s="31" t="s">
        <v>58</v>
      </c>
      <c r="D31" s="31" t="s">
        <v>44</v>
      </c>
      <c r="E31" s="8" t="s">
        <v>57</v>
      </c>
      <c r="F31" s="9"/>
      <c r="G31" t="s">
        <v>27</v>
      </c>
    </row>
    <row r="32" spans="1:15" ht="13.5" thickBot="1">
      <c r="A32">
        <v>0</v>
      </c>
      <c r="B32">
        <v>4</v>
      </c>
      <c r="C32" s="23">
        <f t="shared" ref="C32:C37" si="0">A32*B$42+C$42</f>
        <v>2.9238095238095312</v>
      </c>
      <c r="D32" s="23">
        <f t="shared" ref="D32:D37" si="1">A32-A$38</f>
        <v>-25</v>
      </c>
      <c r="E32" s="23">
        <f t="shared" ref="E32:E37" si="2">D$41*C$44/B$42*SQRT(1/1+1/COUNT(A$32:A$37)+(C32-AVERAGE(B$32:B$37))^2/B$42/B$42/D$38)</f>
        <v>5.1731285103413454</v>
      </c>
      <c r="F32" s="23"/>
    </row>
    <row r="33" spans="1:15">
      <c r="A33">
        <v>10</v>
      </c>
      <c r="B33">
        <v>21.2</v>
      </c>
      <c r="C33" s="23">
        <f t="shared" si="0"/>
        <v>22.740952380952386</v>
      </c>
      <c r="D33" s="23">
        <f t="shared" si="1"/>
        <v>-15</v>
      </c>
      <c r="E33" s="23">
        <f t="shared" si="2"/>
        <v>4.7693888284381361</v>
      </c>
      <c r="F33" s="23"/>
      <c r="G33" s="7" t="s">
        <v>25</v>
      </c>
      <c r="H33" s="7"/>
    </row>
    <row r="34" spans="1:15">
      <c r="A34">
        <v>20</v>
      </c>
      <c r="B34">
        <v>44.6</v>
      </c>
      <c r="C34" s="23">
        <f t="shared" si="0"/>
        <v>42.558095238095241</v>
      </c>
      <c r="D34" s="23">
        <f t="shared" si="1"/>
        <v>-5</v>
      </c>
      <c r="E34" s="23">
        <f t="shared" si="2"/>
        <v>4.554116314170348</v>
      </c>
      <c r="F34" s="23"/>
      <c r="G34" s="2" t="s">
        <v>24</v>
      </c>
      <c r="H34" s="2">
        <v>0.99740643284996289</v>
      </c>
    </row>
    <row r="35" spans="1:15">
      <c r="A35" s="2">
        <v>30</v>
      </c>
      <c r="B35" s="2">
        <v>61.8</v>
      </c>
      <c r="C35" s="23">
        <f t="shared" si="0"/>
        <v>62.375238095238096</v>
      </c>
      <c r="D35" s="23">
        <f t="shared" si="1"/>
        <v>5</v>
      </c>
      <c r="E35" s="23">
        <f t="shared" si="2"/>
        <v>4.554116314170348</v>
      </c>
      <c r="F35" s="23"/>
      <c r="G35" s="2" t="s">
        <v>23</v>
      </c>
      <c r="H35" s="2">
        <v>0.99481959229048744</v>
      </c>
    </row>
    <row r="36" spans="1:15">
      <c r="A36" s="2">
        <v>40</v>
      </c>
      <c r="B36" s="2">
        <v>78</v>
      </c>
      <c r="C36" s="23">
        <f t="shared" si="0"/>
        <v>82.192380952380944</v>
      </c>
      <c r="D36" s="23">
        <f t="shared" si="1"/>
        <v>15</v>
      </c>
      <c r="E36" s="23">
        <f t="shared" si="2"/>
        <v>4.7693888284381361</v>
      </c>
      <c r="F36" s="23"/>
      <c r="G36" s="2" t="s">
        <v>22</v>
      </c>
      <c r="H36" s="2">
        <v>0.9935244903631093</v>
      </c>
    </row>
    <row r="37" spans="1:15">
      <c r="A37" s="2">
        <v>50</v>
      </c>
      <c r="B37" s="2">
        <v>105.2</v>
      </c>
      <c r="C37" s="23">
        <f t="shared" si="0"/>
        <v>102.00952380952381</v>
      </c>
      <c r="D37" s="23">
        <f t="shared" si="1"/>
        <v>25</v>
      </c>
      <c r="E37" s="23">
        <f t="shared" si="2"/>
        <v>5.1731285103413454</v>
      </c>
      <c r="F37" s="23"/>
      <c r="G37" s="2" t="s">
        <v>12</v>
      </c>
      <c r="H37" s="2">
        <v>2.9911615835737861</v>
      </c>
    </row>
    <row r="38" spans="1:15" ht="13.5" thickBot="1">
      <c r="A38" s="23">
        <f>AVERAGE(A32:A37)</f>
        <v>25</v>
      </c>
      <c r="B38" s="23">
        <f>AVERAGE(B32:B37)</f>
        <v>52.466666666666669</v>
      </c>
      <c r="C38" s="23"/>
      <c r="D38" s="23">
        <f>SUMSQ(D32:D37)</f>
        <v>1750</v>
      </c>
      <c r="E38" s="23"/>
      <c r="F38" s="23"/>
      <c r="G38" s="4" t="s">
        <v>2</v>
      </c>
      <c r="H38" s="4">
        <v>6</v>
      </c>
    </row>
    <row r="39" spans="1:15">
      <c r="A39" s="40">
        <f>(C39-C42)/B42</f>
        <v>43.939830834294504</v>
      </c>
      <c r="B39" s="14"/>
      <c r="C39" s="42">
        <v>90</v>
      </c>
      <c r="D39" s="41"/>
      <c r="E39" s="40">
        <f>D$41*C$44/B$42*SQRT(1/1+1/COUNT(A$32:A$37)+(C39-AVERAGE(B$32:B$37))^2/B$42/B$42/D$38)</f>
        <v>4.908053069116443</v>
      </c>
      <c r="F39" s="27"/>
      <c r="G39" s="2"/>
      <c r="H39" s="2"/>
    </row>
    <row r="41" spans="1:15" ht="13.5" thickBot="1">
      <c r="D41" s="39">
        <f>TINV(0.05,COUNT(A32:A37)-2)</f>
        <v>2.7764451050438028</v>
      </c>
      <c r="G41" t="s">
        <v>21</v>
      </c>
    </row>
    <row r="42" spans="1:15">
      <c r="B42">
        <f t="array" ref="B42:C46">LINEST(B32:B37,A32:A37,1,1)</f>
        <v>1.9817142857142855</v>
      </c>
      <c r="C42">
        <v>2.9238095238095312</v>
      </c>
      <c r="G42" s="5"/>
      <c r="H42" s="5" t="s">
        <v>20</v>
      </c>
      <c r="I42" s="5" t="s">
        <v>19</v>
      </c>
      <c r="J42" s="5" t="s">
        <v>18</v>
      </c>
      <c r="K42" s="5" t="s">
        <v>17</v>
      </c>
      <c r="L42" s="5" t="s">
        <v>16</v>
      </c>
    </row>
    <row r="43" spans="1:15">
      <c r="B43">
        <v>7.1502437996587176E-2</v>
      </c>
      <c r="C43">
        <v>2.1648438171920112</v>
      </c>
      <c r="G43" s="2" t="s">
        <v>15</v>
      </c>
      <c r="H43" s="2">
        <v>1</v>
      </c>
      <c r="I43" s="2">
        <v>6872.5851428571423</v>
      </c>
      <c r="J43" s="2">
        <v>6872.5851428571423</v>
      </c>
      <c r="K43" s="2">
        <v>768.13999829685588</v>
      </c>
      <c r="L43" s="2">
        <v>1.0081162909632054E-5</v>
      </c>
    </row>
    <row r="44" spans="1:15">
      <c r="B44">
        <v>0.99481959229048744</v>
      </c>
      <c r="C44">
        <v>2.9911615835737861</v>
      </c>
      <c r="D44">
        <f>C44*C44</f>
        <v>8.9470476190476393</v>
      </c>
      <c r="G44" s="2" t="s">
        <v>0</v>
      </c>
      <c r="H44" s="2">
        <v>4</v>
      </c>
      <c r="I44" s="2">
        <v>35.788190476190557</v>
      </c>
      <c r="J44" s="2">
        <v>8.9470476190476393</v>
      </c>
      <c r="K44" s="2"/>
      <c r="L44" s="2"/>
    </row>
    <row r="45" spans="1:15" ht="13.5" thickBot="1">
      <c r="B45">
        <v>768.13999829685588</v>
      </c>
      <c r="C45">
        <v>4</v>
      </c>
      <c r="G45" s="4" t="s">
        <v>14</v>
      </c>
      <c r="H45" s="4">
        <v>5</v>
      </c>
      <c r="I45" s="4">
        <v>6908.373333333333</v>
      </c>
      <c r="J45" s="4"/>
      <c r="K45" s="4"/>
      <c r="L45" s="4"/>
    </row>
    <row r="46" spans="1:15" ht="13.5" thickBot="1">
      <c r="B46">
        <v>6872.5851428571423</v>
      </c>
      <c r="C46">
        <v>35.788190476190557</v>
      </c>
    </row>
    <row r="47" spans="1:15">
      <c r="G47" s="5"/>
      <c r="H47" s="5" t="s">
        <v>13</v>
      </c>
      <c r="I47" s="5" t="s">
        <v>12</v>
      </c>
      <c r="J47" s="5" t="s">
        <v>11</v>
      </c>
      <c r="K47" s="5" t="s">
        <v>10</v>
      </c>
      <c r="L47" s="5" t="s">
        <v>9</v>
      </c>
      <c r="M47" s="5" t="s">
        <v>8</v>
      </c>
      <c r="N47" s="5" t="s">
        <v>7</v>
      </c>
      <c r="O47" s="5" t="s">
        <v>6</v>
      </c>
    </row>
    <row r="48" spans="1:15">
      <c r="G48" s="2" t="s">
        <v>5</v>
      </c>
      <c r="H48" s="2">
        <v>2.9238095238095312</v>
      </c>
      <c r="I48" s="2">
        <v>2.1648438171920112</v>
      </c>
      <c r="J48" s="2">
        <v>1.3505868185918206</v>
      </c>
      <c r="K48" s="2">
        <v>0.24817887684083206</v>
      </c>
      <c r="L48" s="2">
        <v>-3.0867604956175692</v>
      </c>
      <c r="M48" s="2">
        <v>8.9343795432366306</v>
      </c>
      <c r="N48" s="2">
        <v>-3.0867604956175692</v>
      </c>
      <c r="O48" s="2">
        <v>8.9343795432366306</v>
      </c>
    </row>
    <row r="49" spans="7:15" ht="13.5" thickBot="1">
      <c r="G49" s="4" t="s">
        <v>56</v>
      </c>
      <c r="H49" s="4">
        <v>1.9817142857142855</v>
      </c>
      <c r="I49" s="4">
        <v>7.1502437996587176E-2</v>
      </c>
      <c r="J49" s="4">
        <v>27.715338682701603</v>
      </c>
      <c r="K49" s="4">
        <v>1.0081162909632054E-5</v>
      </c>
      <c r="L49" s="4">
        <v>1.7831916917399631</v>
      </c>
      <c r="M49" s="4">
        <v>2.180236879688608</v>
      </c>
      <c r="N49" s="4">
        <v>1.7831916917399631</v>
      </c>
      <c r="O49" s="4">
        <v>2.180236879688608</v>
      </c>
    </row>
  </sheetData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2:U47"/>
  <sheetViews>
    <sheetView workbookViewId="0">
      <selection activeCell="O31" sqref="O31"/>
    </sheetView>
  </sheetViews>
  <sheetFormatPr defaultRowHeight="12.75"/>
  <cols>
    <col min="2" max="2" width="9.5703125" customWidth="1"/>
    <col min="3" max="3" width="9.5703125" bestFit="1" customWidth="1"/>
    <col min="4" max="4" width="7.7109375" customWidth="1"/>
    <col min="15" max="15" width="9.140625" style="13"/>
    <col min="17" max="17" width="11.5703125" customWidth="1"/>
    <col min="18" max="18" width="10.5703125" bestFit="1" customWidth="1"/>
  </cols>
  <sheetData>
    <row r="2" spans="1:21" ht="16.5">
      <c r="A2" s="33" t="s">
        <v>49</v>
      </c>
    </row>
    <row r="4" spans="1:21" ht="32.25">
      <c r="B4" s="35" t="s">
        <v>70</v>
      </c>
      <c r="C4" s="35" t="s">
        <v>48</v>
      </c>
      <c r="O4" s="107" t="s">
        <v>88</v>
      </c>
      <c r="U4" s="9" t="s">
        <v>93</v>
      </c>
    </row>
    <row r="5" spans="1:21" ht="14.25">
      <c r="B5" s="34">
        <v>15</v>
      </c>
      <c r="C5" s="34">
        <v>-338.5</v>
      </c>
      <c r="O5" s="13">
        <f>B5/C5</f>
        <v>-4.4313146233382568E-2</v>
      </c>
      <c r="U5">
        <f>1/($Q$12+$R$12/B5)</f>
        <v>-503.98778694247625</v>
      </c>
    </row>
    <row r="6" spans="1:21" ht="14.25">
      <c r="B6" s="34">
        <v>35</v>
      </c>
      <c r="C6" s="34">
        <v>-329.8</v>
      </c>
      <c r="E6" s="106">
        <f t="array" ref="E6:F10">LINEST(C5:C12,B5:B12,1,1)</f>
        <v>6.4902023185006125E-2</v>
      </c>
      <c r="F6" s="106">
        <v>-327.42278574622219</v>
      </c>
      <c r="O6" s="13">
        <f t="shared" ref="O6:O12" si="0">B6/C6</f>
        <v>-0.10612492419648271</v>
      </c>
      <c r="U6">
        <f t="shared" ref="U6:U12" si="1">1/($Q$12+$R$12/B6)</f>
        <v>-355.45343211854674</v>
      </c>
    </row>
    <row r="7" spans="1:21" ht="14.25">
      <c r="B7" s="34">
        <v>89</v>
      </c>
      <c r="C7" s="34">
        <v>-316.5</v>
      </c>
      <c r="E7" s="106">
        <v>1.28638181543282E-2</v>
      </c>
      <c r="F7" s="106">
        <v>4.3558581695091316</v>
      </c>
      <c r="O7" s="13">
        <f t="shared" si="0"/>
        <v>-0.28120063191153238</v>
      </c>
      <c r="U7">
        <f t="shared" si="1"/>
        <v>-313.41967808607109</v>
      </c>
    </row>
    <row r="8" spans="1:21" ht="14.25">
      <c r="B8" s="34">
        <v>150</v>
      </c>
      <c r="C8" s="34">
        <v>-312.2</v>
      </c>
      <c r="E8" s="106">
        <v>0.80925258554418356</v>
      </c>
      <c r="F8" s="106">
        <v>7.9524606065711785</v>
      </c>
      <c r="O8" s="13">
        <f t="shared" si="0"/>
        <v>-0.48046124279308139</v>
      </c>
      <c r="U8">
        <f t="shared" si="1"/>
        <v>-303.94587019403946</v>
      </c>
    </row>
    <row r="9" spans="1:21" ht="14.25">
      <c r="B9" s="34">
        <v>230</v>
      </c>
      <c r="C9" s="34">
        <v>-303.7</v>
      </c>
      <c r="E9" s="106">
        <v>25.455210111850842</v>
      </c>
      <c r="F9" s="106">
        <v>6</v>
      </c>
      <c r="O9" s="13">
        <f t="shared" si="0"/>
        <v>-0.75732630885742513</v>
      </c>
      <c r="U9">
        <f t="shared" si="1"/>
        <v>-299.35383234787076</v>
      </c>
    </row>
    <row r="10" spans="1:21" ht="14.25">
      <c r="B10" s="34">
        <v>400</v>
      </c>
      <c r="C10" s="34">
        <v>-296.39999999999998</v>
      </c>
      <c r="E10" s="106">
        <v>1609.8289718056026</v>
      </c>
      <c r="F10" s="106">
        <v>379.44977819439862</v>
      </c>
      <c r="O10" s="13">
        <f t="shared" si="0"/>
        <v>-1.3495276653171391</v>
      </c>
      <c r="U10">
        <f t="shared" si="1"/>
        <v>-295.79271011739087</v>
      </c>
    </row>
    <row r="11" spans="1:21" ht="14.25">
      <c r="B11" s="34">
        <v>500</v>
      </c>
      <c r="C11" s="34">
        <v>-295.5</v>
      </c>
      <c r="O11" s="13">
        <f t="shared" si="0"/>
        <v>-1.6920473773265652</v>
      </c>
      <c r="Q11" s="31" t="s">
        <v>36</v>
      </c>
      <c r="R11" s="31" t="s">
        <v>37</v>
      </c>
      <c r="U11">
        <f t="shared" si="1"/>
        <v>-294.84363034306165</v>
      </c>
    </row>
    <row r="12" spans="1:21" ht="14.25">
      <c r="B12" s="34">
        <v>650</v>
      </c>
      <c r="C12" s="34">
        <v>-292.5</v>
      </c>
      <c r="O12" s="13">
        <f t="shared" si="0"/>
        <v>-2.2222222222222223</v>
      </c>
      <c r="Q12" s="111">
        <f t="array" ref="Q12:R16">LINEST(O5:O12,B5:B12,1,1)</f>
        <v>-3.435157778880339E-3</v>
      </c>
      <c r="R12" s="111">
        <v>2.1764740705698893E-2</v>
      </c>
      <c r="S12">
        <f>R12/R13</f>
        <v>3.640032026337038</v>
      </c>
      <c r="U12">
        <f t="shared" si="1"/>
        <v>-293.97294644919293</v>
      </c>
    </row>
    <row r="13" spans="1:21">
      <c r="Q13" s="108">
        <v>1.7658119626685154E-5</v>
      </c>
      <c r="R13" s="108">
        <v>5.9792717614083023E-3</v>
      </c>
    </row>
    <row r="14" spans="1:21">
      <c r="Q14" s="108">
        <v>0.99984148223795211</v>
      </c>
      <c r="R14" s="108">
        <v>1.0916315749541831E-2</v>
      </c>
    </row>
    <row r="15" spans="1:21">
      <c r="Q15" s="109">
        <v>37844.647917836148</v>
      </c>
      <c r="R15" s="110">
        <v>6</v>
      </c>
      <c r="S15">
        <f>TINV(0.05,R15)</f>
        <v>2.4469118464326822</v>
      </c>
    </row>
    <row r="16" spans="1:21" ht="16.5">
      <c r="A16" s="33" t="s">
        <v>71</v>
      </c>
      <c r="Q16" s="109">
        <v>4.5097934042757659</v>
      </c>
      <c r="R16" s="109">
        <v>7.1499569726217016E-4</v>
      </c>
    </row>
    <row r="17" spans="1:20" ht="14.25">
      <c r="A17" s="33" t="s">
        <v>72</v>
      </c>
    </row>
    <row r="18" spans="1:20">
      <c r="P18" s="9" t="s">
        <v>89</v>
      </c>
      <c r="Q18" s="9" t="s">
        <v>92</v>
      </c>
      <c r="R18">
        <f>Q19/C29</f>
        <v>-0.65368494021198842</v>
      </c>
      <c r="T18">
        <f>D29/C29</f>
        <v>-1.0604678022411145</v>
      </c>
    </row>
    <row r="19" spans="1:20">
      <c r="B19" s="103" t="s">
        <v>83</v>
      </c>
      <c r="C19" s="103" t="s">
        <v>82</v>
      </c>
      <c r="D19" s="8" t="s">
        <v>44</v>
      </c>
      <c r="P19" s="9" t="s">
        <v>90</v>
      </c>
      <c r="Q19" s="112">
        <f>R12/(1/C29-Q12)</f>
        <v>196.62843001576613</v>
      </c>
      <c r="R19" s="9" t="s">
        <v>91</v>
      </c>
    </row>
    <row r="20" spans="1:20">
      <c r="B20">
        <f>LOG10(B5)</f>
        <v>1.1760912590556813</v>
      </c>
      <c r="C20">
        <f>C5</f>
        <v>-338.5</v>
      </c>
      <c r="D20" s="104">
        <f>B20-$B$28</f>
        <v>-0.98907271062319158</v>
      </c>
    </row>
    <row r="21" spans="1:20">
      <c r="B21">
        <f t="shared" ref="B21:B27" si="2">LOG10(B6)</f>
        <v>1.5440680443502757</v>
      </c>
      <c r="C21">
        <f t="shared" ref="C21:C26" si="3">C6</f>
        <v>-329.8</v>
      </c>
      <c r="D21" s="104">
        <f t="shared" ref="D21:D27" si="4">B21-$B$28</f>
        <v>-0.62109592532859725</v>
      </c>
    </row>
    <row r="22" spans="1:20">
      <c r="B22">
        <f t="shared" si="2"/>
        <v>1.9493900066449128</v>
      </c>
      <c r="C22">
        <f t="shared" si="3"/>
        <v>-316.5</v>
      </c>
      <c r="D22" s="104">
        <f t="shared" si="4"/>
        <v>-0.21577396303396013</v>
      </c>
      <c r="E22" s="31" t="s">
        <v>36</v>
      </c>
      <c r="F22" s="31" t="s">
        <v>37</v>
      </c>
    </row>
    <row r="23" spans="1:20">
      <c r="B23">
        <f t="shared" si="2"/>
        <v>2.1760912590556813</v>
      </c>
      <c r="C23">
        <f t="shared" si="3"/>
        <v>-312.2</v>
      </c>
      <c r="D23" s="104">
        <f t="shared" si="4"/>
        <v>1.0927289376808424E-2</v>
      </c>
      <c r="E23" s="20">
        <f t="array" ref="E23:F27">LINEST(C20:C27,B20:B27,1,1)</f>
        <v>29.052481613489341</v>
      </c>
      <c r="F23">
        <v>-373.54088641928502</v>
      </c>
    </row>
    <row r="24" spans="1:20">
      <c r="B24">
        <f t="shared" si="2"/>
        <v>2.3617278360175931</v>
      </c>
      <c r="C24">
        <f t="shared" si="3"/>
        <v>-303.7</v>
      </c>
      <c r="D24" s="104">
        <f t="shared" si="4"/>
        <v>0.19656386633872014</v>
      </c>
      <c r="E24">
        <v>0.85162171013957932</v>
      </c>
      <c r="F24">
        <v>1.9006678544349522</v>
      </c>
    </row>
    <row r="25" spans="1:20">
      <c r="B25">
        <f t="shared" si="2"/>
        <v>2.6020599913279625</v>
      </c>
      <c r="C25">
        <f t="shared" si="3"/>
        <v>-296.39999999999998</v>
      </c>
      <c r="D25" s="104">
        <f t="shared" si="4"/>
        <v>0.43689602164908958</v>
      </c>
      <c r="E25">
        <v>0.99487085546429432</v>
      </c>
      <c r="F25" s="20">
        <v>1.3040512662825055</v>
      </c>
    </row>
    <row r="26" spans="1:20">
      <c r="B26">
        <f t="shared" si="2"/>
        <v>2.6989700043360187</v>
      </c>
      <c r="C26">
        <f t="shared" si="3"/>
        <v>-295.5</v>
      </c>
      <c r="D26" s="104">
        <f t="shared" si="4"/>
        <v>0.53380603465714582</v>
      </c>
      <c r="E26">
        <v>1163.7857134327069</v>
      </c>
      <c r="F26">
        <v>6</v>
      </c>
      <c r="G26">
        <f>TINV(0.05,F26)</f>
        <v>2.4469118464326822</v>
      </c>
    </row>
    <row r="27" spans="1:20">
      <c r="B27">
        <f t="shared" si="2"/>
        <v>2.8129133566428557</v>
      </c>
      <c r="C27">
        <f>C12</f>
        <v>-292.5</v>
      </c>
      <c r="D27" s="104">
        <f t="shared" si="4"/>
        <v>0.64774938696398277</v>
      </c>
      <c r="E27">
        <v>1979.0754517694434</v>
      </c>
      <c r="F27">
        <v>10.203298230558037</v>
      </c>
    </row>
    <row r="28" spans="1:20">
      <c r="A28" s="30" t="s">
        <v>84</v>
      </c>
      <c r="B28" s="23">
        <f>AVERAGE(B20:B27)</f>
        <v>2.1651639696788729</v>
      </c>
      <c r="C28" s="23">
        <f>AVERAGE(C20:C27)</f>
        <v>-310.63749999999999</v>
      </c>
      <c r="D28" s="104">
        <f>SUMSQ(D20:D27)</f>
        <v>2.344746422367229</v>
      </c>
    </row>
    <row r="29" spans="1:20">
      <c r="B29" s="37">
        <f>(C29-F23)/E23</f>
        <v>2.5037753189906753</v>
      </c>
      <c r="C29" s="37">
        <v>-300.8</v>
      </c>
      <c r="D29" s="114">
        <f>10^B29</f>
        <v>318.98871491412723</v>
      </c>
    </row>
    <row r="31" spans="1:20">
      <c r="A31" s="8" t="s">
        <v>85</v>
      </c>
      <c r="B31">
        <f>G26*F25/E23*SQRT(1/1+1/8+(C29-C28)^2/E23/E23/D29)</f>
        <v>0.11651326785133766</v>
      </c>
    </row>
    <row r="33" spans="1:16">
      <c r="A33" s="8" t="s">
        <v>86</v>
      </c>
      <c r="B33" s="63">
        <f>B29-B31</f>
        <v>2.3872620511393374</v>
      </c>
      <c r="C33" s="105">
        <f>10^B33</f>
        <v>243.92822252173386</v>
      </c>
      <c r="D33" s="9">
        <f>10^2.4</f>
        <v>251.18864315095806</v>
      </c>
    </row>
    <row r="34" spans="1:16">
      <c r="A34" s="8" t="s">
        <v>87</v>
      </c>
      <c r="B34" s="63">
        <f>B29+B31</f>
        <v>2.6202885868420132</v>
      </c>
      <c r="C34" s="105">
        <f>10^B34</f>
        <v>417.14648346400389</v>
      </c>
      <c r="D34" s="9">
        <f>10^2.6</f>
        <v>398.10717055349761</v>
      </c>
    </row>
    <row r="35" spans="1:16">
      <c r="P35" s="113">
        <f>EXP((C29+373.5409)/12.6173)</f>
        <v>318.99378806010827</v>
      </c>
    </row>
    <row r="37" spans="1:16">
      <c r="B37" s="8" t="s">
        <v>94</v>
      </c>
      <c r="C37" s="103" t="s">
        <v>82</v>
      </c>
      <c r="D37" s="8" t="s">
        <v>44</v>
      </c>
    </row>
    <row r="38" spans="1:16">
      <c r="B38">
        <f>LN(B5)</f>
        <v>2.7080502011022101</v>
      </c>
      <c r="C38">
        <f>C5</f>
        <v>-338.5</v>
      </c>
      <c r="D38" s="104">
        <f>B38-$B$46</f>
        <v>-2.2774240793681737</v>
      </c>
    </row>
    <row r="39" spans="1:16">
      <c r="B39">
        <f t="shared" ref="B39:B45" si="5">LN(B6)</f>
        <v>3.5553480614894135</v>
      </c>
      <c r="C39">
        <f t="shared" ref="C39:C45" si="6">C6</f>
        <v>-329.8</v>
      </c>
      <c r="D39" s="104">
        <f t="shared" ref="D39:D45" si="7">B39-$B$46</f>
        <v>-1.4301262189809703</v>
      </c>
    </row>
    <row r="40" spans="1:16">
      <c r="B40">
        <f t="shared" si="5"/>
        <v>4.4886363697321396</v>
      </c>
      <c r="C40">
        <f t="shared" si="6"/>
        <v>-316.5</v>
      </c>
      <c r="D40" s="104">
        <f t="shared" si="7"/>
        <v>-0.49683791073824413</v>
      </c>
      <c r="E40" s="31" t="s">
        <v>36</v>
      </c>
      <c r="F40" s="31" t="s">
        <v>37</v>
      </c>
    </row>
    <row r="41" spans="1:16">
      <c r="B41">
        <f t="shared" si="5"/>
        <v>5.0106352940962555</v>
      </c>
      <c r="C41">
        <f t="shared" si="6"/>
        <v>-312.2</v>
      </c>
      <c r="D41" s="104">
        <f t="shared" si="7"/>
        <v>2.5161013625871753E-2</v>
      </c>
      <c r="E41" s="20">
        <f t="array" ref="E41:F45">LINEST(C38:C45,B38:B45,1,1)</f>
        <v>12.617332450334104</v>
      </c>
      <c r="F41">
        <v>-373.54088641928502</v>
      </c>
    </row>
    <row r="42" spans="1:16">
      <c r="B42">
        <f t="shared" si="5"/>
        <v>5.4380793089231956</v>
      </c>
      <c r="C42">
        <f t="shared" si="6"/>
        <v>-303.7</v>
      </c>
      <c r="D42" s="104">
        <f t="shared" si="7"/>
        <v>0.45260502845281181</v>
      </c>
      <c r="E42">
        <v>0.36985460938262976</v>
      </c>
      <c r="F42">
        <v>1.9006678544349516</v>
      </c>
    </row>
    <row r="43" spans="1:16">
      <c r="B43">
        <f t="shared" si="5"/>
        <v>5.9914645471079817</v>
      </c>
      <c r="C43">
        <f t="shared" si="6"/>
        <v>-296.39999999999998</v>
      </c>
      <c r="D43" s="104">
        <f t="shared" si="7"/>
        <v>1.0059902666375979</v>
      </c>
      <c r="E43">
        <v>0.99487085546429432</v>
      </c>
      <c r="F43" s="20">
        <v>1.3040512662825052</v>
      </c>
    </row>
    <row r="44" spans="1:16">
      <c r="B44">
        <f t="shared" si="5"/>
        <v>6.2146080984221914</v>
      </c>
      <c r="C44">
        <f t="shared" si="6"/>
        <v>-295.5</v>
      </c>
      <c r="D44" s="104">
        <f t="shared" si="7"/>
        <v>1.2291338179518077</v>
      </c>
      <c r="E44">
        <v>1163.7857134327071</v>
      </c>
      <c r="F44">
        <v>6</v>
      </c>
      <c r="G44">
        <f>TINV(0.05,F44)</f>
        <v>2.4469118464326822</v>
      </c>
    </row>
    <row r="45" spans="1:16">
      <c r="B45">
        <f t="shared" si="5"/>
        <v>6.4769723628896827</v>
      </c>
      <c r="C45">
        <f t="shared" si="6"/>
        <v>-292.5</v>
      </c>
      <c r="D45" s="104">
        <f t="shared" si="7"/>
        <v>1.4914980824192989</v>
      </c>
      <c r="E45">
        <v>1979.0754517694434</v>
      </c>
      <c r="F45">
        <v>10.203298230558033</v>
      </c>
    </row>
    <row r="46" spans="1:16">
      <c r="A46" s="30" t="s">
        <v>84</v>
      </c>
      <c r="B46" s="23">
        <f>AVERAGE(B38:B45)</f>
        <v>4.9854742804703838</v>
      </c>
      <c r="C46" s="23">
        <f>AVERAGE(C38:C45)</f>
        <v>-310.63749999999999</v>
      </c>
      <c r="D46" s="104">
        <f>SUMSQ(D38:D45)</f>
        <v>12.431606626299795</v>
      </c>
    </row>
    <row r="47" spans="1:16">
      <c r="B47" s="37">
        <f>(C47-F41)/E41</f>
        <v>5.7651557257143402</v>
      </c>
      <c r="C47" s="37">
        <v>-300.8</v>
      </c>
      <c r="D47" s="114">
        <f>EXP(B47)</f>
        <v>318.98871491412694</v>
      </c>
    </row>
  </sheetData>
  <pageMargins left="0.70866141732283472" right="0.70866141732283472" top="0.78740157480314965" bottom="0.78740157480314965" header="0.31496062992125984" footer="0.31496062992125984"/>
  <pageSetup paperSize="9" orientation="portrait" horizontalDpi="1200" verticalDpi="1200" r:id="rId1"/>
  <drawing r:id="rId2"/>
  <legacyDrawing r:id="rId3"/>
  <oleObjects>
    <oleObject progId="Equation.3" shapeId="290887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23</vt:i4>
      </vt:variant>
    </vt:vector>
  </HeadingPairs>
  <TitlesOfParts>
    <vt:vector size="23" baseType="lpstr">
      <vt:lpstr>insulin</vt:lpstr>
      <vt:lpstr>insulin (2)</vt:lpstr>
      <vt:lpstr>prumer</vt:lpstr>
      <vt:lpstr>prumer (2)</vt:lpstr>
      <vt:lpstr>log</vt:lpstr>
      <vt:lpstr>log (2)</vt:lpstr>
      <vt:lpstr>Wcx1</vt:lpstr>
      <vt:lpstr>Wcx1 (2)</vt:lpstr>
      <vt:lpstr>MW2</vt:lpstr>
      <vt:lpstr>MW2 (2)</vt:lpstr>
      <vt:lpstr>P2</vt:lpstr>
      <vt:lpstr>P2 (2)</vt:lpstr>
      <vt:lpstr>KW</vt:lpstr>
      <vt:lpstr>KW (2)</vt:lpstr>
      <vt:lpstr>wilcoxon</vt:lpstr>
      <vt:lpstr>tab.wilcoxon</vt:lpstr>
      <vt:lpstr>tab.sign test</vt:lpstr>
      <vt:lpstr>usek</vt:lpstr>
      <vt:lpstr>usek (2)</vt:lpstr>
      <vt:lpstr>kalibraceIS</vt:lpstr>
      <vt:lpstr>IS</vt:lpstr>
      <vt:lpstr>massart</vt:lpstr>
      <vt:lpstr>log eng</vt:lpstr>
    </vt:vector>
  </TitlesOfParts>
  <Company>...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..</cp:lastModifiedBy>
  <cp:lastPrinted>2010-12-03T16:15:08Z</cp:lastPrinted>
  <dcterms:created xsi:type="dcterms:W3CDTF">2010-11-29T21:47:44Z</dcterms:created>
  <dcterms:modified xsi:type="dcterms:W3CDTF">2011-12-02T22:59:32Z</dcterms:modified>
</cp:coreProperties>
</file>