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8094\Downloads\"/>
    </mc:Choice>
  </mc:AlternateContent>
  <xr:revisionPtr revIDLastSave="0" documentId="13_ncr:1_{DBA02855-5286-459D-ADC6-ED4F815224A7}" xr6:coauthVersionLast="47" xr6:coauthVersionMax="47" xr10:uidLastSave="{00000000-0000-0000-0000-000000000000}"/>
  <bookViews>
    <workbookView xWindow="-120" yWindow="-120" windowWidth="29040" windowHeight="15840" activeTab="3" xr2:uid="{9D09BAF9-4839-4804-857F-7B0652A3103C}"/>
  </bookViews>
  <sheets>
    <sheet name="Odkazy" sheetId="1" r:id="rId1"/>
    <sheet name="Data" sheetId="2" r:id="rId2"/>
    <sheet name="Data (2)" sheetId="3" r:id="rId3"/>
    <sheet name="Data (3)" sheetId="4" r:id="rId4"/>
  </sheets>
  <definedNames>
    <definedName name="solver_adj" localSheetId="2" hidden="1">'Data (2)'!$O$4:$O$6</definedName>
    <definedName name="solver_adj" localSheetId="3" hidden="1">'Data (3)'!#REF!</definedName>
    <definedName name="solver_cvg" localSheetId="2" hidden="1">0.0001</definedName>
    <definedName name="solver_cvg" localSheetId="3" hidden="1">0.0001</definedName>
    <definedName name="solver_drv" localSheetId="2" hidden="1">1</definedName>
    <definedName name="solver_drv" localSheetId="3" hidden="1">1</definedName>
    <definedName name="solver_eng" localSheetId="2" hidden="1">1</definedName>
    <definedName name="solver_eng" localSheetId="3" hidden="1">1</definedName>
    <definedName name="solver_est" localSheetId="2" hidden="1">1</definedName>
    <definedName name="solver_est" localSheetId="3" hidden="1">1</definedName>
    <definedName name="solver_itr" localSheetId="2" hidden="1">2147483647</definedName>
    <definedName name="solver_itr" localSheetId="3" hidden="1">2147483647</definedName>
    <definedName name="solver_mip" localSheetId="2" hidden="1">2147483647</definedName>
    <definedName name="solver_mip" localSheetId="3" hidden="1">2147483647</definedName>
    <definedName name="solver_mni" localSheetId="2" hidden="1">30</definedName>
    <definedName name="solver_mni" localSheetId="3" hidden="1">30</definedName>
    <definedName name="solver_mrt" localSheetId="2" hidden="1">0.075</definedName>
    <definedName name="solver_mrt" localSheetId="3" hidden="1">0.075</definedName>
    <definedName name="solver_msl" localSheetId="2" hidden="1">2</definedName>
    <definedName name="solver_msl" localSheetId="3" hidden="1">2</definedName>
    <definedName name="solver_neg" localSheetId="2" hidden="1">2</definedName>
    <definedName name="solver_neg" localSheetId="3" hidden="1">2</definedName>
    <definedName name="solver_nod" localSheetId="2" hidden="1">2147483647</definedName>
    <definedName name="solver_nod" localSheetId="3" hidden="1">2147483647</definedName>
    <definedName name="solver_num" localSheetId="2" hidden="1">0</definedName>
    <definedName name="solver_num" localSheetId="3" hidden="1">0</definedName>
    <definedName name="solver_nwt" localSheetId="2" hidden="1">1</definedName>
    <definedName name="solver_nwt" localSheetId="3" hidden="1">1</definedName>
    <definedName name="solver_opt" localSheetId="2" hidden="1">'Data (2)'!$O$13</definedName>
    <definedName name="solver_opt" localSheetId="3" hidden="1">'Data (3)'!#REF!</definedName>
    <definedName name="solver_pre" localSheetId="2" hidden="1">0.000001</definedName>
    <definedName name="solver_pre" localSheetId="3" hidden="1">0.000001</definedName>
    <definedName name="solver_rbv" localSheetId="2" hidden="1">1</definedName>
    <definedName name="solver_rbv" localSheetId="3" hidden="1">1</definedName>
    <definedName name="solver_rlx" localSheetId="2" hidden="1">2</definedName>
    <definedName name="solver_rlx" localSheetId="3" hidden="1">2</definedName>
    <definedName name="solver_rsd" localSheetId="2" hidden="1">0</definedName>
    <definedName name="solver_rsd" localSheetId="3" hidden="1">0</definedName>
    <definedName name="solver_scl" localSheetId="2" hidden="1">1</definedName>
    <definedName name="solver_scl" localSheetId="3" hidden="1">1</definedName>
    <definedName name="solver_sho" localSheetId="2" hidden="1">2</definedName>
    <definedName name="solver_sho" localSheetId="3" hidden="1">2</definedName>
    <definedName name="solver_ssz" localSheetId="2" hidden="1">100</definedName>
    <definedName name="solver_ssz" localSheetId="3" hidden="1">100</definedName>
    <definedName name="solver_tim" localSheetId="2" hidden="1">2147483647</definedName>
    <definedName name="solver_tim" localSheetId="3" hidden="1">2147483647</definedName>
    <definedName name="solver_tol" localSheetId="2" hidden="1">0.01</definedName>
    <definedName name="solver_tol" localSheetId="3" hidden="1">0.01</definedName>
    <definedName name="solver_typ" localSheetId="2" hidden="1">2</definedName>
    <definedName name="solver_typ" localSheetId="3" hidden="1">2</definedName>
    <definedName name="solver_val" localSheetId="2" hidden="1">0</definedName>
    <definedName name="solver_val" localSheetId="3" hidden="1">0</definedName>
    <definedName name="solver_ver" localSheetId="2" hidden="1">3</definedName>
    <definedName name="solver_ver" localSheetId="3" hidden="1">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" i="4" l="1"/>
  <c r="M4" i="4"/>
  <c r="M5" i="4"/>
  <c r="M6" i="4"/>
  <c r="M7" i="4"/>
  <c r="M8" i="4"/>
  <c r="M9" i="4"/>
  <c r="M10" i="4"/>
  <c r="M11" i="4"/>
  <c r="M12" i="4"/>
  <c r="M13" i="4"/>
  <c r="M14" i="4"/>
  <c r="M15" i="4"/>
  <c r="M16" i="4"/>
  <c r="M17" i="4"/>
  <c r="M18" i="4"/>
  <c r="M19" i="4"/>
  <c r="M20" i="4"/>
  <c r="M21" i="4"/>
  <c r="M22" i="4"/>
  <c r="M23" i="4"/>
  <c r="M24" i="4"/>
  <c r="M25" i="4"/>
  <c r="M2" i="4"/>
  <c r="L3" i="4"/>
  <c r="L4" i="4"/>
  <c r="L5" i="4"/>
  <c r="L6" i="4"/>
  <c r="L7" i="4"/>
  <c r="L8" i="4"/>
  <c r="L9" i="4"/>
  <c r="L10" i="4"/>
  <c r="L11" i="4"/>
  <c r="L12" i="4"/>
  <c r="L13" i="4"/>
  <c r="L14" i="4"/>
  <c r="L15" i="4"/>
  <c r="L16" i="4"/>
  <c r="L17" i="4"/>
  <c r="L18" i="4"/>
  <c r="L19" i="4"/>
  <c r="L20" i="4"/>
  <c r="L21" i="4"/>
  <c r="L22" i="4"/>
  <c r="L23" i="4"/>
  <c r="L24" i="4"/>
  <c r="L25" i="4"/>
  <c r="L2" i="4"/>
  <c r="R20" i="4"/>
  <c r="R19" i="4"/>
  <c r="K3" i="4"/>
  <c r="K4" i="4"/>
  <c r="K5" i="4"/>
  <c r="K6" i="4"/>
  <c r="K7" i="4"/>
  <c r="K8" i="4"/>
  <c r="K9" i="4"/>
  <c r="K10" i="4"/>
  <c r="K11" i="4"/>
  <c r="K12" i="4"/>
  <c r="K13" i="4"/>
  <c r="K14" i="4"/>
  <c r="K15" i="4"/>
  <c r="K16" i="4"/>
  <c r="K17" i="4"/>
  <c r="K18" i="4"/>
  <c r="K19" i="4"/>
  <c r="K20" i="4"/>
  <c r="K21" i="4"/>
  <c r="K22" i="4"/>
  <c r="K23" i="4"/>
  <c r="K24" i="4"/>
  <c r="K25" i="4"/>
  <c r="K2" i="4"/>
  <c r="J3" i="4"/>
  <c r="J4" i="4"/>
  <c r="J5" i="4"/>
  <c r="J6" i="4"/>
  <c r="J7" i="4"/>
  <c r="J8" i="4"/>
  <c r="J9" i="4"/>
  <c r="J10" i="4"/>
  <c r="J11" i="4"/>
  <c r="J12" i="4"/>
  <c r="J13" i="4"/>
  <c r="J14" i="4"/>
  <c r="J15" i="4"/>
  <c r="J16" i="4"/>
  <c r="J17" i="4"/>
  <c r="J18" i="4"/>
  <c r="J19" i="4"/>
  <c r="J20" i="4"/>
  <c r="J21" i="4"/>
  <c r="J22" i="4"/>
  <c r="J23" i="4"/>
  <c r="J24" i="4"/>
  <c r="J25" i="4"/>
  <c r="J2" i="4"/>
  <c r="R15" i="4"/>
  <c r="R14" i="4"/>
  <c r="I28" i="4" l="1"/>
  <c r="I27" i="4"/>
  <c r="H28" i="4"/>
  <c r="H27" i="4"/>
  <c r="G28" i="4"/>
  <c r="G27" i="4"/>
  <c r="I3" i="4"/>
  <c r="I4" i="4"/>
  <c r="I5" i="4"/>
  <c r="I6" i="4"/>
  <c r="I7" i="4"/>
  <c r="I8" i="4"/>
  <c r="I9" i="4"/>
  <c r="I10" i="4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" i="4"/>
  <c r="B28" i="4"/>
  <c r="B27" i="4"/>
  <c r="L43" i="4"/>
  <c r="J38" i="4"/>
  <c r="J49" i="4" s="1"/>
  <c r="J37" i="4"/>
  <c r="K37" i="4" s="1"/>
  <c r="J36" i="4"/>
  <c r="J47" i="4" s="1"/>
  <c r="D31" i="4"/>
  <c r="C31" i="4"/>
  <c r="D30" i="4"/>
  <c r="C30" i="4"/>
  <c r="D27" i="4"/>
  <c r="F21" i="4" s="1"/>
  <c r="C27" i="4"/>
  <c r="E20" i="4" s="1"/>
  <c r="F20" i="4"/>
  <c r="E19" i="4"/>
  <c r="F18" i="4"/>
  <c r="E17" i="4"/>
  <c r="E15" i="4"/>
  <c r="F9" i="4"/>
  <c r="E8" i="4"/>
  <c r="F7" i="4"/>
  <c r="E7" i="4"/>
  <c r="E6" i="4"/>
  <c r="E5" i="4"/>
  <c r="E4" i="4"/>
  <c r="E3" i="4"/>
  <c r="E2" i="4"/>
  <c r="J44" i="3"/>
  <c r="J43" i="3"/>
  <c r="J42" i="3"/>
  <c r="E25" i="4" l="1"/>
  <c r="E18" i="4"/>
  <c r="E23" i="4"/>
  <c r="F8" i="4"/>
  <c r="F19" i="4"/>
  <c r="K38" i="4"/>
  <c r="L42" i="4"/>
  <c r="L44" i="4" s="1"/>
  <c r="F6" i="4"/>
  <c r="E16" i="4"/>
  <c r="F17" i="4"/>
  <c r="E24" i="4"/>
  <c r="F25" i="4"/>
  <c r="F4" i="4"/>
  <c r="E11" i="4"/>
  <c r="E13" i="4"/>
  <c r="E14" i="4"/>
  <c r="F15" i="4"/>
  <c r="E22" i="4"/>
  <c r="F23" i="4"/>
  <c r="K36" i="4"/>
  <c r="J48" i="4"/>
  <c r="F5" i="4"/>
  <c r="F16" i="4"/>
  <c r="F24" i="4"/>
  <c r="F3" i="4"/>
  <c r="E10" i="4"/>
  <c r="F11" i="4"/>
  <c r="E12" i="4"/>
  <c r="F13" i="4"/>
  <c r="F14" i="4"/>
  <c r="E21" i="4"/>
  <c r="F22" i="4"/>
  <c r="F2" i="4"/>
  <c r="E9" i="4"/>
  <c r="F10" i="4"/>
  <c r="F12" i="4"/>
  <c r="J4" i="3"/>
  <c r="K4" i="3" s="1"/>
  <c r="J3" i="3"/>
  <c r="K3" i="3" s="1"/>
  <c r="J5" i="3"/>
  <c r="K5" i="3" s="1"/>
  <c r="J6" i="3"/>
  <c r="K6" i="3" s="1"/>
  <c r="J7" i="3"/>
  <c r="K7" i="3" s="1"/>
  <c r="J8" i="3"/>
  <c r="K8" i="3" s="1"/>
  <c r="J9" i="3"/>
  <c r="K9" i="3" s="1"/>
  <c r="J10" i="3"/>
  <c r="K10" i="3" s="1"/>
  <c r="J11" i="3"/>
  <c r="K11" i="3" s="1"/>
  <c r="J12" i="3"/>
  <c r="K12" i="3" s="1"/>
  <c r="J13" i="3"/>
  <c r="K13" i="3" s="1"/>
  <c r="J14" i="3"/>
  <c r="K14" i="3" s="1"/>
  <c r="J15" i="3"/>
  <c r="K15" i="3" s="1"/>
  <c r="J16" i="3"/>
  <c r="K16" i="3" s="1"/>
  <c r="J17" i="3"/>
  <c r="K17" i="3" s="1"/>
  <c r="J18" i="3"/>
  <c r="K18" i="3" s="1"/>
  <c r="J19" i="3"/>
  <c r="K19" i="3" s="1"/>
  <c r="J20" i="3"/>
  <c r="K20" i="3" s="1"/>
  <c r="J21" i="3"/>
  <c r="K21" i="3" s="1"/>
  <c r="J22" i="3"/>
  <c r="K22" i="3" s="1"/>
  <c r="J23" i="3"/>
  <c r="K23" i="3" s="1"/>
  <c r="J24" i="3"/>
  <c r="K24" i="3" s="1"/>
  <c r="J25" i="3"/>
  <c r="K25" i="3" s="1"/>
  <c r="J2" i="3"/>
  <c r="K2" i="3" s="1"/>
  <c r="L38" i="3"/>
  <c r="J33" i="3"/>
  <c r="K33" i="3" s="1"/>
  <c r="K32" i="3"/>
  <c r="J32" i="3"/>
  <c r="J31" i="3"/>
  <c r="K31" i="3" s="1"/>
  <c r="D31" i="3"/>
  <c r="C31" i="3"/>
  <c r="D30" i="3"/>
  <c r="C30" i="3"/>
  <c r="D27" i="3"/>
  <c r="C27" i="3"/>
  <c r="E21" i="3" s="1"/>
  <c r="F20" i="3"/>
  <c r="F19" i="3"/>
  <c r="E19" i="3"/>
  <c r="F18" i="3"/>
  <c r="F12" i="3"/>
  <c r="F11" i="3"/>
  <c r="E11" i="3"/>
  <c r="F10" i="3"/>
  <c r="F5" i="3"/>
  <c r="F4" i="3"/>
  <c r="F3" i="3"/>
  <c r="E3" i="3"/>
  <c r="F2" i="3"/>
  <c r="K3" i="2"/>
  <c r="K4" i="2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" i="2"/>
  <c r="J3" i="2"/>
  <c r="J4" i="2"/>
  <c r="J5" i="2"/>
  <c r="J6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" i="2"/>
  <c r="N31" i="2"/>
  <c r="N32" i="2"/>
  <c r="L39" i="2"/>
  <c r="L38" i="2"/>
  <c r="L37" i="2"/>
  <c r="K33" i="2"/>
  <c r="K32" i="2"/>
  <c r="K31" i="2"/>
  <c r="J33" i="2"/>
  <c r="J32" i="2"/>
  <c r="J31" i="2"/>
  <c r="D31" i="2"/>
  <c r="C31" i="2"/>
  <c r="D30" i="2"/>
  <c r="C30" i="2"/>
  <c r="D27" i="2"/>
  <c r="F22" i="2" s="1"/>
  <c r="C27" i="2"/>
  <c r="E6" i="2" s="1"/>
  <c r="E27" i="4" l="1"/>
  <c r="D28" i="4"/>
  <c r="F27" i="4"/>
  <c r="C28" i="4"/>
  <c r="G12" i="4" s="1"/>
  <c r="O13" i="3"/>
  <c r="O11" i="3"/>
  <c r="R11" i="3" s="1"/>
  <c r="E4" i="3"/>
  <c r="E12" i="3"/>
  <c r="F13" i="3"/>
  <c r="E20" i="3"/>
  <c r="F21" i="3"/>
  <c r="F9" i="3"/>
  <c r="F17" i="3"/>
  <c r="E24" i="3"/>
  <c r="F25" i="3"/>
  <c r="F8" i="3"/>
  <c r="F16" i="3"/>
  <c r="E23" i="3"/>
  <c r="F24" i="3"/>
  <c r="L37" i="3"/>
  <c r="L39" i="3" s="1"/>
  <c r="E2" i="3"/>
  <c r="E10" i="3"/>
  <c r="E18" i="3"/>
  <c r="E25" i="3"/>
  <c r="E8" i="3"/>
  <c r="E16" i="3"/>
  <c r="E15" i="3"/>
  <c r="E6" i="3"/>
  <c r="F7" i="3"/>
  <c r="E14" i="3"/>
  <c r="F15" i="3"/>
  <c r="E22" i="3"/>
  <c r="F23" i="3"/>
  <c r="E9" i="3"/>
  <c r="E17" i="3"/>
  <c r="E7" i="3"/>
  <c r="E5" i="3"/>
  <c r="F6" i="3"/>
  <c r="E13" i="3"/>
  <c r="F14" i="3"/>
  <c r="F22" i="3"/>
  <c r="E19" i="2"/>
  <c r="E11" i="2"/>
  <c r="E3" i="2"/>
  <c r="F9" i="2"/>
  <c r="F17" i="2"/>
  <c r="F25" i="2"/>
  <c r="E24" i="2"/>
  <c r="E16" i="2"/>
  <c r="E8" i="2"/>
  <c r="F4" i="2"/>
  <c r="F12" i="2"/>
  <c r="F20" i="2"/>
  <c r="E23" i="2"/>
  <c r="E15" i="2"/>
  <c r="E7" i="2"/>
  <c r="F5" i="2"/>
  <c r="F13" i="2"/>
  <c r="F21" i="2"/>
  <c r="E20" i="2"/>
  <c r="E12" i="2"/>
  <c r="E4" i="2"/>
  <c r="F8" i="2"/>
  <c r="F16" i="2"/>
  <c r="F24" i="2"/>
  <c r="E2" i="2"/>
  <c r="E18" i="2"/>
  <c r="E10" i="2"/>
  <c r="F10" i="2"/>
  <c r="F18" i="2"/>
  <c r="F2" i="2"/>
  <c r="E21" i="2"/>
  <c r="E13" i="2"/>
  <c r="E5" i="2"/>
  <c r="F7" i="2"/>
  <c r="F15" i="2"/>
  <c r="F23" i="2"/>
  <c r="E25" i="2"/>
  <c r="E17" i="2"/>
  <c r="E9" i="2"/>
  <c r="F3" i="2"/>
  <c r="F11" i="2"/>
  <c r="F19" i="2"/>
  <c r="E22" i="2"/>
  <c r="E14" i="2"/>
  <c r="F6" i="2"/>
  <c r="F14" i="2"/>
  <c r="L49" i="4" l="1"/>
  <c r="G13" i="4"/>
  <c r="G11" i="4"/>
  <c r="G16" i="4"/>
  <c r="G14" i="4"/>
  <c r="H18" i="4"/>
  <c r="H9" i="4"/>
  <c r="H20" i="4"/>
  <c r="H21" i="4"/>
  <c r="H7" i="4"/>
  <c r="H25" i="4"/>
  <c r="H14" i="4"/>
  <c r="H24" i="4"/>
  <c r="H13" i="4"/>
  <c r="H23" i="4"/>
  <c r="H22" i="4"/>
  <c r="H8" i="4"/>
  <c r="H11" i="4"/>
  <c r="H10" i="4"/>
  <c r="H6" i="4"/>
  <c r="H5" i="4"/>
  <c r="H17" i="4"/>
  <c r="G24" i="4"/>
  <c r="H16" i="4"/>
  <c r="H15" i="4"/>
  <c r="G22" i="4"/>
  <c r="G21" i="4"/>
  <c r="H3" i="4"/>
  <c r="G10" i="4"/>
  <c r="G2" i="4"/>
  <c r="G17" i="4"/>
  <c r="G15" i="4"/>
  <c r="G18" i="4"/>
  <c r="G20" i="4"/>
  <c r="G23" i="4"/>
  <c r="G4" i="4"/>
  <c r="G5" i="4"/>
  <c r="G7" i="4"/>
  <c r="G8" i="4"/>
  <c r="G19" i="4"/>
  <c r="G25" i="4"/>
  <c r="G3" i="4"/>
  <c r="G6" i="4"/>
  <c r="H2" i="4"/>
  <c r="G9" i="4"/>
  <c r="H12" i="4"/>
  <c r="H19" i="4"/>
  <c r="H4" i="4"/>
  <c r="G18" i="3"/>
  <c r="G14" i="3"/>
  <c r="C28" i="3"/>
  <c r="G12" i="3" s="1"/>
  <c r="E27" i="3"/>
  <c r="G17" i="3"/>
  <c r="G10" i="3"/>
  <c r="G7" i="3"/>
  <c r="G24" i="3"/>
  <c r="G6" i="3"/>
  <c r="F27" i="3"/>
  <c r="G9" i="3"/>
  <c r="G16" i="3"/>
  <c r="G4" i="3"/>
  <c r="G23" i="3"/>
  <c r="G20" i="3"/>
  <c r="D28" i="3"/>
  <c r="H25" i="3" s="1"/>
  <c r="G15" i="3"/>
  <c r="G8" i="3"/>
  <c r="G13" i="3"/>
  <c r="G22" i="3"/>
  <c r="G25" i="3"/>
  <c r="D28" i="2"/>
  <c r="H22" i="2" s="1"/>
  <c r="F27" i="2"/>
  <c r="C28" i="2"/>
  <c r="G6" i="2" s="1"/>
  <c r="E27" i="2"/>
  <c r="H21" i="3" l="1"/>
  <c r="I23" i="3"/>
  <c r="H9" i="3"/>
  <c r="H7" i="3"/>
  <c r="I7" i="3"/>
  <c r="H24" i="3"/>
  <c r="I24" i="3" s="1"/>
  <c r="H16" i="3"/>
  <c r="I16" i="3" s="1"/>
  <c r="H23" i="3"/>
  <c r="I17" i="3"/>
  <c r="H5" i="3"/>
  <c r="H18" i="3"/>
  <c r="I18" i="3" s="1"/>
  <c r="H3" i="3"/>
  <c r="H2" i="3"/>
  <c r="H11" i="3"/>
  <c r="H10" i="3"/>
  <c r="I10" i="3" s="1"/>
  <c r="H20" i="3"/>
  <c r="H4" i="3"/>
  <c r="I4" i="3" s="1"/>
  <c r="H19" i="3"/>
  <c r="H12" i="3"/>
  <c r="I12" i="3" s="1"/>
  <c r="I20" i="3"/>
  <c r="H15" i="3"/>
  <c r="I25" i="3"/>
  <c r="H22" i="3"/>
  <c r="I22" i="3"/>
  <c r="H14" i="3"/>
  <c r="G2" i="3"/>
  <c r="I2" i="3" s="1"/>
  <c r="G5" i="3"/>
  <c r="I5" i="3" s="1"/>
  <c r="I14" i="3"/>
  <c r="H17" i="3"/>
  <c r="I15" i="3"/>
  <c r="H13" i="3"/>
  <c r="I13" i="3" s="1"/>
  <c r="I9" i="3"/>
  <c r="H8" i="3"/>
  <c r="I8" i="3" s="1"/>
  <c r="G3" i="3"/>
  <c r="G19" i="3"/>
  <c r="G11" i="3"/>
  <c r="I11" i="3" s="1"/>
  <c r="G21" i="3"/>
  <c r="I21" i="3" s="1"/>
  <c r="H6" i="3"/>
  <c r="I6" i="3" s="1"/>
  <c r="G2" i="2"/>
  <c r="H5" i="2"/>
  <c r="G4" i="2"/>
  <c r="G21" i="2"/>
  <c r="G5" i="2"/>
  <c r="H23" i="2"/>
  <c r="I6" i="2"/>
  <c r="G9" i="2"/>
  <c r="I9" i="2" s="1"/>
  <c r="H8" i="2"/>
  <c r="G12" i="2"/>
  <c r="G18" i="2"/>
  <c r="H21" i="2"/>
  <c r="H4" i="2"/>
  <c r="G10" i="2"/>
  <c r="H25" i="2"/>
  <c r="G7" i="2"/>
  <c r="H16" i="2"/>
  <c r="G11" i="2"/>
  <c r="H24" i="2"/>
  <c r="H6" i="2"/>
  <c r="G13" i="2"/>
  <c r="H19" i="2"/>
  <c r="H20" i="2"/>
  <c r="H3" i="2"/>
  <c r="G22" i="2"/>
  <c r="I22" i="2" s="1"/>
  <c r="G8" i="2"/>
  <c r="H10" i="2"/>
  <c r="H12" i="2"/>
  <c r="H17" i="2"/>
  <c r="G15" i="2"/>
  <c r="G16" i="2"/>
  <c r="G19" i="2"/>
  <c r="I19" i="2" s="1"/>
  <c r="H7" i="2"/>
  <c r="H11" i="2"/>
  <c r="G23" i="2"/>
  <c r="G3" i="2"/>
  <c r="H9" i="2"/>
  <c r="H2" i="2"/>
  <c r="G24" i="2"/>
  <c r="G14" i="2"/>
  <c r="I14" i="2" s="1"/>
  <c r="H13" i="2"/>
  <c r="G25" i="2"/>
  <c r="G20" i="2"/>
  <c r="H18" i="2"/>
  <c r="H14" i="2"/>
  <c r="H15" i="2"/>
  <c r="G17" i="2"/>
  <c r="I17" i="2" s="1"/>
  <c r="J34" i="4" l="1"/>
  <c r="I19" i="3"/>
  <c r="J29" i="3" s="1"/>
  <c r="I3" i="3"/>
  <c r="I2" i="2"/>
  <c r="I24" i="2"/>
  <c r="I10" i="2"/>
  <c r="I5" i="2"/>
  <c r="I21" i="2"/>
  <c r="I16" i="2"/>
  <c r="I3" i="2"/>
  <c r="I7" i="2"/>
  <c r="I15" i="2"/>
  <c r="I4" i="2"/>
  <c r="I13" i="2"/>
  <c r="I20" i="2"/>
  <c r="I23" i="2"/>
  <c r="I18" i="2"/>
  <c r="I25" i="2"/>
  <c r="I8" i="2"/>
  <c r="I11" i="2"/>
  <c r="I12" i="2"/>
  <c r="J29" i="2" l="1"/>
</calcChain>
</file>

<file path=xl/sharedStrings.xml><?xml version="1.0" encoding="utf-8"?>
<sst xmlns="http://schemas.openxmlformats.org/spreadsheetml/2006/main" count="155" uniqueCount="91">
  <si>
    <t>https://en.wikipedia.org/wiki/Path_analysis_(statistics)</t>
  </si>
  <si>
    <t>Path analysis:</t>
  </si>
  <si>
    <t>Knihy</t>
  </si>
  <si>
    <t>https://www.amazon.com/Latent-Variable-Models-John-Loehlin/dp/1138916072</t>
  </si>
  <si>
    <t>https://books.google.cz/books?id=q9zhGIlYw7kC</t>
  </si>
  <si>
    <t>https://onlinelibrary.wiley.com/doi/book/10.1002/9781118619179</t>
  </si>
  <si>
    <t>https://www.enbook.cz/catalog/product/view/id/399613?gclid=EAIaIQobChMI9N2Mv4yR9gIVVOJ3Ch1PeA5KEAQYASABEgJojvD_BwE</t>
  </si>
  <si>
    <t>Plán práce:</t>
  </si>
  <si>
    <t>korelace</t>
  </si>
  <si>
    <t>jednoduchá regrese (2 proměnné)</t>
  </si>
  <si>
    <t>vícenásobná regrese (3 proměnné)</t>
  </si>
  <si>
    <t>parciální korelace</t>
  </si>
  <si>
    <t>faktorová analýza (1 faktor)</t>
  </si>
  <si>
    <t>faktorová analýza (2  a více faktorů)</t>
  </si>
  <si>
    <t>v Excelu</t>
  </si>
  <si>
    <t>v dalších softwarech</t>
  </si>
  <si>
    <t>explorační vs. konfirmační FA</t>
  </si>
  <si>
    <t>strukturní modelování</t>
  </si>
  <si>
    <t>i</t>
  </si>
  <si>
    <t>pohl (P)</t>
  </si>
  <si>
    <t>vyska (V)</t>
  </si>
  <si>
    <t>hmot (H)</t>
  </si>
  <si>
    <t>m</t>
  </si>
  <si>
    <t>sd</t>
  </si>
  <si>
    <t>průměr</t>
  </si>
  <si>
    <t>mV - Vi</t>
  </si>
  <si>
    <t>mH - Hi</t>
  </si>
  <si>
    <t>smodch</t>
  </si>
  <si>
    <t>rVH</t>
  </si>
  <si>
    <t>zVi</t>
  </si>
  <si>
    <t>zHi</t>
  </si>
  <si>
    <t>zVi * zHi</t>
  </si>
  <si>
    <t>rPV</t>
  </si>
  <si>
    <t>rPH</t>
  </si>
  <si>
    <t>koeficient determinace</t>
  </si>
  <si>
    <t>statistická významnost korelace</t>
  </si>
  <si>
    <t>t</t>
  </si>
  <si>
    <t>df</t>
  </si>
  <si>
    <t>p</t>
  </si>
  <si>
    <t>a</t>
  </si>
  <si>
    <t>b</t>
  </si>
  <si>
    <t>Matematický model</t>
  </si>
  <si>
    <t>H.stříška.i = a + b * V.i</t>
  </si>
  <si>
    <t>H.stř</t>
  </si>
  <si>
    <t>e</t>
  </si>
  <si>
    <t>H.stříška.i = a + b1 * V.i + b2 * P.i</t>
  </si>
  <si>
    <t>b1</t>
  </si>
  <si>
    <t>b2</t>
  </si>
  <si>
    <t>Kritéria</t>
  </si>
  <si>
    <t>R</t>
  </si>
  <si>
    <r>
      <t>R</t>
    </r>
    <r>
      <rPr>
        <vertAlign val="superscript"/>
        <sz val="11"/>
        <color theme="1"/>
        <rFont val="Calibri"/>
        <family val="2"/>
        <charset val="238"/>
        <scheme val="minor"/>
      </rPr>
      <t>2</t>
    </r>
  </si>
  <si>
    <t>SS</t>
  </si>
  <si>
    <t>VÝSLEDEK</t>
  </si>
  <si>
    <t>Regresní statistika</t>
  </si>
  <si>
    <t>Násobné R</t>
  </si>
  <si>
    <t>Hodnota spolehlivosti R</t>
  </si>
  <si>
    <t>Nastavená hodnota spolehlivosti R</t>
  </si>
  <si>
    <t>Chyba stř. hodnoty</t>
  </si>
  <si>
    <t>Pozorování</t>
  </si>
  <si>
    <t>ANOVA</t>
  </si>
  <si>
    <t>Regrese</t>
  </si>
  <si>
    <t>Rezidua</t>
  </si>
  <si>
    <t>Celkem</t>
  </si>
  <si>
    <t>Hranice</t>
  </si>
  <si>
    <t>Rozdíl</t>
  </si>
  <si>
    <t>MS</t>
  </si>
  <si>
    <t>F</t>
  </si>
  <si>
    <t>Významnost F</t>
  </si>
  <si>
    <t>Koeficienty</t>
  </si>
  <si>
    <t>t Stat</t>
  </si>
  <si>
    <t>Hodnota P</t>
  </si>
  <si>
    <t>Dolní 95%</t>
  </si>
  <si>
    <t>Horní 95%</t>
  </si>
  <si>
    <t>Dolní 95,0%</t>
  </si>
  <si>
    <t>Horní 95,0%</t>
  </si>
  <si>
    <t>REZIDUA</t>
  </si>
  <si>
    <t>Očekávané hmot (H)</t>
  </si>
  <si>
    <t>Normovaná rezidua</t>
  </si>
  <si>
    <t>PRAVDĚPODOBNOST</t>
  </si>
  <si>
    <t>Percentil</t>
  </si>
  <si>
    <t>Parciální korelace</t>
  </si>
  <si>
    <t>rVH.P</t>
  </si>
  <si>
    <t>rPV.H</t>
  </si>
  <si>
    <t>rPH.V</t>
  </si>
  <si>
    <t>Předpověď H z V</t>
  </si>
  <si>
    <t>e.H</t>
  </si>
  <si>
    <t>P.stř</t>
  </si>
  <si>
    <t>e.P</t>
  </si>
  <si>
    <t>Předpověď P z V</t>
  </si>
  <si>
    <t>pomocí vzorce Excelu (pearson)</t>
  </si>
  <si>
    <t>zPi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</si>
</sst>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7">
    <xf numFmtId="0" fontId="0" fillId="0" borderId="0" xfId="0"/>
    <xf numFmtId="0" fontId="1" fillId="0" borderId="0" xfId="1"/>
    <xf numFmtId="0" fontId="0" fillId="0" borderId="0" xfId="0" applyFill="1" applyBorder="1" applyAlignment="1"/>
    <xf numFmtId="0" fontId="0" fillId="0" borderId="1" xfId="0" applyFill="1" applyBorder="1" applyAlignment="1"/>
    <xf numFmtId="0" fontId="4" fillId="0" borderId="2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Continuous"/>
    </xf>
    <xf numFmtId="0" fontId="3" fillId="0" borderId="0" xfId="0" applyFont="1"/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Data!$D$1</c:f>
              <c:strCache>
                <c:ptCount val="1"/>
                <c:pt idx="0">
                  <c:v>hmot (H)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name>H = a + b * V</c:nam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cs-CZ"/>
                </a:p>
              </c:txPr>
            </c:trendlineLbl>
          </c:trendline>
          <c:xVal>
            <c:numRef>
              <c:f>Data!$C$2:$C$25</c:f>
              <c:numCache>
                <c:formatCode>General</c:formatCode>
                <c:ptCount val="24"/>
                <c:pt idx="0">
                  <c:v>172</c:v>
                </c:pt>
                <c:pt idx="1">
                  <c:v>169</c:v>
                </c:pt>
                <c:pt idx="2">
                  <c:v>170</c:v>
                </c:pt>
                <c:pt idx="3">
                  <c:v>166</c:v>
                </c:pt>
                <c:pt idx="4">
                  <c:v>183</c:v>
                </c:pt>
                <c:pt idx="5">
                  <c:v>168</c:v>
                </c:pt>
                <c:pt idx="6">
                  <c:v>170</c:v>
                </c:pt>
                <c:pt idx="7">
                  <c:v>190</c:v>
                </c:pt>
                <c:pt idx="8">
                  <c:v>165</c:v>
                </c:pt>
                <c:pt idx="9">
                  <c:v>152</c:v>
                </c:pt>
                <c:pt idx="10">
                  <c:v>187</c:v>
                </c:pt>
                <c:pt idx="11">
                  <c:v>185</c:v>
                </c:pt>
                <c:pt idx="12">
                  <c:v>193</c:v>
                </c:pt>
                <c:pt idx="13">
                  <c:v>163</c:v>
                </c:pt>
                <c:pt idx="14">
                  <c:v>150</c:v>
                </c:pt>
                <c:pt idx="15">
                  <c:v>173</c:v>
                </c:pt>
                <c:pt idx="16">
                  <c:v>165</c:v>
                </c:pt>
                <c:pt idx="17">
                  <c:v>171</c:v>
                </c:pt>
                <c:pt idx="18">
                  <c:v>185</c:v>
                </c:pt>
                <c:pt idx="19">
                  <c:v>172</c:v>
                </c:pt>
                <c:pt idx="20">
                  <c:v>168</c:v>
                </c:pt>
                <c:pt idx="21">
                  <c:v>194</c:v>
                </c:pt>
                <c:pt idx="22">
                  <c:v>174</c:v>
                </c:pt>
                <c:pt idx="23">
                  <c:v>175</c:v>
                </c:pt>
              </c:numCache>
            </c:numRef>
          </c:xVal>
          <c:yVal>
            <c:numRef>
              <c:f>Data!$D$2:$D$25</c:f>
              <c:numCache>
                <c:formatCode>General</c:formatCode>
                <c:ptCount val="24"/>
                <c:pt idx="0">
                  <c:v>87</c:v>
                </c:pt>
                <c:pt idx="1">
                  <c:v>61</c:v>
                </c:pt>
                <c:pt idx="2">
                  <c:v>63</c:v>
                </c:pt>
                <c:pt idx="3">
                  <c:v>85</c:v>
                </c:pt>
                <c:pt idx="4">
                  <c:v>77</c:v>
                </c:pt>
                <c:pt idx="5">
                  <c:v>58</c:v>
                </c:pt>
                <c:pt idx="6">
                  <c:v>65</c:v>
                </c:pt>
                <c:pt idx="7">
                  <c:v>90</c:v>
                </c:pt>
                <c:pt idx="8">
                  <c:v>63</c:v>
                </c:pt>
                <c:pt idx="9">
                  <c:v>51</c:v>
                </c:pt>
                <c:pt idx="10">
                  <c:v>82</c:v>
                </c:pt>
                <c:pt idx="11">
                  <c:v>125</c:v>
                </c:pt>
                <c:pt idx="12">
                  <c:v>97</c:v>
                </c:pt>
                <c:pt idx="13">
                  <c:v>61</c:v>
                </c:pt>
                <c:pt idx="14">
                  <c:v>44</c:v>
                </c:pt>
                <c:pt idx="15">
                  <c:v>68</c:v>
                </c:pt>
                <c:pt idx="16">
                  <c:v>58</c:v>
                </c:pt>
                <c:pt idx="17">
                  <c:v>65</c:v>
                </c:pt>
                <c:pt idx="18">
                  <c:v>90</c:v>
                </c:pt>
                <c:pt idx="19">
                  <c:v>72</c:v>
                </c:pt>
                <c:pt idx="20">
                  <c:v>63</c:v>
                </c:pt>
                <c:pt idx="21">
                  <c:v>113</c:v>
                </c:pt>
                <c:pt idx="22">
                  <c:v>83</c:v>
                </c:pt>
                <c:pt idx="23">
                  <c:v>87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787-4908-BC35-9AB20A323A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55657807"/>
        <c:axId val="1855663631"/>
      </c:scatterChart>
      <c:valAx>
        <c:axId val="1855657807"/>
        <c:scaling>
          <c:orientation val="minMax"/>
          <c:max val="195"/>
          <c:min val="15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855663631"/>
        <c:crosses val="autoZero"/>
        <c:crossBetween val="midCat"/>
      </c:valAx>
      <c:valAx>
        <c:axId val="1855663631"/>
        <c:scaling>
          <c:orientation val="minMax"/>
          <c:min val="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855657807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/>
              <a:t>pohl (P) Graf s rezidui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>
              <a:noFill/>
            </a:ln>
          </c:spPr>
          <c:xVal>
            <c:numRef>
              <c:f>'Data (2)'!$B$2:$B$25</c:f>
              <c:numCache>
                <c:formatCode>General</c:formatCode>
                <c:ptCount val="24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</c:numCache>
            </c:numRef>
          </c:xVal>
          <c:yVal>
            <c:numRef>
              <c:f>'Data (2)'!$S$40:$S$63</c:f>
              <c:numCache>
                <c:formatCode>General</c:formatCode>
                <c:ptCount val="24"/>
                <c:pt idx="0">
                  <c:v>12.549213770921455</c:v>
                </c:pt>
                <c:pt idx="1">
                  <c:v>-7.528381678479974</c:v>
                </c:pt>
                <c:pt idx="2">
                  <c:v>-8.794552981118585</c:v>
                </c:pt>
                <c:pt idx="3">
                  <c:v>20.455968193459995</c:v>
                </c:pt>
                <c:pt idx="4">
                  <c:v>-12.060069092858413</c:v>
                </c:pt>
                <c:pt idx="5">
                  <c:v>-11.138319733158596</c:v>
                </c:pt>
                <c:pt idx="6">
                  <c:v>-4.8564983024599542</c:v>
                </c:pt>
                <c:pt idx="7">
                  <c:v>-8.3568854607183027</c:v>
                </c:pt>
                <c:pt idx="8">
                  <c:v>-0.21591518256002473</c:v>
                </c:pt>
                <c:pt idx="9">
                  <c:v>5.0496009291798032</c:v>
                </c:pt>
                <c:pt idx="10">
                  <c:v>-12.372535588778334</c:v>
                </c:pt>
                <c:pt idx="11">
                  <c:v>33.283697659181627</c:v>
                </c:pt>
                <c:pt idx="12">
                  <c:v>-5.3412353326582718</c:v>
                </c:pt>
                <c:pt idx="13">
                  <c:v>-1.4977366132586667</c:v>
                </c:pt>
                <c:pt idx="14">
                  <c:v>0.7058341771397636</c:v>
                </c:pt>
                <c:pt idx="15">
                  <c:v>-5.8408481743998948</c:v>
                </c:pt>
                <c:pt idx="16">
                  <c:v>-5.2159151825600247</c:v>
                </c:pt>
                <c:pt idx="17">
                  <c:v>-6.1846149264399344</c:v>
                </c:pt>
                <c:pt idx="18">
                  <c:v>-1.7163023408183733</c:v>
                </c:pt>
                <c:pt idx="19">
                  <c:v>-2.4507862290785454</c:v>
                </c:pt>
                <c:pt idx="20">
                  <c:v>-4.2002650544999653</c:v>
                </c:pt>
                <c:pt idx="21">
                  <c:v>9.3306480433617764</c:v>
                </c:pt>
                <c:pt idx="22">
                  <c:v>7.8310352016200966</c:v>
                </c:pt>
                <c:pt idx="23">
                  <c:v>8.5648638989814856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431-4648-8AD8-660FA70040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85533984"/>
        <c:axId val="1285536896"/>
      </c:scatterChart>
      <c:valAx>
        <c:axId val="12855339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cs-CZ"/>
                  <a:t>pohl (P)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285536896"/>
        <c:crosses val="autoZero"/>
        <c:crossBetween val="midCat"/>
      </c:valAx>
      <c:valAx>
        <c:axId val="128553689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cs-CZ"/>
                  <a:t>Rezidua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285533984"/>
        <c:crosses val="autoZero"/>
        <c:crossBetween val="midCat"/>
      </c:valAx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/>
              <a:t>vyska (V) Graf s rezidui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>
              <a:noFill/>
            </a:ln>
          </c:spPr>
          <c:xVal>
            <c:numRef>
              <c:f>'Data (2)'!$C$2:$C$25</c:f>
              <c:numCache>
                <c:formatCode>General</c:formatCode>
                <c:ptCount val="24"/>
                <c:pt idx="0">
                  <c:v>172</c:v>
                </c:pt>
                <c:pt idx="1">
                  <c:v>169</c:v>
                </c:pt>
                <c:pt idx="2">
                  <c:v>170</c:v>
                </c:pt>
                <c:pt idx="3">
                  <c:v>166</c:v>
                </c:pt>
                <c:pt idx="4">
                  <c:v>183</c:v>
                </c:pt>
                <c:pt idx="5">
                  <c:v>168</c:v>
                </c:pt>
                <c:pt idx="6">
                  <c:v>170</c:v>
                </c:pt>
                <c:pt idx="7">
                  <c:v>190</c:v>
                </c:pt>
                <c:pt idx="8">
                  <c:v>165</c:v>
                </c:pt>
                <c:pt idx="9">
                  <c:v>152</c:v>
                </c:pt>
                <c:pt idx="10">
                  <c:v>187</c:v>
                </c:pt>
                <c:pt idx="11">
                  <c:v>185</c:v>
                </c:pt>
                <c:pt idx="12">
                  <c:v>193</c:v>
                </c:pt>
                <c:pt idx="13">
                  <c:v>163</c:v>
                </c:pt>
                <c:pt idx="14">
                  <c:v>150</c:v>
                </c:pt>
                <c:pt idx="15">
                  <c:v>173</c:v>
                </c:pt>
                <c:pt idx="16">
                  <c:v>165</c:v>
                </c:pt>
                <c:pt idx="17">
                  <c:v>171</c:v>
                </c:pt>
                <c:pt idx="18">
                  <c:v>185</c:v>
                </c:pt>
                <c:pt idx="19">
                  <c:v>172</c:v>
                </c:pt>
                <c:pt idx="20">
                  <c:v>168</c:v>
                </c:pt>
                <c:pt idx="21">
                  <c:v>194</c:v>
                </c:pt>
                <c:pt idx="22">
                  <c:v>174</c:v>
                </c:pt>
                <c:pt idx="23">
                  <c:v>175</c:v>
                </c:pt>
              </c:numCache>
            </c:numRef>
          </c:xVal>
          <c:yVal>
            <c:numRef>
              <c:f>'Data (2)'!$S$40:$S$63</c:f>
              <c:numCache>
                <c:formatCode>General</c:formatCode>
                <c:ptCount val="24"/>
                <c:pt idx="0">
                  <c:v>12.549213770921455</c:v>
                </c:pt>
                <c:pt idx="1">
                  <c:v>-7.528381678479974</c:v>
                </c:pt>
                <c:pt idx="2">
                  <c:v>-8.794552981118585</c:v>
                </c:pt>
                <c:pt idx="3">
                  <c:v>20.455968193459995</c:v>
                </c:pt>
                <c:pt idx="4">
                  <c:v>-12.060069092858413</c:v>
                </c:pt>
                <c:pt idx="5">
                  <c:v>-11.138319733158596</c:v>
                </c:pt>
                <c:pt idx="6">
                  <c:v>-4.8564983024599542</c:v>
                </c:pt>
                <c:pt idx="7">
                  <c:v>-8.3568854607183027</c:v>
                </c:pt>
                <c:pt idx="8">
                  <c:v>-0.21591518256002473</c:v>
                </c:pt>
                <c:pt idx="9">
                  <c:v>5.0496009291798032</c:v>
                </c:pt>
                <c:pt idx="10">
                  <c:v>-12.372535588778334</c:v>
                </c:pt>
                <c:pt idx="11">
                  <c:v>33.283697659181627</c:v>
                </c:pt>
                <c:pt idx="12">
                  <c:v>-5.3412353326582718</c:v>
                </c:pt>
                <c:pt idx="13">
                  <c:v>-1.4977366132586667</c:v>
                </c:pt>
                <c:pt idx="14">
                  <c:v>0.7058341771397636</c:v>
                </c:pt>
                <c:pt idx="15">
                  <c:v>-5.8408481743998948</c:v>
                </c:pt>
                <c:pt idx="16">
                  <c:v>-5.2159151825600247</c:v>
                </c:pt>
                <c:pt idx="17">
                  <c:v>-6.1846149264399344</c:v>
                </c:pt>
                <c:pt idx="18">
                  <c:v>-1.7163023408183733</c:v>
                </c:pt>
                <c:pt idx="19">
                  <c:v>-2.4507862290785454</c:v>
                </c:pt>
                <c:pt idx="20">
                  <c:v>-4.2002650544999653</c:v>
                </c:pt>
                <c:pt idx="21">
                  <c:v>9.3306480433617764</c:v>
                </c:pt>
                <c:pt idx="22">
                  <c:v>7.8310352016200966</c:v>
                </c:pt>
                <c:pt idx="23">
                  <c:v>8.5648638989814856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74A-4825-B2BE-E66558C794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85538144"/>
        <c:axId val="1285533152"/>
      </c:scatterChart>
      <c:valAx>
        <c:axId val="12855381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cs-CZ"/>
                  <a:t>vyska (V)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285533152"/>
        <c:crosses val="autoZero"/>
        <c:crossBetween val="midCat"/>
      </c:valAx>
      <c:valAx>
        <c:axId val="128553315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cs-CZ"/>
                  <a:t>Rezidua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285538144"/>
        <c:crosses val="autoZero"/>
        <c:crossBetween val="midCat"/>
      </c:valAx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/>
              <a:t>pohl (P) Graf porovnání hodnot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hmot (H)</c:v>
          </c:tx>
          <c:spPr>
            <a:ln w="19050">
              <a:noFill/>
            </a:ln>
          </c:spPr>
          <c:xVal>
            <c:numRef>
              <c:f>'Data (2)'!$B$2:$B$25</c:f>
              <c:numCache>
                <c:formatCode>General</c:formatCode>
                <c:ptCount val="24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</c:numCache>
            </c:numRef>
          </c:xVal>
          <c:yVal>
            <c:numRef>
              <c:f>'Data (2)'!$D$2:$D$25</c:f>
              <c:numCache>
                <c:formatCode>General</c:formatCode>
                <c:ptCount val="24"/>
                <c:pt idx="0">
                  <c:v>87</c:v>
                </c:pt>
                <c:pt idx="1">
                  <c:v>61</c:v>
                </c:pt>
                <c:pt idx="2">
                  <c:v>63</c:v>
                </c:pt>
                <c:pt idx="3">
                  <c:v>85</c:v>
                </c:pt>
                <c:pt idx="4">
                  <c:v>77</c:v>
                </c:pt>
                <c:pt idx="5">
                  <c:v>58</c:v>
                </c:pt>
                <c:pt idx="6">
                  <c:v>65</c:v>
                </c:pt>
                <c:pt idx="7">
                  <c:v>90</c:v>
                </c:pt>
                <c:pt idx="8">
                  <c:v>63</c:v>
                </c:pt>
                <c:pt idx="9">
                  <c:v>51</c:v>
                </c:pt>
                <c:pt idx="10">
                  <c:v>82</c:v>
                </c:pt>
                <c:pt idx="11">
                  <c:v>125</c:v>
                </c:pt>
                <c:pt idx="12">
                  <c:v>97</c:v>
                </c:pt>
                <c:pt idx="13">
                  <c:v>61</c:v>
                </c:pt>
                <c:pt idx="14">
                  <c:v>44</c:v>
                </c:pt>
                <c:pt idx="15">
                  <c:v>68</c:v>
                </c:pt>
                <c:pt idx="16">
                  <c:v>58</c:v>
                </c:pt>
                <c:pt idx="17">
                  <c:v>65</c:v>
                </c:pt>
                <c:pt idx="18">
                  <c:v>90</c:v>
                </c:pt>
                <c:pt idx="19">
                  <c:v>72</c:v>
                </c:pt>
                <c:pt idx="20">
                  <c:v>63</c:v>
                </c:pt>
                <c:pt idx="21">
                  <c:v>113</c:v>
                </c:pt>
                <c:pt idx="22">
                  <c:v>83</c:v>
                </c:pt>
                <c:pt idx="23">
                  <c:v>87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399-4F36-B22A-1DBCD7E29957}"/>
            </c:ext>
          </c:extLst>
        </c:ser>
        <c:ser>
          <c:idx val="1"/>
          <c:order val="1"/>
          <c:tx>
            <c:v>Očekávané hmot (H)</c:v>
          </c:tx>
          <c:spPr>
            <a:ln w="19050">
              <a:noFill/>
            </a:ln>
          </c:spPr>
          <c:xVal>
            <c:numRef>
              <c:f>'Data (2)'!$B$2:$B$25</c:f>
              <c:numCache>
                <c:formatCode>General</c:formatCode>
                <c:ptCount val="24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</c:numCache>
            </c:numRef>
          </c:xVal>
          <c:yVal>
            <c:numRef>
              <c:f>'Data (2)'!$R$40:$R$63</c:f>
              <c:numCache>
                <c:formatCode>General</c:formatCode>
                <c:ptCount val="24"/>
                <c:pt idx="0">
                  <c:v>74.450786229078545</c:v>
                </c:pt>
                <c:pt idx="1">
                  <c:v>68.528381678479974</c:v>
                </c:pt>
                <c:pt idx="2">
                  <c:v>71.794552981118585</c:v>
                </c:pt>
                <c:pt idx="3">
                  <c:v>64.544031806540005</c:v>
                </c:pt>
                <c:pt idx="4">
                  <c:v>89.060069092858413</c:v>
                </c:pt>
                <c:pt idx="5">
                  <c:v>69.138319733158596</c:v>
                </c:pt>
                <c:pt idx="6">
                  <c:v>69.856498302459954</c:v>
                </c:pt>
                <c:pt idx="7">
                  <c:v>98.356885460718303</c:v>
                </c:pt>
                <c:pt idx="8">
                  <c:v>63.215915182560025</c:v>
                </c:pt>
                <c:pt idx="9">
                  <c:v>45.950399070820197</c:v>
                </c:pt>
                <c:pt idx="10">
                  <c:v>94.372535588778334</c:v>
                </c:pt>
                <c:pt idx="11">
                  <c:v>91.716302340818373</c:v>
                </c:pt>
                <c:pt idx="12">
                  <c:v>102.34123533265827</c:v>
                </c:pt>
                <c:pt idx="13">
                  <c:v>62.497736613258667</c:v>
                </c:pt>
                <c:pt idx="14">
                  <c:v>43.294165822860236</c:v>
                </c:pt>
                <c:pt idx="15">
                  <c:v>73.840848174399895</c:v>
                </c:pt>
                <c:pt idx="16">
                  <c:v>63.215915182560025</c:v>
                </c:pt>
                <c:pt idx="17">
                  <c:v>71.184614926439934</c:v>
                </c:pt>
                <c:pt idx="18">
                  <c:v>91.716302340818373</c:v>
                </c:pt>
                <c:pt idx="19">
                  <c:v>74.450786229078545</c:v>
                </c:pt>
                <c:pt idx="20">
                  <c:v>67.200265054499965</c:v>
                </c:pt>
                <c:pt idx="21">
                  <c:v>103.66935195663822</c:v>
                </c:pt>
                <c:pt idx="22">
                  <c:v>75.168964798379903</c:v>
                </c:pt>
                <c:pt idx="23">
                  <c:v>78.435136101018514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399-4F36-B22A-1DBCD7E29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85528160"/>
        <c:axId val="1285529824"/>
      </c:scatterChart>
      <c:valAx>
        <c:axId val="12855281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cs-CZ"/>
                  <a:t>pohl (P)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285529824"/>
        <c:crosses val="autoZero"/>
        <c:crossBetween val="midCat"/>
      </c:valAx>
      <c:valAx>
        <c:axId val="128552982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cs-CZ"/>
                  <a:t>hmot (H)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285528160"/>
        <c:crosses val="autoZero"/>
        <c:crossBetween val="midCat"/>
      </c:valAx>
    </c:plotArea>
    <c:legend>
      <c:legendPos val="r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/>
              <a:t>vyska (V) Graf porovnání hodnot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hmot (H)</c:v>
          </c:tx>
          <c:spPr>
            <a:ln w="19050">
              <a:noFill/>
            </a:ln>
          </c:spPr>
          <c:xVal>
            <c:numRef>
              <c:f>'Data (2)'!$C$2:$C$25</c:f>
              <c:numCache>
                <c:formatCode>General</c:formatCode>
                <c:ptCount val="24"/>
                <c:pt idx="0">
                  <c:v>172</c:v>
                </c:pt>
                <c:pt idx="1">
                  <c:v>169</c:v>
                </c:pt>
                <c:pt idx="2">
                  <c:v>170</c:v>
                </c:pt>
                <c:pt idx="3">
                  <c:v>166</c:v>
                </c:pt>
                <c:pt idx="4">
                  <c:v>183</c:v>
                </c:pt>
                <c:pt idx="5">
                  <c:v>168</c:v>
                </c:pt>
                <c:pt idx="6">
                  <c:v>170</c:v>
                </c:pt>
                <c:pt idx="7">
                  <c:v>190</c:v>
                </c:pt>
                <c:pt idx="8">
                  <c:v>165</c:v>
                </c:pt>
                <c:pt idx="9">
                  <c:v>152</c:v>
                </c:pt>
                <c:pt idx="10">
                  <c:v>187</c:v>
                </c:pt>
                <c:pt idx="11">
                  <c:v>185</c:v>
                </c:pt>
                <c:pt idx="12">
                  <c:v>193</c:v>
                </c:pt>
                <c:pt idx="13">
                  <c:v>163</c:v>
                </c:pt>
                <c:pt idx="14">
                  <c:v>150</c:v>
                </c:pt>
                <c:pt idx="15">
                  <c:v>173</c:v>
                </c:pt>
                <c:pt idx="16">
                  <c:v>165</c:v>
                </c:pt>
                <c:pt idx="17">
                  <c:v>171</c:v>
                </c:pt>
                <c:pt idx="18">
                  <c:v>185</c:v>
                </c:pt>
                <c:pt idx="19">
                  <c:v>172</c:v>
                </c:pt>
                <c:pt idx="20">
                  <c:v>168</c:v>
                </c:pt>
                <c:pt idx="21">
                  <c:v>194</c:v>
                </c:pt>
                <c:pt idx="22">
                  <c:v>174</c:v>
                </c:pt>
                <c:pt idx="23">
                  <c:v>175</c:v>
                </c:pt>
              </c:numCache>
            </c:numRef>
          </c:xVal>
          <c:yVal>
            <c:numRef>
              <c:f>'Data (2)'!$D$2:$D$25</c:f>
              <c:numCache>
                <c:formatCode>General</c:formatCode>
                <c:ptCount val="24"/>
                <c:pt idx="0">
                  <c:v>87</c:v>
                </c:pt>
                <c:pt idx="1">
                  <c:v>61</c:v>
                </c:pt>
                <c:pt idx="2">
                  <c:v>63</c:v>
                </c:pt>
                <c:pt idx="3">
                  <c:v>85</c:v>
                </c:pt>
                <c:pt idx="4">
                  <c:v>77</c:v>
                </c:pt>
                <c:pt idx="5">
                  <c:v>58</c:v>
                </c:pt>
                <c:pt idx="6">
                  <c:v>65</c:v>
                </c:pt>
                <c:pt idx="7">
                  <c:v>90</c:v>
                </c:pt>
                <c:pt idx="8">
                  <c:v>63</c:v>
                </c:pt>
                <c:pt idx="9">
                  <c:v>51</c:v>
                </c:pt>
                <c:pt idx="10">
                  <c:v>82</c:v>
                </c:pt>
                <c:pt idx="11">
                  <c:v>125</c:v>
                </c:pt>
                <c:pt idx="12">
                  <c:v>97</c:v>
                </c:pt>
                <c:pt idx="13">
                  <c:v>61</c:v>
                </c:pt>
                <c:pt idx="14">
                  <c:v>44</c:v>
                </c:pt>
                <c:pt idx="15">
                  <c:v>68</c:v>
                </c:pt>
                <c:pt idx="16">
                  <c:v>58</c:v>
                </c:pt>
                <c:pt idx="17">
                  <c:v>65</c:v>
                </c:pt>
                <c:pt idx="18">
                  <c:v>90</c:v>
                </c:pt>
                <c:pt idx="19">
                  <c:v>72</c:v>
                </c:pt>
                <c:pt idx="20">
                  <c:v>63</c:v>
                </c:pt>
                <c:pt idx="21">
                  <c:v>113</c:v>
                </c:pt>
                <c:pt idx="22">
                  <c:v>83</c:v>
                </c:pt>
                <c:pt idx="23">
                  <c:v>87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A94-4E4A-89D5-19EED81380A0}"/>
            </c:ext>
          </c:extLst>
        </c:ser>
        <c:ser>
          <c:idx val="1"/>
          <c:order val="1"/>
          <c:tx>
            <c:v>Očekávané hmot (H)</c:v>
          </c:tx>
          <c:spPr>
            <a:ln w="19050">
              <a:noFill/>
            </a:ln>
          </c:spPr>
          <c:xVal>
            <c:numRef>
              <c:f>'Data (2)'!$C$2:$C$25</c:f>
              <c:numCache>
                <c:formatCode>General</c:formatCode>
                <c:ptCount val="24"/>
                <c:pt idx="0">
                  <c:v>172</c:v>
                </c:pt>
                <c:pt idx="1">
                  <c:v>169</c:v>
                </c:pt>
                <c:pt idx="2">
                  <c:v>170</c:v>
                </c:pt>
                <c:pt idx="3">
                  <c:v>166</c:v>
                </c:pt>
                <c:pt idx="4">
                  <c:v>183</c:v>
                </c:pt>
                <c:pt idx="5">
                  <c:v>168</c:v>
                </c:pt>
                <c:pt idx="6">
                  <c:v>170</c:v>
                </c:pt>
                <c:pt idx="7">
                  <c:v>190</c:v>
                </c:pt>
                <c:pt idx="8">
                  <c:v>165</c:v>
                </c:pt>
                <c:pt idx="9">
                  <c:v>152</c:v>
                </c:pt>
                <c:pt idx="10">
                  <c:v>187</c:v>
                </c:pt>
                <c:pt idx="11">
                  <c:v>185</c:v>
                </c:pt>
                <c:pt idx="12">
                  <c:v>193</c:v>
                </c:pt>
                <c:pt idx="13">
                  <c:v>163</c:v>
                </c:pt>
                <c:pt idx="14">
                  <c:v>150</c:v>
                </c:pt>
                <c:pt idx="15">
                  <c:v>173</c:v>
                </c:pt>
                <c:pt idx="16">
                  <c:v>165</c:v>
                </c:pt>
                <c:pt idx="17">
                  <c:v>171</c:v>
                </c:pt>
                <c:pt idx="18">
                  <c:v>185</c:v>
                </c:pt>
                <c:pt idx="19">
                  <c:v>172</c:v>
                </c:pt>
                <c:pt idx="20">
                  <c:v>168</c:v>
                </c:pt>
                <c:pt idx="21">
                  <c:v>194</c:v>
                </c:pt>
                <c:pt idx="22">
                  <c:v>174</c:v>
                </c:pt>
                <c:pt idx="23">
                  <c:v>175</c:v>
                </c:pt>
              </c:numCache>
            </c:numRef>
          </c:xVal>
          <c:yVal>
            <c:numRef>
              <c:f>'Data (2)'!$R$40:$R$63</c:f>
              <c:numCache>
                <c:formatCode>General</c:formatCode>
                <c:ptCount val="24"/>
                <c:pt idx="0">
                  <c:v>74.450786229078545</c:v>
                </c:pt>
                <c:pt idx="1">
                  <c:v>68.528381678479974</c:v>
                </c:pt>
                <c:pt idx="2">
                  <c:v>71.794552981118585</c:v>
                </c:pt>
                <c:pt idx="3">
                  <c:v>64.544031806540005</c:v>
                </c:pt>
                <c:pt idx="4">
                  <c:v>89.060069092858413</c:v>
                </c:pt>
                <c:pt idx="5">
                  <c:v>69.138319733158596</c:v>
                </c:pt>
                <c:pt idx="6">
                  <c:v>69.856498302459954</c:v>
                </c:pt>
                <c:pt idx="7">
                  <c:v>98.356885460718303</c:v>
                </c:pt>
                <c:pt idx="8">
                  <c:v>63.215915182560025</c:v>
                </c:pt>
                <c:pt idx="9">
                  <c:v>45.950399070820197</c:v>
                </c:pt>
                <c:pt idx="10">
                  <c:v>94.372535588778334</c:v>
                </c:pt>
                <c:pt idx="11">
                  <c:v>91.716302340818373</c:v>
                </c:pt>
                <c:pt idx="12">
                  <c:v>102.34123533265827</c:v>
                </c:pt>
                <c:pt idx="13">
                  <c:v>62.497736613258667</c:v>
                </c:pt>
                <c:pt idx="14">
                  <c:v>43.294165822860236</c:v>
                </c:pt>
                <c:pt idx="15">
                  <c:v>73.840848174399895</c:v>
                </c:pt>
                <c:pt idx="16">
                  <c:v>63.215915182560025</c:v>
                </c:pt>
                <c:pt idx="17">
                  <c:v>71.184614926439934</c:v>
                </c:pt>
                <c:pt idx="18">
                  <c:v>91.716302340818373</c:v>
                </c:pt>
                <c:pt idx="19">
                  <c:v>74.450786229078545</c:v>
                </c:pt>
                <c:pt idx="20">
                  <c:v>67.200265054499965</c:v>
                </c:pt>
                <c:pt idx="21">
                  <c:v>103.66935195663822</c:v>
                </c:pt>
                <c:pt idx="22">
                  <c:v>75.168964798379903</c:v>
                </c:pt>
                <c:pt idx="23">
                  <c:v>78.435136101018514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A94-4E4A-89D5-19EED81380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85528160"/>
        <c:axId val="1285526496"/>
      </c:scatterChart>
      <c:valAx>
        <c:axId val="12855281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cs-CZ"/>
                  <a:t>vyska (V)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285526496"/>
        <c:crosses val="autoZero"/>
        <c:crossBetween val="midCat"/>
      </c:valAx>
      <c:valAx>
        <c:axId val="128552649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cs-CZ"/>
                  <a:t>hmot (H)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285528160"/>
        <c:crosses val="autoZero"/>
        <c:crossBetween val="midCat"/>
      </c:valAx>
    </c:plotArea>
    <c:legend>
      <c:legendPos val="r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/>
              <a:t>Graf s rozdělením pravděpodobnosti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>
              <a:noFill/>
            </a:ln>
          </c:spPr>
          <c:xVal>
            <c:numRef>
              <c:f>'Data (2)'!$V$40:$V$63</c:f>
              <c:numCache>
                <c:formatCode>General</c:formatCode>
                <c:ptCount val="24"/>
                <c:pt idx="0">
                  <c:v>2.0833333333333335</c:v>
                </c:pt>
                <c:pt idx="1">
                  <c:v>6.25</c:v>
                </c:pt>
                <c:pt idx="2">
                  <c:v>10.416666666666668</c:v>
                </c:pt>
                <c:pt idx="3">
                  <c:v>14.583333333333334</c:v>
                </c:pt>
                <c:pt idx="4">
                  <c:v>18.75</c:v>
                </c:pt>
                <c:pt idx="5">
                  <c:v>22.916666666666668</c:v>
                </c:pt>
                <c:pt idx="6">
                  <c:v>27.083333333333332</c:v>
                </c:pt>
                <c:pt idx="7">
                  <c:v>31.25</c:v>
                </c:pt>
                <c:pt idx="8">
                  <c:v>35.416666666666671</c:v>
                </c:pt>
                <c:pt idx="9">
                  <c:v>39.583333333333336</c:v>
                </c:pt>
                <c:pt idx="10">
                  <c:v>43.750000000000007</c:v>
                </c:pt>
                <c:pt idx="11">
                  <c:v>47.916666666666671</c:v>
                </c:pt>
                <c:pt idx="12">
                  <c:v>52.083333333333336</c:v>
                </c:pt>
                <c:pt idx="13">
                  <c:v>56.250000000000007</c:v>
                </c:pt>
                <c:pt idx="14">
                  <c:v>60.416666666666671</c:v>
                </c:pt>
                <c:pt idx="15">
                  <c:v>64.583333333333343</c:v>
                </c:pt>
                <c:pt idx="16">
                  <c:v>68.75</c:v>
                </c:pt>
                <c:pt idx="17">
                  <c:v>72.916666666666671</c:v>
                </c:pt>
                <c:pt idx="18">
                  <c:v>77.083333333333329</c:v>
                </c:pt>
                <c:pt idx="19">
                  <c:v>81.25</c:v>
                </c:pt>
                <c:pt idx="20">
                  <c:v>85.416666666666671</c:v>
                </c:pt>
                <c:pt idx="21">
                  <c:v>89.583333333333329</c:v>
                </c:pt>
                <c:pt idx="22">
                  <c:v>93.75</c:v>
                </c:pt>
                <c:pt idx="23">
                  <c:v>97.916666666666671</c:v>
                </c:pt>
              </c:numCache>
            </c:numRef>
          </c:xVal>
          <c:yVal>
            <c:numRef>
              <c:f>'Data (2)'!$W$40:$W$63</c:f>
              <c:numCache>
                <c:formatCode>General</c:formatCode>
                <c:ptCount val="24"/>
                <c:pt idx="0">
                  <c:v>44</c:v>
                </c:pt>
                <c:pt idx="1">
                  <c:v>51</c:v>
                </c:pt>
                <c:pt idx="2">
                  <c:v>58</c:v>
                </c:pt>
                <c:pt idx="3">
                  <c:v>58</c:v>
                </c:pt>
                <c:pt idx="4">
                  <c:v>61</c:v>
                </c:pt>
                <c:pt idx="5">
                  <c:v>61</c:v>
                </c:pt>
                <c:pt idx="6">
                  <c:v>63</c:v>
                </c:pt>
                <c:pt idx="7">
                  <c:v>63</c:v>
                </c:pt>
                <c:pt idx="8">
                  <c:v>63</c:v>
                </c:pt>
                <c:pt idx="9">
                  <c:v>65</c:v>
                </c:pt>
                <c:pt idx="10">
                  <c:v>65</c:v>
                </c:pt>
                <c:pt idx="11">
                  <c:v>68</c:v>
                </c:pt>
                <c:pt idx="12">
                  <c:v>72</c:v>
                </c:pt>
                <c:pt idx="13">
                  <c:v>77</c:v>
                </c:pt>
                <c:pt idx="14">
                  <c:v>82</c:v>
                </c:pt>
                <c:pt idx="15">
                  <c:v>83</c:v>
                </c:pt>
                <c:pt idx="16">
                  <c:v>85</c:v>
                </c:pt>
                <c:pt idx="17">
                  <c:v>87</c:v>
                </c:pt>
                <c:pt idx="18">
                  <c:v>87</c:v>
                </c:pt>
                <c:pt idx="19">
                  <c:v>90</c:v>
                </c:pt>
                <c:pt idx="20">
                  <c:v>90</c:v>
                </c:pt>
                <c:pt idx="21">
                  <c:v>97</c:v>
                </c:pt>
                <c:pt idx="22">
                  <c:v>113</c:v>
                </c:pt>
                <c:pt idx="23">
                  <c:v>125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4DE-45F3-B457-C2B5DFEBB7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85527328"/>
        <c:axId val="1285538976"/>
      </c:scatterChart>
      <c:valAx>
        <c:axId val="1285527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cs-CZ"/>
                  <a:t>Percentil výběru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285538976"/>
        <c:crosses val="autoZero"/>
        <c:crossBetween val="midCat"/>
      </c:valAx>
      <c:valAx>
        <c:axId val="128553897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cs-CZ"/>
                  <a:t>hmot (H)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285527328"/>
        <c:crosses val="autoZero"/>
        <c:crossBetween val="midCat"/>
      </c:valAx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image" Target="../media/image1.png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465044</xdr:colOff>
      <xdr:row>0</xdr:row>
      <xdr:rowOff>7</xdr:rowOff>
    </xdr:from>
    <xdr:to>
      <xdr:col>24</xdr:col>
      <xdr:colOff>358588</xdr:colOff>
      <xdr:row>25</xdr:row>
      <xdr:rowOff>123265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87443D2A-0161-4583-9949-D523462CFA1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8</xdr:col>
      <xdr:colOff>0</xdr:colOff>
      <xdr:row>36</xdr:row>
      <xdr:rowOff>0</xdr:rowOff>
    </xdr:from>
    <xdr:to>
      <xdr:col>9</xdr:col>
      <xdr:colOff>183466</xdr:colOff>
      <xdr:row>38</xdr:row>
      <xdr:rowOff>76264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BB89EF1A-CEDF-439A-98B3-D40C0616CA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857750" y="6858000"/>
          <a:ext cx="790685" cy="45726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36</xdr:row>
      <xdr:rowOff>0</xdr:rowOff>
    </xdr:from>
    <xdr:to>
      <xdr:col>9</xdr:col>
      <xdr:colOff>183466</xdr:colOff>
      <xdr:row>38</xdr:row>
      <xdr:rowOff>67981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800D1C3F-F15D-4154-B3A2-A4516EF8CE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76800" y="6858000"/>
          <a:ext cx="793066" cy="457264"/>
        </a:xfrm>
        <a:prstGeom prst="rect">
          <a:avLst/>
        </a:prstGeom>
      </xdr:spPr>
    </xdr:pic>
    <xdr:clientData/>
  </xdr:twoCellAnchor>
  <xdr:twoCellAnchor>
    <xdr:from>
      <xdr:col>23</xdr:col>
      <xdr:colOff>127966</xdr:colOff>
      <xdr:row>5</xdr:row>
      <xdr:rowOff>188429</xdr:rowOff>
    </xdr:from>
    <xdr:to>
      <xdr:col>29</xdr:col>
      <xdr:colOff>127966</xdr:colOff>
      <xdr:row>15</xdr:row>
      <xdr:rowOff>188429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9483EE8B-7738-40B1-BDEA-6D1113E6C2C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29</xdr:col>
      <xdr:colOff>359880</xdr:colOff>
      <xdr:row>6</xdr:row>
      <xdr:rowOff>155298</xdr:rowOff>
    </xdr:from>
    <xdr:to>
      <xdr:col>35</xdr:col>
      <xdr:colOff>359880</xdr:colOff>
      <xdr:row>16</xdr:row>
      <xdr:rowOff>138734</xdr:rowOff>
    </xdr:to>
    <xdr:graphicFrame macro="">
      <xdr:nvGraphicFramePr>
        <xdr:cNvPr id="4" name="Graf 3">
          <a:extLst>
            <a:ext uri="{FF2B5EF4-FFF2-40B4-BE49-F238E27FC236}">
              <a16:creationId xmlns:a16="http://schemas.microsoft.com/office/drawing/2014/main" id="{BCEF147D-9456-4FFA-958D-98A1D6E0F01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525531</xdr:colOff>
      <xdr:row>18</xdr:row>
      <xdr:rowOff>6212</xdr:rowOff>
    </xdr:from>
    <xdr:to>
      <xdr:col>28</xdr:col>
      <xdr:colOff>525531</xdr:colOff>
      <xdr:row>28</xdr:row>
      <xdr:rowOff>4970</xdr:rowOff>
    </xdr:to>
    <xdr:graphicFrame macro="">
      <xdr:nvGraphicFramePr>
        <xdr:cNvPr id="5" name="Graf 4">
          <a:extLst>
            <a:ext uri="{FF2B5EF4-FFF2-40B4-BE49-F238E27FC236}">
              <a16:creationId xmlns:a16="http://schemas.microsoft.com/office/drawing/2014/main" id="{2120F175-E8AC-4322-A327-2EDC1BDDEB6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30</xdr:col>
      <xdr:colOff>111401</xdr:colOff>
      <xdr:row>17</xdr:row>
      <xdr:rowOff>97320</xdr:rowOff>
    </xdr:from>
    <xdr:to>
      <xdr:col>36</xdr:col>
      <xdr:colOff>111401</xdr:colOff>
      <xdr:row>27</xdr:row>
      <xdr:rowOff>113885</xdr:rowOff>
    </xdr:to>
    <xdr:graphicFrame macro="">
      <xdr:nvGraphicFramePr>
        <xdr:cNvPr id="6" name="Graf 5">
          <a:extLst>
            <a:ext uri="{FF2B5EF4-FFF2-40B4-BE49-F238E27FC236}">
              <a16:creationId xmlns:a16="http://schemas.microsoft.com/office/drawing/2014/main" id="{BB02FCAD-7318-426E-9DB4-7CCEE7C5B1D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25</xdr:col>
      <xdr:colOff>335032</xdr:colOff>
      <xdr:row>28</xdr:row>
      <xdr:rowOff>122169</xdr:rowOff>
    </xdr:from>
    <xdr:to>
      <xdr:col>31</xdr:col>
      <xdr:colOff>335032</xdr:colOff>
      <xdr:row>38</xdr:row>
      <xdr:rowOff>120926</xdr:rowOff>
    </xdr:to>
    <xdr:graphicFrame macro="">
      <xdr:nvGraphicFramePr>
        <xdr:cNvPr id="7" name="Graf 6">
          <a:extLst>
            <a:ext uri="{FF2B5EF4-FFF2-40B4-BE49-F238E27FC236}">
              <a16:creationId xmlns:a16="http://schemas.microsoft.com/office/drawing/2014/main" id="{C26115FF-D828-4614-A8BF-0073BB7B2C4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41</xdr:row>
      <xdr:rowOff>0</xdr:rowOff>
    </xdr:from>
    <xdr:to>
      <xdr:col>9</xdr:col>
      <xdr:colOff>183466</xdr:colOff>
      <xdr:row>43</xdr:row>
      <xdr:rowOff>76264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C7AF9857-B12D-4290-ABFA-347D388B14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76800" y="6943725"/>
          <a:ext cx="793066" cy="4585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books.google.cz/books?id=q9zhGIlYw7kC" TargetMode="External"/><Relationship Id="rId2" Type="http://schemas.openxmlformats.org/officeDocument/2006/relationships/hyperlink" Target="https://www.amazon.com/Latent-Variable-Models-John-Loehlin/dp/1138916072" TargetMode="External"/><Relationship Id="rId1" Type="http://schemas.openxmlformats.org/officeDocument/2006/relationships/hyperlink" Target="https://en.wikipedia.org/wiki/Path_analysis_(statistics)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www.enbook.cz/catalog/product/view/id/399613?gclid=EAIaIQobChMI9N2Mv4yR9gIVVOJ3Ch1PeA5KEAQYASABEgJojvD_BwE" TargetMode="External"/><Relationship Id="rId4" Type="http://schemas.openxmlformats.org/officeDocument/2006/relationships/hyperlink" Target="https://onlinelibrary.wiley.com/doi/book/10.1002/9781118619179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FCDE5A-FEDA-4FBF-A486-BEAC60BA45D7}">
  <dimension ref="A1:D19"/>
  <sheetViews>
    <sheetView workbookViewId="0">
      <selection activeCell="C21" sqref="C21"/>
    </sheetView>
  </sheetViews>
  <sheetFormatPr defaultRowHeight="15" x14ac:dyDescent="0.25"/>
  <sheetData>
    <row r="1" spans="1:4" x14ac:dyDescent="0.25">
      <c r="A1" t="s">
        <v>1</v>
      </c>
      <c r="C1" s="1" t="s">
        <v>0</v>
      </c>
    </row>
    <row r="2" spans="1:4" x14ac:dyDescent="0.25">
      <c r="A2" t="s">
        <v>2</v>
      </c>
      <c r="C2" s="1" t="s">
        <v>3</v>
      </c>
    </row>
    <row r="3" spans="1:4" x14ac:dyDescent="0.25">
      <c r="C3" s="1" t="s">
        <v>4</v>
      </c>
    </row>
    <row r="4" spans="1:4" x14ac:dyDescent="0.25">
      <c r="C4" s="1" t="s">
        <v>5</v>
      </c>
    </row>
    <row r="6" spans="1:4" x14ac:dyDescent="0.25">
      <c r="C6" s="1" t="s">
        <v>6</v>
      </c>
    </row>
    <row r="8" spans="1:4" x14ac:dyDescent="0.25">
      <c r="A8" t="s">
        <v>7</v>
      </c>
      <c r="C8" t="s">
        <v>8</v>
      </c>
    </row>
    <row r="9" spans="1:4" x14ac:dyDescent="0.25">
      <c r="C9" t="s">
        <v>9</v>
      </c>
    </row>
    <row r="10" spans="1:4" x14ac:dyDescent="0.25">
      <c r="C10" t="s">
        <v>10</v>
      </c>
    </row>
    <row r="11" spans="1:4" x14ac:dyDescent="0.25">
      <c r="C11" t="s">
        <v>11</v>
      </c>
    </row>
    <row r="12" spans="1:4" x14ac:dyDescent="0.25">
      <c r="C12" t="s">
        <v>12</v>
      </c>
    </row>
    <row r="14" spans="1:4" x14ac:dyDescent="0.25">
      <c r="C14" t="s">
        <v>13</v>
      </c>
    </row>
    <row r="15" spans="1:4" x14ac:dyDescent="0.25">
      <c r="D15" t="s">
        <v>14</v>
      </c>
    </row>
    <row r="16" spans="1:4" x14ac:dyDescent="0.25">
      <c r="D16" t="s">
        <v>15</v>
      </c>
    </row>
    <row r="18" spans="3:3" x14ac:dyDescent="0.25">
      <c r="C18" t="s">
        <v>16</v>
      </c>
    </row>
    <row r="19" spans="3:3" x14ac:dyDescent="0.25">
      <c r="C19" t="s">
        <v>17</v>
      </c>
    </row>
  </sheetData>
  <hyperlinks>
    <hyperlink ref="C1" r:id="rId1" xr:uid="{C4329C0D-9ED6-4C8A-8BE6-2F025907DA44}"/>
    <hyperlink ref="C2" r:id="rId2" xr:uid="{4DA42196-0193-4026-A13F-AFD31EFE4C99}"/>
    <hyperlink ref="C3" r:id="rId3" xr:uid="{AB774594-F8CE-4C0D-97E0-2A80C0502CE6}"/>
    <hyperlink ref="C4" r:id="rId4" xr:uid="{2BEEC947-10DC-477F-B76C-CC4FD696456A}"/>
    <hyperlink ref="C6" r:id="rId5" xr:uid="{6369DFB1-7296-4A81-BB24-ECE945468C25}"/>
  </hyperlinks>
  <pageMargins left="0.7" right="0.7" top="0.78740157499999996" bottom="0.78740157499999996" header="0.3" footer="0.3"/>
  <pageSetup paperSize="9" orientation="portrait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3E1D5A-D3FF-4061-857F-DDDDD89319E0}">
  <dimension ref="A1:N39"/>
  <sheetViews>
    <sheetView zoomScale="115" zoomScaleNormal="115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K2" sqref="K2"/>
    </sheetView>
  </sheetViews>
  <sheetFormatPr defaultRowHeight="15" x14ac:dyDescent="0.25"/>
  <cols>
    <col min="10" max="10" width="11.85546875" bestFit="1" customWidth="1"/>
    <col min="11" max="11" width="12.42578125" bestFit="1" customWidth="1"/>
  </cols>
  <sheetData>
    <row r="1" spans="1:11" x14ac:dyDescent="0.25">
      <c r="A1" t="s">
        <v>18</v>
      </c>
      <c r="B1" t="s">
        <v>19</v>
      </c>
      <c r="C1" t="s">
        <v>20</v>
      </c>
      <c r="D1" t="s">
        <v>21</v>
      </c>
      <c r="E1" t="s">
        <v>25</v>
      </c>
      <c r="F1" t="s">
        <v>26</v>
      </c>
      <c r="G1" t="s">
        <v>29</v>
      </c>
      <c r="H1" t="s">
        <v>30</v>
      </c>
      <c r="I1" t="s">
        <v>31</v>
      </c>
      <c r="J1" t="s">
        <v>43</v>
      </c>
      <c r="K1" t="s">
        <v>44</v>
      </c>
    </row>
    <row r="2" spans="1:11" x14ac:dyDescent="0.25">
      <c r="A2">
        <v>1</v>
      </c>
      <c r="B2">
        <v>0</v>
      </c>
      <c r="C2">
        <v>172</v>
      </c>
      <c r="D2">
        <v>87</v>
      </c>
      <c r="E2">
        <f>C2-C$27</f>
        <v>-1.3333333333333428</v>
      </c>
      <c r="F2">
        <f>D2-D$27</f>
        <v>11.666666666666671</v>
      </c>
      <c r="G2">
        <f>E2/C$28</f>
        <v>-0.11572189722071265</v>
      </c>
      <c r="H2">
        <f>F2/D$28</f>
        <v>0.60413578836204818</v>
      </c>
      <c r="I2">
        <f>G2*H2</f>
        <v>-6.991173960818714E-2</v>
      </c>
      <c r="J2">
        <f>$N$31+$N$32*C2</f>
        <v>73.491703056768557</v>
      </c>
      <c r="K2">
        <f>D2-J2</f>
        <v>13.508296943231443</v>
      </c>
    </row>
    <row r="3" spans="1:11" x14ac:dyDescent="0.25">
      <c r="A3">
        <v>2</v>
      </c>
      <c r="B3">
        <v>1</v>
      </c>
      <c r="C3">
        <v>169</v>
      </c>
      <c r="D3">
        <v>61</v>
      </c>
      <c r="E3">
        <f t="shared" ref="E3:F25" si="0">C3-C$27</f>
        <v>-4.3333333333333428</v>
      </c>
      <c r="F3">
        <f t="shared" si="0"/>
        <v>-14.333333333333329</v>
      </c>
      <c r="G3">
        <f t="shared" ref="G3:H25" si="1">E3/C$28</f>
        <v>-0.37609616596731427</v>
      </c>
      <c r="H3">
        <f t="shared" si="1"/>
        <v>-0.74222396855908723</v>
      </c>
      <c r="I3">
        <f t="shared" ref="I3:I25" si="2">G3*H3</f>
        <v>0.27914758886411711</v>
      </c>
      <c r="J3">
        <f t="shared" ref="J3:J25" si="3">$N$31+$N$32*C3</f>
        <v>69.348034934497804</v>
      </c>
      <c r="K3">
        <f t="shared" ref="K3:K25" si="4">D3-J3</f>
        <v>-8.3480349344978038</v>
      </c>
    </row>
    <row r="4" spans="1:11" x14ac:dyDescent="0.25">
      <c r="A4">
        <v>3</v>
      </c>
      <c r="B4">
        <v>0</v>
      </c>
      <c r="C4">
        <v>170</v>
      </c>
      <c r="D4">
        <v>63</v>
      </c>
      <c r="E4">
        <f t="shared" si="0"/>
        <v>-3.3333333333333428</v>
      </c>
      <c r="F4">
        <f t="shared" si="0"/>
        <v>-12.333333333333329</v>
      </c>
      <c r="G4">
        <f t="shared" si="1"/>
        <v>-0.28930474305178039</v>
      </c>
      <c r="H4">
        <f t="shared" si="1"/>
        <v>-0.63865783341130755</v>
      </c>
      <c r="I4">
        <f t="shared" si="2"/>
        <v>0.18476674039306509</v>
      </c>
      <c r="J4">
        <f t="shared" si="3"/>
        <v>70.729257641921407</v>
      </c>
      <c r="K4">
        <f t="shared" si="4"/>
        <v>-7.7292576419214072</v>
      </c>
    </row>
    <row r="5" spans="1:11" x14ac:dyDescent="0.25">
      <c r="A5">
        <v>4</v>
      </c>
      <c r="B5">
        <v>1</v>
      </c>
      <c r="C5">
        <v>166</v>
      </c>
      <c r="D5">
        <v>85</v>
      </c>
      <c r="E5">
        <f t="shared" si="0"/>
        <v>-7.3333333333333428</v>
      </c>
      <c r="F5">
        <f t="shared" si="0"/>
        <v>9.6666666666666714</v>
      </c>
      <c r="G5">
        <f t="shared" si="1"/>
        <v>-0.63647043471391584</v>
      </c>
      <c r="H5">
        <f t="shared" si="1"/>
        <v>0.5005696532142685</v>
      </c>
      <c r="I5">
        <f t="shared" si="2"/>
        <v>-0.31859778478587958</v>
      </c>
      <c r="J5">
        <f t="shared" si="3"/>
        <v>65.204366812227079</v>
      </c>
      <c r="K5">
        <f t="shared" si="4"/>
        <v>19.795633187772921</v>
      </c>
    </row>
    <row r="6" spans="1:11" x14ac:dyDescent="0.25">
      <c r="A6">
        <v>5</v>
      </c>
      <c r="B6">
        <v>0</v>
      </c>
      <c r="C6">
        <v>183</v>
      </c>
      <c r="D6">
        <v>77</v>
      </c>
      <c r="E6">
        <f t="shared" si="0"/>
        <v>9.6666666666666572</v>
      </c>
      <c r="F6">
        <f t="shared" si="0"/>
        <v>1.6666666666666714</v>
      </c>
      <c r="G6">
        <f t="shared" si="1"/>
        <v>0.83898375485015986</v>
      </c>
      <c r="H6">
        <f t="shared" si="1"/>
        <v>8.6305112623149952E-2</v>
      </c>
      <c r="I6">
        <f t="shared" si="2"/>
        <v>7.240858745133627E-2</v>
      </c>
      <c r="J6">
        <f t="shared" si="3"/>
        <v>88.685152838427939</v>
      </c>
      <c r="K6">
        <f t="shared" si="4"/>
        <v>-11.685152838427939</v>
      </c>
    </row>
    <row r="7" spans="1:11" x14ac:dyDescent="0.25">
      <c r="A7">
        <v>6</v>
      </c>
      <c r="B7">
        <v>0</v>
      </c>
      <c r="C7">
        <v>168</v>
      </c>
      <c r="D7">
        <v>58</v>
      </c>
      <c r="E7">
        <f t="shared" si="0"/>
        <v>-5.3333333333333428</v>
      </c>
      <c r="F7">
        <f t="shared" si="0"/>
        <v>-17.333333333333329</v>
      </c>
      <c r="G7">
        <f t="shared" si="1"/>
        <v>-0.46288758888284809</v>
      </c>
      <c r="H7">
        <f t="shared" si="1"/>
        <v>-0.89757317128075664</v>
      </c>
      <c r="I7">
        <f t="shared" si="2"/>
        <v>0.41547548110008109</v>
      </c>
      <c r="J7">
        <f t="shared" si="3"/>
        <v>67.966812227074229</v>
      </c>
      <c r="K7">
        <f t="shared" si="4"/>
        <v>-9.9668122270742288</v>
      </c>
    </row>
    <row r="8" spans="1:11" x14ac:dyDescent="0.25">
      <c r="A8">
        <v>7</v>
      </c>
      <c r="B8">
        <v>1</v>
      </c>
      <c r="C8">
        <v>170</v>
      </c>
      <c r="D8">
        <v>65</v>
      </c>
      <c r="E8">
        <f t="shared" si="0"/>
        <v>-3.3333333333333428</v>
      </c>
      <c r="F8">
        <f t="shared" si="0"/>
        <v>-10.333333333333329</v>
      </c>
      <c r="G8">
        <f t="shared" si="1"/>
        <v>-0.28930474305178039</v>
      </c>
      <c r="H8">
        <f t="shared" si="1"/>
        <v>-0.53509169826352787</v>
      </c>
      <c r="I8">
        <f t="shared" si="2"/>
        <v>0.15480456627527073</v>
      </c>
      <c r="J8">
        <f t="shared" si="3"/>
        <v>70.729257641921407</v>
      </c>
      <c r="K8">
        <f t="shared" si="4"/>
        <v>-5.7292576419214072</v>
      </c>
    </row>
    <row r="9" spans="1:11" x14ac:dyDescent="0.25">
      <c r="A9">
        <v>8</v>
      </c>
      <c r="B9">
        <v>0</v>
      </c>
      <c r="C9">
        <v>190</v>
      </c>
      <c r="D9">
        <v>90</v>
      </c>
      <c r="E9">
        <f t="shared" si="0"/>
        <v>16.666666666666657</v>
      </c>
      <c r="F9">
        <f t="shared" si="0"/>
        <v>14.666666666666671</v>
      </c>
      <c r="G9">
        <f t="shared" si="1"/>
        <v>1.446523715258897</v>
      </c>
      <c r="H9">
        <f t="shared" si="1"/>
        <v>0.75948499108371759</v>
      </c>
      <c r="I9">
        <f t="shared" si="2"/>
        <v>1.0986130509857894</v>
      </c>
      <c r="J9">
        <f t="shared" si="3"/>
        <v>98.353711790392992</v>
      </c>
      <c r="K9">
        <f t="shared" si="4"/>
        <v>-8.3537117903929925</v>
      </c>
    </row>
    <row r="10" spans="1:11" x14ac:dyDescent="0.25">
      <c r="A10">
        <v>9</v>
      </c>
      <c r="B10">
        <v>1</v>
      </c>
      <c r="C10">
        <v>165</v>
      </c>
      <c r="D10">
        <v>63</v>
      </c>
      <c r="E10">
        <f t="shared" si="0"/>
        <v>-8.3333333333333428</v>
      </c>
      <c r="F10">
        <f t="shared" si="0"/>
        <v>-12.333333333333329</v>
      </c>
      <c r="G10">
        <f t="shared" si="1"/>
        <v>-0.72326185762944972</v>
      </c>
      <c r="H10">
        <f t="shared" si="1"/>
        <v>-0.63865783341130755</v>
      </c>
      <c r="I10">
        <f t="shared" si="2"/>
        <v>0.46191685098266194</v>
      </c>
      <c r="J10">
        <f t="shared" si="3"/>
        <v>63.823144104803504</v>
      </c>
      <c r="K10">
        <f t="shared" si="4"/>
        <v>-0.82314410480350375</v>
      </c>
    </row>
    <row r="11" spans="1:11" x14ac:dyDescent="0.25">
      <c r="A11">
        <v>10</v>
      </c>
      <c r="B11">
        <v>1</v>
      </c>
      <c r="C11">
        <v>152</v>
      </c>
      <c r="D11">
        <v>51</v>
      </c>
      <c r="E11">
        <f t="shared" si="0"/>
        <v>-21.333333333333343</v>
      </c>
      <c r="F11">
        <f t="shared" si="0"/>
        <v>-24.333333333333329</v>
      </c>
      <c r="G11">
        <f t="shared" si="1"/>
        <v>-1.8515503555313899</v>
      </c>
      <c r="H11">
        <f t="shared" si="1"/>
        <v>-1.2600546442979854</v>
      </c>
      <c r="I11">
        <f t="shared" si="2"/>
        <v>2.3330546246389141</v>
      </c>
      <c r="J11">
        <f t="shared" si="3"/>
        <v>45.867248908296943</v>
      </c>
      <c r="K11">
        <f t="shared" si="4"/>
        <v>5.1327510917030565</v>
      </c>
    </row>
    <row r="12" spans="1:11" x14ac:dyDescent="0.25">
      <c r="A12">
        <v>11</v>
      </c>
      <c r="B12">
        <v>0</v>
      </c>
      <c r="C12">
        <v>187</v>
      </c>
      <c r="D12">
        <v>82</v>
      </c>
      <c r="E12">
        <f t="shared" si="0"/>
        <v>13.666666666666657</v>
      </c>
      <c r="F12">
        <f t="shared" si="0"/>
        <v>6.6666666666666714</v>
      </c>
      <c r="G12">
        <f t="shared" si="1"/>
        <v>1.1861494465122953</v>
      </c>
      <c r="H12">
        <f t="shared" si="1"/>
        <v>0.34522045049259903</v>
      </c>
      <c r="I12">
        <f t="shared" si="2"/>
        <v>0.40948304627652155</v>
      </c>
      <c r="J12">
        <f t="shared" si="3"/>
        <v>94.210043668122239</v>
      </c>
      <c r="K12">
        <f t="shared" si="4"/>
        <v>-12.210043668122239</v>
      </c>
    </row>
    <row r="13" spans="1:11" x14ac:dyDescent="0.25">
      <c r="A13">
        <v>12</v>
      </c>
      <c r="B13">
        <v>0</v>
      </c>
      <c r="C13">
        <v>185</v>
      </c>
      <c r="D13">
        <v>125</v>
      </c>
      <c r="E13">
        <f t="shared" si="0"/>
        <v>11.666666666666657</v>
      </c>
      <c r="F13">
        <f t="shared" si="0"/>
        <v>49.666666666666671</v>
      </c>
      <c r="G13">
        <f t="shared" si="1"/>
        <v>1.0125666006812277</v>
      </c>
      <c r="H13">
        <f t="shared" si="1"/>
        <v>2.5718923561698612</v>
      </c>
      <c r="I13">
        <f t="shared" si="2"/>
        <v>2.6042123004049498</v>
      </c>
      <c r="J13">
        <f t="shared" si="3"/>
        <v>91.447598253275117</v>
      </c>
      <c r="K13">
        <f t="shared" si="4"/>
        <v>33.552401746724883</v>
      </c>
    </row>
    <row r="14" spans="1:11" x14ac:dyDescent="0.25">
      <c r="A14">
        <v>13</v>
      </c>
      <c r="B14">
        <v>0</v>
      </c>
      <c r="C14">
        <v>193</v>
      </c>
      <c r="D14">
        <v>97</v>
      </c>
      <c r="E14">
        <f t="shared" si="0"/>
        <v>19.666666666666657</v>
      </c>
      <c r="F14">
        <f t="shared" si="0"/>
        <v>21.666666666666671</v>
      </c>
      <c r="G14">
        <f t="shared" si="1"/>
        <v>1.7068979840054985</v>
      </c>
      <c r="H14">
        <f t="shared" si="1"/>
        <v>1.1219664641009464</v>
      </c>
      <c r="I14">
        <f t="shared" si="2"/>
        <v>1.9150822956956828</v>
      </c>
      <c r="J14">
        <f t="shared" si="3"/>
        <v>102.49737991266375</v>
      </c>
      <c r="K14">
        <f t="shared" si="4"/>
        <v>-5.4973799126637459</v>
      </c>
    </row>
    <row r="15" spans="1:11" x14ac:dyDescent="0.25">
      <c r="A15">
        <v>14</v>
      </c>
      <c r="B15">
        <v>0</v>
      </c>
      <c r="C15">
        <v>163</v>
      </c>
      <c r="D15">
        <v>61</v>
      </c>
      <c r="E15">
        <f t="shared" si="0"/>
        <v>-10.333333333333343</v>
      </c>
      <c r="F15">
        <f t="shared" si="0"/>
        <v>-14.333333333333329</v>
      </c>
      <c r="G15">
        <f t="shared" si="1"/>
        <v>-0.89684470346051748</v>
      </c>
      <c r="H15">
        <f t="shared" si="1"/>
        <v>-0.74222396855908723</v>
      </c>
      <c r="I15">
        <f t="shared" si="2"/>
        <v>0.66565963498366298</v>
      </c>
      <c r="J15">
        <f t="shared" si="3"/>
        <v>61.060698689956325</v>
      </c>
      <c r="K15">
        <f t="shared" si="4"/>
        <v>-6.0698689956325325E-2</v>
      </c>
    </row>
    <row r="16" spans="1:11" x14ac:dyDescent="0.25">
      <c r="A16">
        <v>15</v>
      </c>
      <c r="B16">
        <v>1</v>
      </c>
      <c r="C16">
        <v>150</v>
      </c>
      <c r="D16">
        <v>44</v>
      </c>
      <c r="E16">
        <f t="shared" si="0"/>
        <v>-23.333333333333343</v>
      </c>
      <c r="F16">
        <f t="shared" si="0"/>
        <v>-31.333333333333329</v>
      </c>
      <c r="G16">
        <f t="shared" si="1"/>
        <v>-2.0251332013624577</v>
      </c>
      <c r="H16">
        <f>F16/D$28</f>
        <v>-1.6225361173152142</v>
      </c>
      <c r="I16">
        <f t="shared" si="2"/>
        <v>3.2858517615847718</v>
      </c>
      <c r="J16">
        <f t="shared" si="3"/>
        <v>43.104803493449765</v>
      </c>
      <c r="K16">
        <f t="shared" si="4"/>
        <v>0.89519650655023497</v>
      </c>
    </row>
    <row r="17" spans="1:14" x14ac:dyDescent="0.25">
      <c r="A17">
        <v>16</v>
      </c>
      <c r="B17">
        <v>1</v>
      </c>
      <c r="C17">
        <v>173</v>
      </c>
      <c r="D17">
        <v>68</v>
      </c>
      <c r="E17">
        <f t="shared" si="0"/>
        <v>-0.33333333333334281</v>
      </c>
      <c r="F17">
        <f t="shared" si="0"/>
        <v>-7.3333333333333286</v>
      </c>
      <c r="G17">
        <f t="shared" si="1"/>
        <v>-2.8930474305178779E-2</v>
      </c>
      <c r="H17">
        <f t="shared" si="1"/>
        <v>-0.37974249554185846</v>
      </c>
      <c r="I17">
        <f t="shared" si="2"/>
        <v>1.0986130509858203E-2</v>
      </c>
      <c r="J17">
        <f t="shared" si="3"/>
        <v>74.872925764192132</v>
      </c>
      <c r="K17">
        <f t="shared" si="4"/>
        <v>-6.8729257641921322</v>
      </c>
    </row>
    <row r="18" spans="1:14" x14ac:dyDescent="0.25">
      <c r="A18">
        <v>17</v>
      </c>
      <c r="B18">
        <v>1</v>
      </c>
      <c r="C18">
        <v>165</v>
      </c>
      <c r="D18">
        <v>58</v>
      </c>
      <c r="E18">
        <f t="shared" si="0"/>
        <v>-8.3333333333333428</v>
      </c>
      <c r="F18">
        <f t="shared" si="0"/>
        <v>-17.333333333333329</v>
      </c>
      <c r="G18">
        <f t="shared" si="1"/>
        <v>-0.72326185762944972</v>
      </c>
      <c r="H18">
        <f t="shared" si="1"/>
        <v>-0.89757317128075664</v>
      </c>
      <c r="I18">
        <f t="shared" si="2"/>
        <v>0.64918043921887625</v>
      </c>
      <c r="J18">
        <f t="shared" si="3"/>
        <v>63.823144104803504</v>
      </c>
      <c r="K18">
        <f t="shared" si="4"/>
        <v>-5.8231441048035038</v>
      </c>
    </row>
    <row r="19" spans="1:14" x14ac:dyDescent="0.25">
      <c r="A19">
        <v>18</v>
      </c>
      <c r="B19">
        <v>1</v>
      </c>
      <c r="C19">
        <v>171</v>
      </c>
      <c r="D19">
        <v>65</v>
      </c>
      <c r="E19">
        <f t="shared" si="0"/>
        <v>-2.3333333333333428</v>
      </c>
      <c r="F19">
        <f t="shared" si="0"/>
        <v>-10.333333333333329</v>
      </c>
      <c r="G19">
        <f t="shared" si="1"/>
        <v>-0.20251332013624651</v>
      </c>
      <c r="H19">
        <f t="shared" si="1"/>
        <v>-0.53509169826352787</v>
      </c>
      <c r="I19">
        <f t="shared" si="2"/>
        <v>0.10836319639268964</v>
      </c>
      <c r="J19">
        <f t="shared" si="3"/>
        <v>72.110480349344982</v>
      </c>
      <c r="K19">
        <f t="shared" si="4"/>
        <v>-7.1104803493449822</v>
      </c>
    </row>
    <row r="20" spans="1:14" x14ac:dyDescent="0.25">
      <c r="A20">
        <v>19</v>
      </c>
      <c r="B20">
        <v>0</v>
      </c>
      <c r="C20">
        <v>185</v>
      </c>
      <c r="D20">
        <v>90</v>
      </c>
      <c r="E20">
        <f t="shared" si="0"/>
        <v>11.666666666666657</v>
      </c>
      <c r="F20">
        <f t="shared" si="0"/>
        <v>14.666666666666671</v>
      </c>
      <c r="G20">
        <f t="shared" si="1"/>
        <v>1.0125666006812277</v>
      </c>
      <c r="H20">
        <f t="shared" si="1"/>
        <v>0.75948499108371759</v>
      </c>
      <c r="I20">
        <f t="shared" si="2"/>
        <v>0.76902913569005249</v>
      </c>
      <c r="J20">
        <f t="shared" si="3"/>
        <v>91.447598253275117</v>
      </c>
      <c r="K20">
        <f t="shared" si="4"/>
        <v>-1.4475982532751175</v>
      </c>
    </row>
    <row r="21" spans="1:14" x14ac:dyDescent="0.25">
      <c r="A21">
        <v>20</v>
      </c>
      <c r="B21">
        <v>0</v>
      </c>
      <c r="C21">
        <v>172</v>
      </c>
      <c r="D21">
        <v>72</v>
      </c>
      <c r="E21">
        <f t="shared" si="0"/>
        <v>-1.3333333333333428</v>
      </c>
      <c r="F21">
        <f t="shared" si="0"/>
        <v>-3.3333333333333286</v>
      </c>
      <c r="G21">
        <f t="shared" si="1"/>
        <v>-0.11572189722071265</v>
      </c>
      <c r="H21">
        <f t="shared" si="1"/>
        <v>-0.17261022524629915</v>
      </c>
      <c r="I21">
        <f t="shared" si="2"/>
        <v>1.997478274519629E-2</v>
      </c>
      <c r="J21">
        <f t="shared" si="3"/>
        <v>73.491703056768557</v>
      </c>
      <c r="K21">
        <f t="shared" si="4"/>
        <v>-1.4917030567685572</v>
      </c>
    </row>
    <row r="22" spans="1:14" x14ac:dyDescent="0.25">
      <c r="A22">
        <v>21</v>
      </c>
      <c r="B22">
        <v>1</v>
      </c>
      <c r="C22">
        <v>168</v>
      </c>
      <c r="D22">
        <v>63</v>
      </c>
      <c r="E22">
        <f t="shared" si="0"/>
        <v>-5.3333333333333428</v>
      </c>
      <c r="F22">
        <f t="shared" si="0"/>
        <v>-12.333333333333329</v>
      </c>
      <c r="G22">
        <f t="shared" si="1"/>
        <v>-0.46288758888284809</v>
      </c>
      <c r="H22">
        <f t="shared" si="1"/>
        <v>-0.63865783341130755</v>
      </c>
      <c r="I22">
        <f t="shared" si="2"/>
        <v>0.29562678462890379</v>
      </c>
      <c r="J22">
        <f t="shared" si="3"/>
        <v>67.966812227074229</v>
      </c>
      <c r="K22">
        <f t="shared" si="4"/>
        <v>-4.9668122270742288</v>
      </c>
    </row>
    <row r="23" spans="1:14" x14ac:dyDescent="0.25">
      <c r="A23">
        <v>22</v>
      </c>
      <c r="B23">
        <v>0</v>
      </c>
      <c r="C23">
        <v>194</v>
      </c>
      <c r="D23">
        <v>113</v>
      </c>
      <c r="E23">
        <f t="shared" si="0"/>
        <v>20.666666666666657</v>
      </c>
      <c r="F23">
        <f t="shared" si="0"/>
        <v>37.666666666666671</v>
      </c>
      <c r="G23">
        <f t="shared" si="1"/>
        <v>1.7936894069210325</v>
      </c>
      <c r="H23">
        <f t="shared" si="1"/>
        <v>1.9504955452831836</v>
      </c>
      <c r="I23">
        <f t="shared" si="2"/>
        <v>3.4985831978211093</v>
      </c>
      <c r="J23">
        <f t="shared" si="3"/>
        <v>103.87860262008735</v>
      </c>
      <c r="K23">
        <f t="shared" si="4"/>
        <v>9.1213973799126506</v>
      </c>
    </row>
    <row r="24" spans="1:14" x14ac:dyDescent="0.25">
      <c r="A24">
        <v>23</v>
      </c>
      <c r="B24">
        <v>1</v>
      </c>
      <c r="C24">
        <v>174</v>
      </c>
      <c r="D24">
        <v>83</v>
      </c>
      <c r="E24">
        <f t="shared" si="0"/>
        <v>0.66666666666665719</v>
      </c>
      <c r="F24">
        <f t="shared" si="0"/>
        <v>7.6666666666666714</v>
      </c>
      <c r="G24">
        <f t="shared" si="1"/>
        <v>5.7860948610355088E-2</v>
      </c>
      <c r="H24">
        <f t="shared" si="1"/>
        <v>0.39700351806648887</v>
      </c>
      <c r="I24">
        <f t="shared" si="2"/>
        <v>2.2971000156975289E-2</v>
      </c>
      <c r="J24">
        <f t="shared" si="3"/>
        <v>76.254148471615707</v>
      </c>
      <c r="K24">
        <f t="shared" si="4"/>
        <v>6.7458515283842928</v>
      </c>
    </row>
    <row r="25" spans="1:14" x14ac:dyDescent="0.25">
      <c r="A25">
        <v>24</v>
      </c>
      <c r="B25">
        <v>0</v>
      </c>
      <c r="C25">
        <v>175</v>
      </c>
      <c r="D25">
        <v>87</v>
      </c>
      <c r="E25">
        <f t="shared" si="0"/>
        <v>1.6666666666666572</v>
      </c>
      <c r="F25">
        <f t="shared" si="0"/>
        <v>11.666666666666671</v>
      </c>
      <c r="G25">
        <f t="shared" si="1"/>
        <v>0.14465237152588895</v>
      </c>
      <c r="H25">
        <f t="shared" si="1"/>
        <v>0.60413578836204818</v>
      </c>
      <c r="I25">
        <f t="shared" si="2"/>
        <v>8.7389674510232801E-2</v>
      </c>
      <c r="J25">
        <f t="shared" si="3"/>
        <v>77.635371179039311</v>
      </c>
      <c r="K25">
        <f t="shared" si="4"/>
        <v>9.3646288209606894</v>
      </c>
    </row>
    <row r="27" spans="1:14" x14ac:dyDescent="0.25">
      <c r="A27" t="s">
        <v>22</v>
      </c>
      <c r="C27">
        <f>SUM(C2:C25)/COUNT(C2:C25)</f>
        <v>173.33333333333334</v>
      </c>
      <c r="D27">
        <f>SUM(D2:D25)/COUNT(D2:D25)</f>
        <v>75.333333333333329</v>
      </c>
      <c r="E27">
        <f>SUM(E2:E25)/COUNT(E2:E25)</f>
        <v>-9.473903143468002E-15</v>
      </c>
      <c r="F27">
        <f>SUM(F2:F25)/COUNT(F2:F25)</f>
        <v>4.736951571734001E-15</v>
      </c>
    </row>
    <row r="28" spans="1:14" x14ac:dyDescent="0.25">
      <c r="A28" t="s">
        <v>23</v>
      </c>
      <c r="C28">
        <f>SQRT(SUMSQ(E2:E25)/(COUNT(E2:E25)-1))</f>
        <v>11.52187585371435</v>
      </c>
      <c r="D28">
        <f>SQRT(SUMSQ(F2:F25)/(COUNT(F2:F25)-1))</f>
        <v>19.311331808859897</v>
      </c>
      <c r="K28" t="s">
        <v>34</v>
      </c>
      <c r="M28" t="s">
        <v>41</v>
      </c>
    </row>
    <row r="29" spans="1:14" x14ac:dyDescent="0.25">
      <c r="I29" t="s">
        <v>28</v>
      </c>
      <c r="J29">
        <f>SUM(I2:I25)/(COUNT(I2:I25)-1)</f>
        <v>0.82409005856159356</v>
      </c>
      <c r="M29" t="s">
        <v>42</v>
      </c>
    </row>
    <row r="30" spans="1:14" x14ac:dyDescent="0.25">
      <c r="A30" t="s">
        <v>24</v>
      </c>
      <c r="C30">
        <f>AVERAGE(C2:C25)</f>
        <v>173.33333333333334</v>
      </c>
      <c r="D30">
        <f>AVERAGE(D2:D25)</f>
        <v>75.333333333333329</v>
      </c>
    </row>
    <row r="31" spans="1:14" x14ac:dyDescent="0.25">
      <c r="A31" t="s">
        <v>27</v>
      </c>
      <c r="C31">
        <f>_xlfn.STDEV.S(C2:C25)</f>
        <v>11.52187585371435</v>
      </c>
      <c r="D31">
        <f>_xlfn.STDEV.S(D2:D25)</f>
        <v>19.311331808859908</v>
      </c>
      <c r="I31" t="s">
        <v>28</v>
      </c>
      <c r="J31">
        <f>PEARSON(C2:C25,D2:D25)</f>
        <v>0.82409005856159345</v>
      </c>
      <c r="K31">
        <f>J31*J31</f>
        <v>0.67912442462005052</v>
      </c>
      <c r="M31" t="s">
        <v>39</v>
      </c>
      <c r="N31">
        <f>D27-N32*C27</f>
        <v>-164.07860262008734</v>
      </c>
    </row>
    <row r="32" spans="1:14" x14ac:dyDescent="0.25">
      <c r="I32" t="s">
        <v>32</v>
      </c>
      <c r="J32">
        <f>PEARSON(B2:B25,C2:C25)</f>
        <v>-0.62030168288283605</v>
      </c>
      <c r="K32">
        <f>J32*J32</f>
        <v>0.38477417778727852</v>
      </c>
      <c r="M32" t="s">
        <v>40</v>
      </c>
      <c r="N32">
        <f>J31*D28/C28</f>
        <v>1.3812227074235808</v>
      </c>
    </row>
    <row r="33" spans="9:12" x14ac:dyDescent="0.25">
      <c r="I33" t="s">
        <v>33</v>
      </c>
      <c r="J33">
        <f>PEARSON(B2:B25,D2:D25)</f>
        <v>-0.54261028582426241</v>
      </c>
      <c r="K33">
        <f>J33*J33</f>
        <v>0.29442592228228776</v>
      </c>
    </row>
    <row r="35" spans="9:12" x14ac:dyDescent="0.25">
      <c r="I35" t="s">
        <v>35</v>
      </c>
    </row>
    <row r="37" spans="9:12" x14ac:dyDescent="0.25">
      <c r="K37" t="s">
        <v>36</v>
      </c>
      <c r="L37">
        <f>J31*SQRT(24-2)/SQRT(1-J31*J31)</f>
        <v>6.8236648074321744</v>
      </c>
    </row>
    <row r="38" spans="9:12" x14ac:dyDescent="0.25">
      <c r="K38" t="s">
        <v>37</v>
      </c>
      <c r="L38">
        <f>24-2</f>
        <v>22</v>
      </c>
    </row>
    <row r="39" spans="9:12" x14ac:dyDescent="0.25">
      <c r="K39" t="s">
        <v>38</v>
      </c>
      <c r="L39">
        <f>_xlfn.T.DIST(L37,L38,FALSE)</f>
        <v>8.2956074229603279E-7</v>
      </c>
    </row>
  </sheetData>
  <pageMargins left="0.7" right="0.7" top="0.78740157499999996" bottom="0.78740157499999996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059536-6740-4811-B87C-795902B133F3}">
  <dimension ref="A1:Y63"/>
  <sheetViews>
    <sheetView zoomScale="115" zoomScaleNormal="115" workbookViewId="0">
      <pane xSplit="1" ySplit="1" topLeftCell="B15" activePane="bottomRight" state="frozen"/>
      <selection pane="topRight" activeCell="B1" sqref="B1"/>
      <selection pane="bottomLeft" activeCell="A2" sqref="A2"/>
      <selection pane="bottomRight" activeCell="J44" sqref="J44"/>
    </sheetView>
  </sheetViews>
  <sheetFormatPr defaultRowHeight="15" x14ac:dyDescent="0.25"/>
  <cols>
    <col min="10" max="10" width="11.85546875" bestFit="1" customWidth="1"/>
    <col min="11" max="11" width="12.42578125" bestFit="1" customWidth="1"/>
  </cols>
  <sheetData>
    <row r="1" spans="1:18" x14ac:dyDescent="0.25">
      <c r="A1" t="s">
        <v>18</v>
      </c>
      <c r="B1" t="s">
        <v>19</v>
      </c>
      <c r="C1" t="s">
        <v>20</v>
      </c>
      <c r="D1" t="s">
        <v>21</v>
      </c>
      <c r="E1" t="s">
        <v>25</v>
      </c>
      <c r="F1" t="s">
        <v>26</v>
      </c>
      <c r="G1" t="s">
        <v>29</v>
      </c>
      <c r="H1" t="s">
        <v>30</v>
      </c>
      <c r="I1" t="s">
        <v>31</v>
      </c>
      <c r="J1" t="s">
        <v>43</v>
      </c>
      <c r="K1" t="s">
        <v>44</v>
      </c>
    </row>
    <row r="2" spans="1:18" x14ac:dyDescent="0.25">
      <c r="A2">
        <v>1</v>
      </c>
      <c r="B2">
        <v>0</v>
      </c>
      <c r="C2">
        <v>172</v>
      </c>
      <c r="D2">
        <v>87</v>
      </c>
      <c r="E2">
        <f>C2-C$27</f>
        <v>-1.3333333333333428</v>
      </c>
      <c r="F2">
        <f>D2-D$27</f>
        <v>11.666666666666671</v>
      </c>
      <c r="G2">
        <f>E2/C$28</f>
        <v>-0.11572189722071265</v>
      </c>
      <c r="H2">
        <f>F2/D$28</f>
        <v>0.60413578836204818</v>
      </c>
      <c r="I2">
        <f>G2*H2</f>
        <v>-6.991173960818714E-2</v>
      </c>
      <c r="J2">
        <f>$O$4+$O$5*C2+$O$6*B2</f>
        <v>74.451852462061197</v>
      </c>
      <c r="K2">
        <f>D2-J2</f>
        <v>12.548147537938803</v>
      </c>
    </row>
    <row r="3" spans="1:18" x14ac:dyDescent="0.25">
      <c r="A3">
        <v>2</v>
      </c>
      <c r="B3">
        <v>1</v>
      </c>
      <c r="C3">
        <v>169</v>
      </c>
      <c r="D3">
        <v>61</v>
      </c>
      <c r="E3">
        <f t="shared" ref="E3:F25" si="0">C3-C$27</f>
        <v>-4.3333333333333428</v>
      </c>
      <c r="F3">
        <f t="shared" si="0"/>
        <v>-14.333333333333329</v>
      </c>
      <c r="G3">
        <f t="shared" ref="G3:H25" si="1">E3/C$28</f>
        <v>-0.37609616596731427</v>
      </c>
      <c r="H3">
        <f t="shared" si="1"/>
        <v>-0.74222396855908723</v>
      </c>
      <c r="I3">
        <f t="shared" ref="I3:I25" si="2">G3*H3</f>
        <v>0.27914758886411711</v>
      </c>
      <c r="J3">
        <f t="shared" ref="J3:J25" si="3">$O$4+$O$5*C3+$O$6*B3</f>
        <v>68.527416177419838</v>
      </c>
      <c r="K3">
        <f t="shared" ref="K3:K25" si="4">D3-J3</f>
        <v>-7.5274161774198376</v>
      </c>
    </row>
    <row r="4" spans="1:18" x14ac:dyDescent="0.25">
      <c r="A4">
        <v>3</v>
      </c>
      <c r="B4">
        <v>0</v>
      </c>
      <c r="C4">
        <v>170</v>
      </c>
      <c r="D4">
        <v>63</v>
      </c>
      <c r="E4">
        <f t="shared" si="0"/>
        <v>-3.3333333333333428</v>
      </c>
      <c r="F4">
        <f t="shared" si="0"/>
        <v>-12.333333333333329</v>
      </c>
      <c r="G4">
        <f t="shared" si="1"/>
        <v>-0.28930474305178039</v>
      </c>
      <c r="H4">
        <f t="shared" si="1"/>
        <v>-0.63865783341130755</v>
      </c>
      <c r="I4">
        <f t="shared" si="2"/>
        <v>0.18476674039306509</v>
      </c>
      <c r="J4">
        <f>$O$4+$O$5*C4+$O$6*B4</f>
        <v>71.795749823797735</v>
      </c>
      <c r="K4">
        <f t="shared" si="4"/>
        <v>-8.7957498237977347</v>
      </c>
      <c r="N4" t="s">
        <v>39</v>
      </c>
      <c r="O4">
        <v>-153.97297442859755</v>
      </c>
    </row>
    <row r="5" spans="1:18" x14ac:dyDescent="0.25">
      <c r="A5">
        <v>4</v>
      </c>
      <c r="B5">
        <v>1</v>
      </c>
      <c r="C5">
        <v>166</v>
      </c>
      <c r="D5">
        <v>85</v>
      </c>
      <c r="E5">
        <f t="shared" si="0"/>
        <v>-7.3333333333333428</v>
      </c>
      <c r="F5">
        <f t="shared" si="0"/>
        <v>9.6666666666666714</v>
      </c>
      <c r="G5">
        <f t="shared" si="1"/>
        <v>-0.63647043471391584</v>
      </c>
      <c r="H5">
        <f t="shared" si="1"/>
        <v>0.5005696532142685</v>
      </c>
      <c r="I5">
        <f t="shared" si="2"/>
        <v>-0.31859778478587958</v>
      </c>
      <c r="J5">
        <f t="shared" si="3"/>
        <v>64.543262220024644</v>
      </c>
      <c r="K5">
        <f t="shared" si="4"/>
        <v>20.456737779975356</v>
      </c>
      <c r="N5" t="s">
        <v>46</v>
      </c>
      <c r="O5">
        <v>1.3280513191317369</v>
      </c>
    </row>
    <row r="6" spans="1:18" x14ac:dyDescent="0.25">
      <c r="A6">
        <v>5</v>
      </c>
      <c r="B6">
        <v>0</v>
      </c>
      <c r="C6">
        <v>183</v>
      </c>
      <c r="D6">
        <v>77</v>
      </c>
      <c r="E6">
        <f t="shared" si="0"/>
        <v>9.6666666666666572</v>
      </c>
      <c r="F6">
        <f t="shared" si="0"/>
        <v>1.6666666666666714</v>
      </c>
      <c r="G6">
        <f t="shared" si="1"/>
        <v>0.83898375485015986</v>
      </c>
      <c r="H6">
        <f t="shared" si="1"/>
        <v>8.6305112623149952E-2</v>
      </c>
      <c r="I6">
        <f t="shared" si="2"/>
        <v>7.240858745133627E-2</v>
      </c>
      <c r="J6">
        <f t="shared" si="3"/>
        <v>89.060416972510296</v>
      </c>
      <c r="K6">
        <f t="shared" si="4"/>
        <v>-12.060416972510296</v>
      </c>
      <c r="N6" t="s">
        <v>47</v>
      </c>
      <c r="O6">
        <v>-1.9402823272461382</v>
      </c>
    </row>
    <row r="7" spans="1:18" x14ac:dyDescent="0.25">
      <c r="A7">
        <v>6</v>
      </c>
      <c r="B7">
        <v>0</v>
      </c>
      <c r="C7">
        <v>168</v>
      </c>
      <c r="D7">
        <v>58</v>
      </c>
      <c r="E7">
        <f t="shared" si="0"/>
        <v>-5.3333333333333428</v>
      </c>
      <c r="F7">
        <f t="shared" si="0"/>
        <v>-17.333333333333329</v>
      </c>
      <c r="G7">
        <f t="shared" si="1"/>
        <v>-0.46288758888284809</v>
      </c>
      <c r="H7">
        <f t="shared" si="1"/>
        <v>-0.89757317128075664</v>
      </c>
      <c r="I7">
        <f t="shared" si="2"/>
        <v>0.41547548110008109</v>
      </c>
      <c r="J7">
        <f t="shared" si="3"/>
        <v>69.139647185534244</v>
      </c>
      <c r="K7">
        <f t="shared" si="4"/>
        <v>-11.139647185534244</v>
      </c>
    </row>
    <row r="8" spans="1:18" x14ac:dyDescent="0.25">
      <c r="A8">
        <v>7</v>
      </c>
      <c r="B8">
        <v>1</v>
      </c>
      <c r="C8">
        <v>170</v>
      </c>
      <c r="D8">
        <v>65</v>
      </c>
      <c r="E8">
        <f t="shared" si="0"/>
        <v>-3.3333333333333428</v>
      </c>
      <c r="F8">
        <f t="shared" si="0"/>
        <v>-10.333333333333329</v>
      </c>
      <c r="G8">
        <f t="shared" si="1"/>
        <v>-0.28930474305178039</v>
      </c>
      <c r="H8">
        <f t="shared" si="1"/>
        <v>-0.53509169826352787</v>
      </c>
      <c r="I8">
        <f t="shared" si="2"/>
        <v>0.15480456627527073</v>
      </c>
      <c r="J8">
        <f t="shared" si="3"/>
        <v>69.855467496551597</v>
      </c>
      <c r="K8">
        <f t="shared" si="4"/>
        <v>-4.8554674965515972</v>
      </c>
    </row>
    <row r="9" spans="1:18" x14ac:dyDescent="0.25">
      <c r="A9">
        <v>8</v>
      </c>
      <c r="B9">
        <v>0</v>
      </c>
      <c r="C9">
        <v>190</v>
      </c>
      <c r="D9">
        <v>90</v>
      </c>
      <c r="E9">
        <f t="shared" si="0"/>
        <v>16.666666666666657</v>
      </c>
      <c r="F9">
        <f t="shared" si="0"/>
        <v>14.666666666666671</v>
      </c>
      <c r="G9">
        <f t="shared" si="1"/>
        <v>1.446523715258897</v>
      </c>
      <c r="H9">
        <f t="shared" si="1"/>
        <v>0.75948499108371759</v>
      </c>
      <c r="I9">
        <f t="shared" si="2"/>
        <v>1.0986130509857894</v>
      </c>
      <c r="J9">
        <f t="shared" si="3"/>
        <v>98.356776206432471</v>
      </c>
      <c r="K9">
        <f t="shared" si="4"/>
        <v>-8.3567762064324711</v>
      </c>
      <c r="N9" t="s">
        <v>48</v>
      </c>
    </row>
    <row r="10" spans="1:18" x14ac:dyDescent="0.25">
      <c r="A10">
        <v>9</v>
      </c>
      <c r="B10">
        <v>1</v>
      </c>
      <c r="C10">
        <v>165</v>
      </c>
      <c r="D10">
        <v>63</v>
      </c>
      <c r="E10">
        <f t="shared" si="0"/>
        <v>-8.3333333333333428</v>
      </c>
      <c r="F10">
        <f t="shared" si="0"/>
        <v>-12.333333333333329</v>
      </c>
      <c r="G10">
        <f t="shared" si="1"/>
        <v>-0.72326185762944972</v>
      </c>
      <c r="H10">
        <f t="shared" si="1"/>
        <v>-0.63865783341130755</v>
      </c>
      <c r="I10">
        <f t="shared" si="2"/>
        <v>0.46191685098266194</v>
      </c>
      <c r="J10">
        <f t="shared" si="3"/>
        <v>63.215210900892913</v>
      </c>
      <c r="K10">
        <f t="shared" si="4"/>
        <v>-0.21521090089291306</v>
      </c>
    </row>
    <row r="11" spans="1:18" ht="17.25" x14ac:dyDescent="0.25">
      <c r="A11">
        <v>10</v>
      </c>
      <c r="B11">
        <v>1</v>
      </c>
      <c r="C11">
        <v>152</v>
      </c>
      <c r="D11">
        <v>51</v>
      </c>
      <c r="E11">
        <f t="shared" si="0"/>
        <v>-21.333333333333343</v>
      </c>
      <c r="F11">
        <f t="shared" si="0"/>
        <v>-24.333333333333329</v>
      </c>
      <c r="G11">
        <f t="shared" si="1"/>
        <v>-1.8515503555313899</v>
      </c>
      <c r="H11">
        <f t="shared" si="1"/>
        <v>-1.2600546442979854</v>
      </c>
      <c r="I11">
        <f t="shared" si="2"/>
        <v>2.3330546246389141</v>
      </c>
      <c r="J11">
        <f t="shared" si="3"/>
        <v>45.950543752180323</v>
      </c>
      <c r="K11">
        <f t="shared" si="4"/>
        <v>5.0494562478196769</v>
      </c>
      <c r="N11" t="s">
        <v>49</v>
      </c>
      <c r="O11">
        <f>PEARSON(D2:D25,J2:J25)</f>
        <v>0.82506342745228467</v>
      </c>
      <c r="Q11" t="s">
        <v>50</v>
      </c>
      <c r="R11">
        <f>O11*O11</f>
        <v>0.6807296593193114</v>
      </c>
    </row>
    <row r="12" spans="1:18" x14ac:dyDescent="0.25">
      <c r="A12">
        <v>11</v>
      </c>
      <c r="B12">
        <v>0</v>
      </c>
      <c r="C12">
        <v>187</v>
      </c>
      <c r="D12">
        <v>82</v>
      </c>
      <c r="E12">
        <f t="shared" si="0"/>
        <v>13.666666666666657</v>
      </c>
      <c r="F12">
        <f t="shared" si="0"/>
        <v>6.6666666666666714</v>
      </c>
      <c r="G12">
        <f t="shared" si="1"/>
        <v>1.1861494465122953</v>
      </c>
      <c r="H12">
        <f t="shared" si="1"/>
        <v>0.34522045049259903</v>
      </c>
      <c r="I12">
        <f t="shared" si="2"/>
        <v>0.40948304627652155</v>
      </c>
      <c r="J12">
        <f t="shared" si="3"/>
        <v>94.372622249037249</v>
      </c>
      <c r="K12">
        <f t="shared" si="4"/>
        <v>-12.372622249037249</v>
      </c>
    </row>
    <row r="13" spans="1:18" x14ac:dyDescent="0.25">
      <c r="A13">
        <v>12</v>
      </c>
      <c r="B13">
        <v>0</v>
      </c>
      <c r="C13">
        <v>185</v>
      </c>
      <c r="D13">
        <v>125</v>
      </c>
      <c r="E13">
        <f t="shared" si="0"/>
        <v>11.666666666666657</v>
      </c>
      <c r="F13">
        <f t="shared" si="0"/>
        <v>49.666666666666671</v>
      </c>
      <c r="G13">
        <f t="shared" si="1"/>
        <v>1.0125666006812277</v>
      </c>
      <c r="H13">
        <f t="shared" si="1"/>
        <v>2.5718923561698612</v>
      </c>
      <c r="I13">
        <f t="shared" si="2"/>
        <v>2.6042123004049498</v>
      </c>
      <c r="J13">
        <f t="shared" si="3"/>
        <v>91.716519610773787</v>
      </c>
      <c r="K13">
        <f t="shared" si="4"/>
        <v>33.283480389226213</v>
      </c>
      <c r="N13" t="s">
        <v>51</v>
      </c>
      <c r="O13">
        <f>SUMSQ(K2:K25)</f>
        <v>2738.4881355079688</v>
      </c>
    </row>
    <row r="14" spans="1:18" x14ac:dyDescent="0.25">
      <c r="A14">
        <v>13</v>
      </c>
      <c r="B14">
        <v>0</v>
      </c>
      <c r="C14">
        <v>193</v>
      </c>
      <c r="D14">
        <v>97</v>
      </c>
      <c r="E14">
        <f t="shared" si="0"/>
        <v>19.666666666666657</v>
      </c>
      <c r="F14">
        <f t="shared" si="0"/>
        <v>21.666666666666671</v>
      </c>
      <c r="G14">
        <f t="shared" si="1"/>
        <v>1.7068979840054985</v>
      </c>
      <c r="H14">
        <f t="shared" si="1"/>
        <v>1.1219664641009464</v>
      </c>
      <c r="I14">
        <f t="shared" si="2"/>
        <v>1.9150822956956828</v>
      </c>
      <c r="J14">
        <f t="shared" si="3"/>
        <v>102.34093016382766</v>
      </c>
      <c r="K14">
        <f t="shared" si="4"/>
        <v>-5.3409301638276645</v>
      </c>
    </row>
    <row r="15" spans="1:18" x14ac:dyDescent="0.25">
      <c r="A15">
        <v>14</v>
      </c>
      <c r="B15">
        <v>0</v>
      </c>
      <c r="C15">
        <v>163</v>
      </c>
      <c r="D15">
        <v>61</v>
      </c>
      <c r="E15">
        <f t="shared" si="0"/>
        <v>-10.333333333333343</v>
      </c>
      <c r="F15">
        <f t="shared" si="0"/>
        <v>-14.333333333333329</v>
      </c>
      <c r="G15">
        <f t="shared" si="1"/>
        <v>-0.89684470346051748</v>
      </c>
      <c r="H15">
        <f t="shared" si="1"/>
        <v>-0.74222396855908723</v>
      </c>
      <c r="I15">
        <f t="shared" si="2"/>
        <v>0.66565963498366298</v>
      </c>
      <c r="J15">
        <f t="shared" si="3"/>
        <v>62.49939058987556</v>
      </c>
      <c r="K15">
        <f t="shared" si="4"/>
        <v>-1.49939058987556</v>
      </c>
      <c r="Q15" t="s">
        <v>52</v>
      </c>
    </row>
    <row r="16" spans="1:18" ht="15.75" thickBot="1" x14ac:dyDescent="0.3">
      <c r="A16">
        <v>15</v>
      </c>
      <c r="B16">
        <v>1</v>
      </c>
      <c r="C16">
        <v>150</v>
      </c>
      <c r="D16">
        <v>44</v>
      </c>
      <c r="E16">
        <f t="shared" si="0"/>
        <v>-23.333333333333343</v>
      </c>
      <c r="F16">
        <f t="shared" si="0"/>
        <v>-31.333333333333329</v>
      </c>
      <c r="G16">
        <f t="shared" si="1"/>
        <v>-2.0251332013624577</v>
      </c>
      <c r="H16">
        <f>F16/D$28</f>
        <v>-1.6225361173152142</v>
      </c>
      <c r="I16">
        <f t="shared" si="2"/>
        <v>3.2858517615847718</v>
      </c>
      <c r="J16">
        <f t="shared" si="3"/>
        <v>43.294441113916832</v>
      </c>
      <c r="K16">
        <f t="shared" si="4"/>
        <v>0.70555888608316764</v>
      </c>
    </row>
    <row r="17" spans="1:25" x14ac:dyDescent="0.25">
      <c r="A17">
        <v>16</v>
      </c>
      <c r="B17">
        <v>1</v>
      </c>
      <c r="C17">
        <v>173</v>
      </c>
      <c r="D17">
        <v>68</v>
      </c>
      <c r="E17">
        <f t="shared" si="0"/>
        <v>-0.33333333333334281</v>
      </c>
      <c r="F17">
        <f t="shared" si="0"/>
        <v>-7.3333333333333286</v>
      </c>
      <c r="G17">
        <f t="shared" si="1"/>
        <v>-2.8930474305178779E-2</v>
      </c>
      <c r="H17">
        <f t="shared" si="1"/>
        <v>-0.37974249554185846</v>
      </c>
      <c r="I17">
        <f t="shared" si="2"/>
        <v>1.0986130509858203E-2</v>
      </c>
      <c r="J17">
        <f t="shared" si="3"/>
        <v>73.839621453946791</v>
      </c>
      <c r="K17">
        <f t="shared" si="4"/>
        <v>-5.8396214539467906</v>
      </c>
      <c r="Q17" s="5" t="s">
        <v>53</v>
      </c>
      <c r="R17" s="5"/>
    </row>
    <row r="18" spans="1:25" x14ac:dyDescent="0.25">
      <c r="A18">
        <v>17</v>
      </c>
      <c r="B18">
        <v>1</v>
      </c>
      <c r="C18">
        <v>165</v>
      </c>
      <c r="D18">
        <v>58</v>
      </c>
      <c r="E18">
        <f t="shared" si="0"/>
        <v>-8.3333333333333428</v>
      </c>
      <c r="F18">
        <f t="shared" si="0"/>
        <v>-17.333333333333329</v>
      </c>
      <c r="G18">
        <f t="shared" si="1"/>
        <v>-0.72326185762944972</v>
      </c>
      <c r="H18">
        <f t="shared" si="1"/>
        <v>-0.89757317128075664</v>
      </c>
      <c r="I18">
        <f t="shared" si="2"/>
        <v>0.64918043921887625</v>
      </c>
      <c r="J18">
        <f t="shared" si="3"/>
        <v>63.215210900892913</v>
      </c>
      <c r="K18">
        <f t="shared" si="4"/>
        <v>-5.2152109008929131</v>
      </c>
      <c r="Q18" s="2" t="s">
        <v>54</v>
      </c>
      <c r="R18" s="2">
        <v>0.82506342874138694</v>
      </c>
    </row>
    <row r="19" spans="1:25" x14ac:dyDescent="0.25">
      <c r="A19">
        <v>18</v>
      </c>
      <c r="B19">
        <v>1</v>
      </c>
      <c r="C19">
        <v>171</v>
      </c>
      <c r="D19">
        <v>65</v>
      </c>
      <c r="E19">
        <f t="shared" si="0"/>
        <v>-2.3333333333333428</v>
      </c>
      <c r="F19">
        <f t="shared" si="0"/>
        <v>-10.333333333333329</v>
      </c>
      <c r="G19">
        <f t="shared" si="1"/>
        <v>-0.20251332013624651</v>
      </c>
      <c r="H19">
        <f t="shared" si="1"/>
        <v>-0.53509169826352787</v>
      </c>
      <c r="I19">
        <f t="shared" si="2"/>
        <v>0.10836319639268964</v>
      </c>
      <c r="J19">
        <f t="shared" si="3"/>
        <v>71.183518815683328</v>
      </c>
      <c r="K19">
        <f t="shared" si="4"/>
        <v>-6.1835188156833283</v>
      </c>
      <c r="Q19" s="2" t="s">
        <v>55</v>
      </c>
      <c r="R19" s="2">
        <v>0.68072966144649372</v>
      </c>
    </row>
    <row r="20" spans="1:25" x14ac:dyDescent="0.25">
      <c r="A20">
        <v>19</v>
      </c>
      <c r="B20">
        <v>0</v>
      </c>
      <c r="C20">
        <v>185</v>
      </c>
      <c r="D20">
        <v>90</v>
      </c>
      <c r="E20">
        <f t="shared" si="0"/>
        <v>11.666666666666657</v>
      </c>
      <c r="F20">
        <f t="shared" si="0"/>
        <v>14.666666666666671</v>
      </c>
      <c r="G20">
        <f t="shared" si="1"/>
        <v>1.0125666006812277</v>
      </c>
      <c r="H20">
        <f t="shared" si="1"/>
        <v>0.75948499108371759</v>
      </c>
      <c r="I20">
        <f t="shared" si="2"/>
        <v>0.76902913569005249</v>
      </c>
      <c r="J20">
        <f t="shared" si="3"/>
        <v>91.716519610773787</v>
      </c>
      <c r="K20">
        <f t="shared" si="4"/>
        <v>-1.716519610773787</v>
      </c>
      <c r="Q20" s="2" t="s">
        <v>56</v>
      </c>
      <c r="R20" s="2">
        <v>0.65032296253663602</v>
      </c>
    </row>
    <row r="21" spans="1:25" x14ac:dyDescent="0.25">
      <c r="A21">
        <v>20</v>
      </c>
      <c r="B21">
        <v>0</v>
      </c>
      <c r="C21">
        <v>172</v>
      </c>
      <c r="D21">
        <v>72</v>
      </c>
      <c r="E21">
        <f t="shared" si="0"/>
        <v>-1.3333333333333428</v>
      </c>
      <c r="F21">
        <f t="shared" si="0"/>
        <v>-3.3333333333333286</v>
      </c>
      <c r="G21">
        <f t="shared" si="1"/>
        <v>-0.11572189722071265</v>
      </c>
      <c r="H21">
        <f t="shared" si="1"/>
        <v>-0.17261022524629915</v>
      </c>
      <c r="I21">
        <f t="shared" si="2"/>
        <v>1.997478274519629E-2</v>
      </c>
      <c r="J21">
        <f t="shared" si="3"/>
        <v>74.451852462061197</v>
      </c>
      <c r="K21">
        <f t="shared" si="4"/>
        <v>-2.451852462061197</v>
      </c>
      <c r="Q21" s="2" t="s">
        <v>57</v>
      </c>
      <c r="R21" s="2">
        <v>11.419465664297807</v>
      </c>
    </row>
    <row r="22" spans="1:25" ht="15.75" thickBot="1" x14ac:dyDescent="0.3">
      <c r="A22">
        <v>21</v>
      </c>
      <c r="B22">
        <v>1</v>
      </c>
      <c r="C22">
        <v>168</v>
      </c>
      <c r="D22">
        <v>63</v>
      </c>
      <c r="E22">
        <f t="shared" si="0"/>
        <v>-5.3333333333333428</v>
      </c>
      <c r="F22">
        <f t="shared" si="0"/>
        <v>-12.333333333333329</v>
      </c>
      <c r="G22">
        <f t="shared" si="1"/>
        <v>-0.46288758888284809</v>
      </c>
      <c r="H22">
        <f t="shared" si="1"/>
        <v>-0.63865783341130755</v>
      </c>
      <c r="I22">
        <f t="shared" si="2"/>
        <v>0.29562678462890379</v>
      </c>
      <c r="J22">
        <f t="shared" si="3"/>
        <v>67.199364858288106</v>
      </c>
      <c r="K22">
        <f t="shared" si="4"/>
        <v>-4.1993648582881065</v>
      </c>
      <c r="Q22" s="3" t="s">
        <v>58</v>
      </c>
      <c r="R22" s="3">
        <v>24</v>
      </c>
    </row>
    <row r="23" spans="1:25" x14ac:dyDescent="0.25">
      <c r="A23">
        <v>22</v>
      </c>
      <c r="B23">
        <v>0</v>
      </c>
      <c r="C23">
        <v>194</v>
      </c>
      <c r="D23">
        <v>113</v>
      </c>
      <c r="E23">
        <f t="shared" si="0"/>
        <v>20.666666666666657</v>
      </c>
      <c r="F23">
        <f t="shared" si="0"/>
        <v>37.666666666666671</v>
      </c>
      <c r="G23">
        <f t="shared" si="1"/>
        <v>1.7936894069210325</v>
      </c>
      <c r="H23">
        <f t="shared" si="1"/>
        <v>1.9504955452831836</v>
      </c>
      <c r="I23">
        <f t="shared" si="2"/>
        <v>3.4985831978211093</v>
      </c>
      <c r="J23">
        <f t="shared" si="3"/>
        <v>103.66898148295942</v>
      </c>
      <c r="K23">
        <f t="shared" si="4"/>
        <v>9.3310185170405759</v>
      </c>
    </row>
    <row r="24" spans="1:25" ht="15.75" thickBot="1" x14ac:dyDescent="0.3">
      <c r="A24">
        <v>23</v>
      </c>
      <c r="B24">
        <v>1</v>
      </c>
      <c r="C24">
        <v>174</v>
      </c>
      <c r="D24">
        <v>83</v>
      </c>
      <c r="E24">
        <f t="shared" si="0"/>
        <v>0.66666666666665719</v>
      </c>
      <c r="F24">
        <f t="shared" si="0"/>
        <v>7.6666666666666714</v>
      </c>
      <c r="G24">
        <f t="shared" si="1"/>
        <v>5.7860948610355088E-2</v>
      </c>
      <c r="H24">
        <f t="shared" si="1"/>
        <v>0.39700351806648887</v>
      </c>
      <c r="I24">
        <f t="shared" si="2"/>
        <v>2.2971000156975289E-2</v>
      </c>
      <c r="J24">
        <f t="shared" si="3"/>
        <v>75.167672773078522</v>
      </c>
      <c r="K24">
        <f t="shared" si="4"/>
        <v>7.8323272269214783</v>
      </c>
      <c r="Q24" t="s">
        <v>59</v>
      </c>
    </row>
    <row r="25" spans="1:25" x14ac:dyDescent="0.25">
      <c r="A25">
        <v>24</v>
      </c>
      <c r="B25">
        <v>0</v>
      </c>
      <c r="C25">
        <v>175</v>
      </c>
      <c r="D25">
        <v>87</v>
      </c>
      <c r="E25">
        <f t="shared" si="0"/>
        <v>1.6666666666666572</v>
      </c>
      <c r="F25">
        <f t="shared" si="0"/>
        <v>11.666666666666671</v>
      </c>
      <c r="G25">
        <f t="shared" si="1"/>
        <v>0.14465237152588895</v>
      </c>
      <c r="H25">
        <f t="shared" si="1"/>
        <v>0.60413578836204818</v>
      </c>
      <c r="I25">
        <f t="shared" si="2"/>
        <v>8.7389674510232801E-2</v>
      </c>
      <c r="J25">
        <f t="shared" si="3"/>
        <v>78.436006419456419</v>
      </c>
      <c r="K25">
        <f t="shared" si="4"/>
        <v>8.5639935805435812</v>
      </c>
      <c r="Q25" s="4"/>
      <c r="R25" s="4" t="s">
        <v>64</v>
      </c>
      <c r="S25" s="4" t="s">
        <v>51</v>
      </c>
      <c r="T25" s="4" t="s">
        <v>65</v>
      </c>
      <c r="U25" s="4" t="s">
        <v>66</v>
      </c>
      <c r="V25" s="4" t="s">
        <v>67</v>
      </c>
    </row>
    <row r="26" spans="1:25" x14ac:dyDescent="0.25">
      <c r="Q26" s="2" t="s">
        <v>60</v>
      </c>
      <c r="R26" s="2">
        <v>2</v>
      </c>
      <c r="S26" s="2">
        <v>5838.8452161137247</v>
      </c>
      <c r="T26" s="2">
        <v>2919.4226080568624</v>
      </c>
      <c r="U26" s="2">
        <v>22.387489791790703</v>
      </c>
      <c r="V26" s="2">
        <v>6.2182046929328955E-6</v>
      </c>
    </row>
    <row r="27" spans="1:25" x14ac:dyDescent="0.25">
      <c r="A27" t="s">
        <v>22</v>
      </c>
      <c r="C27">
        <f>SUM(C2:C25)/COUNT(C2:C25)</f>
        <v>173.33333333333334</v>
      </c>
      <c r="D27">
        <f>SUM(D2:D25)/COUNT(D2:D25)</f>
        <v>75.333333333333329</v>
      </c>
      <c r="E27">
        <f>SUM(E2:E25)/COUNT(E2:E25)</f>
        <v>-9.473903143468002E-15</v>
      </c>
      <c r="F27">
        <f>SUM(F2:F25)/COUNT(F2:F25)</f>
        <v>4.736951571734001E-15</v>
      </c>
      <c r="Q27" s="2" t="s">
        <v>61</v>
      </c>
      <c r="R27" s="2">
        <v>21</v>
      </c>
      <c r="S27" s="2">
        <v>2738.4881172196078</v>
      </c>
      <c r="T27" s="2">
        <v>130.40419605807656</v>
      </c>
      <c r="U27" s="2"/>
      <c r="V27" s="2"/>
    </row>
    <row r="28" spans="1:25" ht="15.75" thickBot="1" x14ac:dyDescent="0.3">
      <c r="A28" t="s">
        <v>23</v>
      </c>
      <c r="C28">
        <f>SQRT(SUMSQ(E2:E25)/(COUNT(E2:E25)-1))</f>
        <v>11.52187585371435</v>
      </c>
      <c r="D28">
        <f>SQRT(SUMSQ(F2:F25)/(COUNT(F2:F25)-1))</f>
        <v>19.311331808859897</v>
      </c>
      <c r="K28" t="s">
        <v>34</v>
      </c>
      <c r="M28" t="s">
        <v>41</v>
      </c>
      <c r="Q28" s="3" t="s">
        <v>62</v>
      </c>
      <c r="R28" s="3">
        <v>23</v>
      </c>
      <c r="S28" s="3">
        <v>8577.3333333333321</v>
      </c>
      <c r="T28" s="3"/>
      <c r="U28" s="3"/>
      <c r="V28" s="3"/>
    </row>
    <row r="29" spans="1:25" ht="15.75" thickBot="1" x14ac:dyDescent="0.3">
      <c r="I29" t="s">
        <v>28</v>
      </c>
      <c r="J29">
        <f>SUM(I2:I25)/(COUNT(I2:I25)-1)</f>
        <v>0.82409005856159356</v>
      </c>
      <c r="M29" t="s">
        <v>45</v>
      </c>
    </row>
    <row r="30" spans="1:25" x14ac:dyDescent="0.25">
      <c r="A30" t="s">
        <v>24</v>
      </c>
      <c r="C30">
        <f>AVERAGE(C2:C25)</f>
        <v>173.33333333333334</v>
      </c>
      <c r="D30">
        <f>AVERAGE(D2:D25)</f>
        <v>75.333333333333329</v>
      </c>
      <c r="Q30" s="4"/>
      <c r="R30" s="4" t="s">
        <v>68</v>
      </c>
      <c r="S30" s="4" t="s">
        <v>57</v>
      </c>
      <c r="T30" s="4" t="s">
        <v>69</v>
      </c>
      <c r="U30" s="4" t="s">
        <v>70</v>
      </c>
      <c r="V30" s="4" t="s">
        <v>71</v>
      </c>
      <c r="W30" s="4" t="s">
        <v>72</v>
      </c>
      <c r="X30" s="4" t="s">
        <v>73</v>
      </c>
      <c r="Y30" s="4" t="s">
        <v>74</v>
      </c>
    </row>
    <row r="31" spans="1:25" x14ac:dyDescent="0.25">
      <c r="A31" t="s">
        <v>27</v>
      </c>
      <c r="C31">
        <f>_xlfn.STDEV.S(C2:C25)</f>
        <v>11.52187585371435</v>
      </c>
      <c r="D31">
        <f>_xlfn.STDEV.S(D2:D25)</f>
        <v>19.311331808859908</v>
      </c>
      <c r="I31" t="s">
        <v>28</v>
      </c>
      <c r="J31">
        <f>PEARSON(C2:C25,D2:D25)</f>
        <v>0.82409005856159345</v>
      </c>
      <c r="K31">
        <f>J31*J31</f>
        <v>0.67912442462005052</v>
      </c>
      <c r="Q31" s="2" t="s">
        <v>63</v>
      </c>
      <c r="R31" s="2">
        <v>-153.98527309547907</v>
      </c>
      <c r="S31" s="2">
        <v>47.470687796076646</v>
      </c>
      <c r="T31" s="2">
        <v>-3.2437969670244726</v>
      </c>
      <c r="U31" s="2">
        <v>3.8871092230681192E-3</v>
      </c>
      <c r="V31" s="2">
        <v>-252.70597265494538</v>
      </c>
      <c r="W31" s="2">
        <v>-55.264573536012762</v>
      </c>
      <c r="X31" s="2">
        <v>-252.70597265494538</v>
      </c>
      <c r="Y31" s="2">
        <v>-55.264573536012762</v>
      </c>
    </row>
    <row r="32" spans="1:25" x14ac:dyDescent="0.25">
      <c r="I32" t="s">
        <v>32</v>
      </c>
      <c r="J32">
        <f>PEARSON(B2:B25,C2:C25)</f>
        <v>-0.62030168288283605</v>
      </c>
      <c r="K32">
        <f>J32*J32</f>
        <v>0.38477417778727852</v>
      </c>
      <c r="Q32" s="2" t="s">
        <v>19</v>
      </c>
      <c r="R32" s="2">
        <v>-1.9380546786586446</v>
      </c>
      <c r="S32" s="2">
        <v>5.9643910174322619</v>
      </c>
      <c r="T32" s="2">
        <v>-0.32493756244254407</v>
      </c>
      <c r="U32" s="2">
        <v>0.74844323432512505</v>
      </c>
      <c r="V32" s="2">
        <v>-14.341684813880191</v>
      </c>
      <c r="W32" s="2">
        <v>10.465575456562901</v>
      </c>
      <c r="X32" s="2">
        <v>-14.341684813880191</v>
      </c>
      <c r="Y32" s="2">
        <v>10.465575456562901</v>
      </c>
    </row>
    <row r="33" spans="8:25" ht="15.75" thickBot="1" x14ac:dyDescent="0.3">
      <c r="I33" t="s">
        <v>33</v>
      </c>
      <c r="J33">
        <f>PEARSON(B2:B25,D2:D25)</f>
        <v>-0.54261028582426241</v>
      </c>
      <c r="K33">
        <f>J33*J33</f>
        <v>0.29442592228228776</v>
      </c>
      <c r="Q33" s="3" t="s">
        <v>20</v>
      </c>
      <c r="R33" s="3">
        <v>1.3281166239799862</v>
      </c>
      <c r="S33" s="3">
        <v>0.26347620285073892</v>
      </c>
      <c r="T33" s="3">
        <v>5.0407460317483528</v>
      </c>
      <c r="U33" s="3">
        <v>5.4442830841768585E-5</v>
      </c>
      <c r="V33" s="3">
        <v>0.78018786477531088</v>
      </c>
      <c r="W33" s="3">
        <v>1.8760453831846615</v>
      </c>
      <c r="X33" s="3">
        <v>0.78018786477531088</v>
      </c>
      <c r="Y33" s="3">
        <v>1.8760453831846615</v>
      </c>
    </row>
    <row r="35" spans="8:25" x14ac:dyDescent="0.25">
      <c r="I35" t="s">
        <v>35</v>
      </c>
    </row>
    <row r="37" spans="8:25" x14ac:dyDescent="0.25">
      <c r="K37" t="s">
        <v>36</v>
      </c>
      <c r="L37">
        <f>J31*SQRT(24-2)/SQRT(1-J31*J31)</f>
        <v>6.8236648074321744</v>
      </c>
      <c r="Q37" t="s">
        <v>75</v>
      </c>
      <c r="V37" t="s">
        <v>78</v>
      </c>
    </row>
    <row r="38" spans="8:25" ht="15.75" thickBot="1" x14ac:dyDescent="0.3">
      <c r="K38" t="s">
        <v>37</v>
      </c>
      <c r="L38">
        <f>24-2</f>
        <v>22</v>
      </c>
    </row>
    <row r="39" spans="8:25" x14ac:dyDescent="0.25">
      <c r="K39" t="s">
        <v>38</v>
      </c>
      <c r="L39">
        <f>_xlfn.T.DIST(L37,L38,FALSE)</f>
        <v>8.2956074229603279E-7</v>
      </c>
      <c r="Q39" s="4" t="s">
        <v>58</v>
      </c>
      <c r="R39" s="4" t="s">
        <v>76</v>
      </c>
      <c r="S39" s="4" t="s">
        <v>61</v>
      </c>
      <c r="T39" s="4" t="s">
        <v>77</v>
      </c>
      <c r="V39" s="4" t="s">
        <v>79</v>
      </c>
      <c r="W39" s="4" t="s">
        <v>21</v>
      </c>
    </row>
    <row r="40" spans="8:25" x14ac:dyDescent="0.25">
      <c r="Q40" s="2">
        <v>1</v>
      </c>
      <c r="R40" s="2">
        <v>74.450786229078545</v>
      </c>
      <c r="S40" s="2">
        <v>12.549213770921455</v>
      </c>
      <c r="T40" s="2">
        <v>1.1500719335312835</v>
      </c>
      <c r="V40" s="2">
        <v>2.0833333333333335</v>
      </c>
      <c r="W40" s="2">
        <v>44</v>
      </c>
    </row>
    <row r="41" spans="8:25" x14ac:dyDescent="0.25">
      <c r="H41" s="6" t="s">
        <v>80</v>
      </c>
      <c r="Q41" s="2">
        <v>2</v>
      </c>
      <c r="R41" s="2">
        <v>68.528381678479974</v>
      </c>
      <c r="S41" s="2">
        <v>-7.528381678479974</v>
      </c>
      <c r="T41" s="2">
        <v>-0.68993808149107694</v>
      </c>
      <c r="V41" s="2">
        <v>6.25</v>
      </c>
      <c r="W41" s="2">
        <v>51</v>
      </c>
    </row>
    <row r="42" spans="8:25" x14ac:dyDescent="0.25">
      <c r="I42" t="s">
        <v>81</v>
      </c>
      <c r="J42">
        <f>(J31-J32*J33)/(SQRT(1-J32*J32)*SQRT(1-J33*J33))</f>
        <v>0.73993427927649025</v>
      </c>
      <c r="Q42" s="2">
        <v>3</v>
      </c>
      <c r="R42" s="2">
        <v>71.794552981118585</v>
      </c>
      <c r="S42" s="2">
        <v>-8.794552981118585</v>
      </c>
      <c r="T42" s="2">
        <v>-0.80597627358735258</v>
      </c>
      <c r="V42" s="2">
        <v>10.416666666666668</v>
      </c>
      <c r="W42" s="2">
        <v>58</v>
      </c>
    </row>
    <row r="43" spans="8:25" x14ac:dyDescent="0.25">
      <c r="I43" t="s">
        <v>82</v>
      </c>
      <c r="J43">
        <f>(J32-J31*J33)/(SQRT(1-J31*J31)*SQRT(1-J33*J33))</f>
        <v>-0.36388373385066758</v>
      </c>
      <c r="Q43" s="2">
        <v>4</v>
      </c>
      <c r="R43" s="2">
        <v>64.544031806540005</v>
      </c>
      <c r="S43" s="2">
        <v>20.455968193459995</v>
      </c>
      <c r="T43" s="2">
        <v>1.8746859621612399</v>
      </c>
      <c r="V43" s="2">
        <v>14.583333333333334</v>
      </c>
      <c r="W43" s="2">
        <v>58</v>
      </c>
    </row>
    <row r="44" spans="8:25" x14ac:dyDescent="0.25">
      <c r="I44" t="s">
        <v>83</v>
      </c>
      <c r="J44">
        <f>(J33-J31*J32)/(SQRT(1-J31*J31)*SQRT(1-J32*J32))</f>
        <v>-7.0729604076938166E-2</v>
      </c>
      <c r="Q44" s="2">
        <v>5</v>
      </c>
      <c r="R44" s="2">
        <v>89.060069092858413</v>
      </c>
      <c r="S44" s="2">
        <v>-12.060069092858413</v>
      </c>
      <c r="T44" s="2">
        <v>-1.105244299231195</v>
      </c>
      <c r="V44" s="2">
        <v>18.75</v>
      </c>
      <c r="W44" s="2">
        <v>61</v>
      </c>
    </row>
    <row r="45" spans="8:25" x14ac:dyDescent="0.25">
      <c r="Q45" s="2">
        <v>6</v>
      </c>
      <c r="R45" s="2">
        <v>69.138319733158596</v>
      </c>
      <c r="S45" s="2">
        <v>-11.138319733158596</v>
      </c>
      <c r="T45" s="2">
        <v>-1.0207706351680677</v>
      </c>
      <c r="V45" s="2">
        <v>22.916666666666668</v>
      </c>
      <c r="W45" s="2">
        <v>61</v>
      </c>
    </row>
    <row r="46" spans="8:25" x14ac:dyDescent="0.25">
      <c r="Q46" s="2">
        <v>7</v>
      </c>
      <c r="R46" s="2">
        <v>69.856498302459954</v>
      </c>
      <c r="S46" s="2">
        <v>-4.8564983024599542</v>
      </c>
      <c r="T46" s="2">
        <v>-0.44507349184246142</v>
      </c>
      <c r="V46" s="2">
        <v>27.083333333333332</v>
      </c>
      <c r="W46" s="2">
        <v>63</v>
      </c>
    </row>
    <row r="47" spans="8:25" x14ac:dyDescent="0.25">
      <c r="Q47" s="2">
        <v>8</v>
      </c>
      <c r="R47" s="2">
        <v>98.356885460718303</v>
      </c>
      <c r="S47" s="2">
        <v>-8.3568854607183027</v>
      </c>
      <c r="T47" s="2">
        <v>-0.76586626027345595</v>
      </c>
      <c r="V47" s="2">
        <v>31.25</v>
      </c>
      <c r="W47" s="2">
        <v>63</v>
      </c>
    </row>
    <row r="48" spans="8:25" x14ac:dyDescent="0.25">
      <c r="Q48" s="2">
        <v>9</v>
      </c>
      <c r="R48" s="2">
        <v>63.215915182560025</v>
      </c>
      <c r="S48" s="2">
        <v>-0.21591518256002473</v>
      </c>
      <c r="T48" s="2">
        <v>-1.9787533786456039E-2</v>
      </c>
      <c r="V48" s="2">
        <v>35.416666666666671</v>
      </c>
      <c r="W48" s="2">
        <v>63</v>
      </c>
    </row>
    <row r="49" spans="17:23" x14ac:dyDescent="0.25">
      <c r="Q49" s="2">
        <v>10</v>
      </c>
      <c r="R49" s="2">
        <v>45.950399070820197</v>
      </c>
      <c r="S49" s="2">
        <v>5.0496009291798032</v>
      </c>
      <c r="T49" s="2">
        <v>0.46277037033506196</v>
      </c>
      <c r="V49" s="2">
        <v>39.583333333333336</v>
      </c>
      <c r="W49" s="2">
        <v>65</v>
      </c>
    </row>
    <row r="50" spans="17:23" x14ac:dyDescent="0.25">
      <c r="Q50" s="2">
        <v>11</v>
      </c>
      <c r="R50" s="2">
        <v>94.372535588778334</v>
      </c>
      <c r="S50" s="2">
        <v>-12.372535588778334</v>
      </c>
      <c r="T50" s="2">
        <v>-1.1338802722639487</v>
      </c>
      <c r="V50" s="2">
        <v>43.750000000000007</v>
      </c>
      <c r="W50" s="2">
        <v>65</v>
      </c>
    </row>
    <row r="51" spans="17:23" x14ac:dyDescent="0.25">
      <c r="Q51" s="2">
        <v>12</v>
      </c>
      <c r="R51" s="2">
        <v>91.716302340818373</v>
      </c>
      <c r="S51" s="2">
        <v>33.283697659181627</v>
      </c>
      <c r="T51" s="2">
        <v>3.0502824496195484</v>
      </c>
      <c r="V51" s="2">
        <v>47.916666666666671</v>
      </c>
      <c r="W51" s="2">
        <v>68</v>
      </c>
    </row>
    <row r="52" spans="17:23" x14ac:dyDescent="0.25">
      <c r="Q52" s="2">
        <v>13</v>
      </c>
      <c r="R52" s="2">
        <v>102.34123533265827</v>
      </c>
      <c r="S52" s="2">
        <v>-5.3412353326582718</v>
      </c>
      <c r="T52" s="2">
        <v>-0.48949718752180094</v>
      </c>
      <c r="V52" s="2">
        <v>52.083333333333336</v>
      </c>
      <c r="W52" s="2">
        <v>72</v>
      </c>
    </row>
    <row r="53" spans="17:23" x14ac:dyDescent="0.25">
      <c r="Q53" s="2">
        <v>14</v>
      </c>
      <c r="R53" s="2">
        <v>62.497736613258667</v>
      </c>
      <c r="S53" s="2">
        <v>-1.4977366132586667</v>
      </c>
      <c r="T53" s="2">
        <v>-0.13725998091787323</v>
      </c>
      <c r="V53" s="2">
        <v>56.250000000000007</v>
      </c>
      <c r="W53" s="2">
        <v>77</v>
      </c>
    </row>
    <row r="54" spans="17:23" x14ac:dyDescent="0.25">
      <c r="Q54" s="2">
        <v>15</v>
      </c>
      <c r="R54" s="2">
        <v>43.294165822860236</v>
      </c>
      <c r="S54" s="2">
        <v>0.7058341771397636</v>
      </c>
      <c r="T54" s="2">
        <v>6.468613027666871E-2</v>
      </c>
      <c r="V54" s="2">
        <v>60.416666666666671</v>
      </c>
      <c r="W54" s="2">
        <v>82</v>
      </c>
    </row>
    <row r="55" spans="17:23" x14ac:dyDescent="0.25">
      <c r="Q55" s="2">
        <v>16</v>
      </c>
      <c r="R55" s="2">
        <v>73.840848174399895</v>
      </c>
      <c r="S55" s="2">
        <v>-5.8408481743998948</v>
      </c>
      <c r="T55" s="2">
        <v>-0.53528417604615508</v>
      </c>
      <c r="V55" s="2">
        <v>64.583333333333343</v>
      </c>
      <c r="W55" s="2">
        <v>83</v>
      </c>
    </row>
    <row r="56" spans="17:23" x14ac:dyDescent="0.25">
      <c r="Q56" s="2">
        <v>17</v>
      </c>
      <c r="R56" s="2">
        <v>63.215915182560025</v>
      </c>
      <c r="S56" s="2">
        <v>-5.2159151825600247</v>
      </c>
      <c r="T56" s="2">
        <v>-0.47801222998064508</v>
      </c>
      <c r="V56" s="2">
        <v>68.75</v>
      </c>
      <c r="W56" s="2">
        <v>85</v>
      </c>
    </row>
    <row r="57" spans="17:23" x14ac:dyDescent="0.25">
      <c r="Q57" s="2">
        <v>18</v>
      </c>
      <c r="R57" s="2">
        <v>71.184614926439934</v>
      </c>
      <c r="S57" s="2">
        <v>-6.1846149264399344</v>
      </c>
      <c r="T57" s="2">
        <v>-0.56678865914919718</v>
      </c>
      <c r="V57" s="2">
        <v>72.916666666666671</v>
      </c>
      <c r="W57" s="2">
        <v>87</v>
      </c>
    </row>
    <row r="58" spans="17:23" x14ac:dyDescent="0.25">
      <c r="Q58" s="2">
        <v>19</v>
      </c>
      <c r="R58" s="2">
        <v>91.716302340818373</v>
      </c>
      <c r="S58" s="2">
        <v>-1.7163023408183733</v>
      </c>
      <c r="T58" s="2">
        <v>-0.15729042373977492</v>
      </c>
      <c r="V58" s="2">
        <v>77.083333333333329</v>
      </c>
      <c r="W58" s="2">
        <v>87</v>
      </c>
    </row>
    <row r="59" spans="17:23" x14ac:dyDescent="0.25">
      <c r="Q59" s="2">
        <v>20</v>
      </c>
      <c r="R59" s="2">
        <v>74.450786229078545</v>
      </c>
      <c r="S59" s="2">
        <v>-2.4507862290785454</v>
      </c>
      <c r="T59" s="2">
        <v>-0.22460215505128373</v>
      </c>
      <c r="V59" s="2">
        <v>81.25</v>
      </c>
      <c r="W59" s="2">
        <v>90</v>
      </c>
    </row>
    <row r="60" spans="17:23" x14ac:dyDescent="0.25">
      <c r="Q60" s="2">
        <v>21</v>
      </c>
      <c r="R60" s="2">
        <v>67.200265054499965</v>
      </c>
      <c r="S60" s="2">
        <v>-4.2002650544999653</v>
      </c>
      <c r="T60" s="2">
        <v>-0.3849330357066631</v>
      </c>
      <c r="V60" s="2">
        <v>85.416666666666671</v>
      </c>
      <c r="W60" s="2">
        <v>90</v>
      </c>
    </row>
    <row r="61" spans="17:23" x14ac:dyDescent="0.25">
      <c r="Q61" s="2">
        <v>22</v>
      </c>
      <c r="R61" s="2">
        <v>103.66935195663822</v>
      </c>
      <c r="S61" s="2">
        <v>9.3306480433617764</v>
      </c>
      <c r="T61" s="2">
        <v>0.85510667299287091</v>
      </c>
      <c r="V61" s="2">
        <v>89.583333333333329</v>
      </c>
      <c r="W61" s="2">
        <v>97</v>
      </c>
    </row>
    <row r="62" spans="17:23" x14ac:dyDescent="0.25">
      <c r="Q62" s="2">
        <v>23</v>
      </c>
      <c r="R62" s="2">
        <v>75.168964798379903</v>
      </c>
      <c r="S62" s="2">
        <v>7.8310352016200966</v>
      </c>
      <c r="T62" s="2">
        <v>0.71767474522967367</v>
      </c>
      <c r="V62" s="2">
        <v>93.75</v>
      </c>
      <c r="W62" s="2">
        <v>113</v>
      </c>
    </row>
    <row r="63" spans="17:23" ht="15.75" thickBot="1" x14ac:dyDescent="0.3">
      <c r="Q63" s="3">
        <v>24</v>
      </c>
      <c r="R63" s="3">
        <v>78.435136101018514</v>
      </c>
      <c r="S63" s="3">
        <v>8.5648638989814856</v>
      </c>
      <c r="T63" s="3">
        <v>0.78492643161107367</v>
      </c>
      <c r="V63" s="3">
        <v>97.916666666666671</v>
      </c>
      <c r="W63" s="3">
        <v>125</v>
      </c>
    </row>
  </sheetData>
  <sortState xmlns:xlrd2="http://schemas.microsoft.com/office/spreadsheetml/2017/richdata2" ref="W40:W63">
    <sortCondition ref="W40"/>
  </sortState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14A60A-6975-4A5C-8CD1-F8BDEAC1113D}">
  <dimension ref="A1:R49"/>
  <sheetViews>
    <sheetView tabSelected="1" zoomScale="115" zoomScaleNormal="115" workbookViewId="0">
      <pane xSplit="1" ySplit="1" topLeftCell="B23" activePane="bottomRight" state="frozen"/>
      <selection pane="topRight" activeCell="B1" sqref="B1"/>
      <selection pane="bottomLeft" activeCell="A2" sqref="A2"/>
      <selection pane="bottomRight" activeCell="J47" sqref="J47:J48"/>
    </sheetView>
  </sheetViews>
  <sheetFormatPr defaultRowHeight="15" x14ac:dyDescent="0.25"/>
  <cols>
    <col min="10" max="10" width="11.85546875" bestFit="1" customWidth="1"/>
    <col min="11" max="11" width="12.42578125" bestFit="1" customWidth="1"/>
    <col min="18" max="18" width="13.140625" bestFit="1" customWidth="1"/>
  </cols>
  <sheetData>
    <row r="1" spans="1:18" x14ac:dyDescent="0.25">
      <c r="A1" t="s">
        <v>18</v>
      </c>
      <c r="B1" t="s">
        <v>19</v>
      </c>
      <c r="C1" t="s">
        <v>20</v>
      </c>
      <c r="D1" t="s">
        <v>21</v>
      </c>
      <c r="E1" t="s">
        <v>25</v>
      </c>
      <c r="F1" t="s">
        <v>26</v>
      </c>
      <c r="G1" t="s">
        <v>29</v>
      </c>
      <c r="H1" t="s">
        <v>30</v>
      </c>
      <c r="I1" t="s">
        <v>90</v>
      </c>
      <c r="J1" t="s">
        <v>43</v>
      </c>
      <c r="K1" t="s">
        <v>85</v>
      </c>
      <c r="L1" t="s">
        <v>86</v>
      </c>
      <c r="M1" t="s">
        <v>87</v>
      </c>
    </row>
    <row r="2" spans="1:18" x14ac:dyDescent="0.25">
      <c r="A2">
        <v>1</v>
      </c>
      <c r="B2">
        <v>0</v>
      </c>
      <c r="C2">
        <v>172</v>
      </c>
      <c r="D2">
        <v>87</v>
      </c>
      <c r="E2">
        <f>C2-C$27</f>
        <v>-1.3333333333333428</v>
      </c>
      <c r="F2">
        <f>D2-D$27</f>
        <v>11.666666666666671</v>
      </c>
      <c r="G2">
        <f>E2/C$28</f>
        <v>-0.11572189722071265</v>
      </c>
      <c r="H2">
        <f>F2/D$28</f>
        <v>0.60413578836204818</v>
      </c>
      <c r="I2">
        <f>($B$27-B2)/$B$28</f>
        <v>0.90049843747639902</v>
      </c>
      <c r="J2">
        <f>C2*$R$14+$R$15</f>
        <v>73.491703056768557</v>
      </c>
      <c r="K2">
        <f>D2-J2</f>
        <v>13.508296943231443</v>
      </c>
      <c r="L2">
        <f>C2*$R$19+$R$20</f>
        <v>0.49486899563318776</v>
      </c>
      <c r="M2">
        <f>B2-L2</f>
        <v>-0.49486899563318776</v>
      </c>
    </row>
    <row r="3" spans="1:18" x14ac:dyDescent="0.25">
      <c r="A3">
        <v>2</v>
      </c>
      <c r="B3">
        <v>1</v>
      </c>
      <c r="C3">
        <v>169</v>
      </c>
      <c r="D3">
        <v>61</v>
      </c>
      <c r="E3">
        <f t="shared" ref="E3:F25" si="0">C3-C$27</f>
        <v>-4.3333333333333428</v>
      </c>
      <c r="F3">
        <f t="shared" si="0"/>
        <v>-14.333333333333329</v>
      </c>
      <c r="G3">
        <f t="shared" ref="G3:H25" si="1">E3/C$28</f>
        <v>-0.37609616596731427</v>
      </c>
      <c r="H3">
        <f t="shared" si="1"/>
        <v>-0.74222396855908723</v>
      </c>
      <c r="I3">
        <f t="shared" ref="I3:I25" si="2">($B$27-B3)/$B$28</f>
        <v>-1.0642254261084716</v>
      </c>
      <c r="J3">
        <f t="shared" ref="J3:J25" si="3">C3*$R$14+$R$15</f>
        <v>69.348034934497804</v>
      </c>
      <c r="K3">
        <f t="shared" ref="K3:K25" si="4">D3-J3</f>
        <v>-8.3480349344978038</v>
      </c>
      <c r="L3">
        <f t="shared" ref="L3:L25" si="5">C3*$R$19+$R$20</f>
        <v>0.57707423580785999</v>
      </c>
      <c r="M3">
        <f t="shared" ref="M3:M25" si="6">B3-L3</f>
        <v>0.42292576419214001</v>
      </c>
    </row>
    <row r="4" spans="1:18" x14ac:dyDescent="0.25">
      <c r="A4">
        <v>3</v>
      </c>
      <c r="B4">
        <v>0</v>
      </c>
      <c r="C4">
        <v>170</v>
      </c>
      <c r="D4">
        <v>63</v>
      </c>
      <c r="E4">
        <f t="shared" si="0"/>
        <v>-3.3333333333333428</v>
      </c>
      <c r="F4">
        <f t="shared" si="0"/>
        <v>-12.333333333333329</v>
      </c>
      <c r="G4">
        <f t="shared" si="1"/>
        <v>-0.28930474305178039</v>
      </c>
      <c r="H4">
        <f t="shared" si="1"/>
        <v>-0.63865783341130755</v>
      </c>
      <c r="I4">
        <f t="shared" si="2"/>
        <v>0.90049843747639902</v>
      </c>
      <c r="J4">
        <f t="shared" si="3"/>
        <v>70.729257641921407</v>
      </c>
      <c r="K4">
        <f t="shared" si="4"/>
        <v>-7.7292576419214072</v>
      </c>
      <c r="L4">
        <f t="shared" si="5"/>
        <v>0.54967248908296895</v>
      </c>
      <c r="M4">
        <f t="shared" si="6"/>
        <v>-0.54967248908296895</v>
      </c>
    </row>
    <row r="5" spans="1:18" x14ac:dyDescent="0.25">
      <c r="A5">
        <v>4</v>
      </c>
      <c r="B5">
        <v>1</v>
      </c>
      <c r="C5">
        <v>166</v>
      </c>
      <c r="D5">
        <v>85</v>
      </c>
      <c r="E5">
        <f t="shared" si="0"/>
        <v>-7.3333333333333428</v>
      </c>
      <c r="F5">
        <f t="shared" si="0"/>
        <v>9.6666666666666714</v>
      </c>
      <c r="G5">
        <f t="shared" si="1"/>
        <v>-0.63647043471391584</v>
      </c>
      <c r="H5">
        <f t="shared" si="1"/>
        <v>0.5005696532142685</v>
      </c>
      <c r="I5">
        <f t="shared" si="2"/>
        <v>-1.0642254261084716</v>
      </c>
      <c r="J5">
        <f t="shared" si="3"/>
        <v>65.204366812227079</v>
      </c>
      <c r="K5">
        <f t="shared" si="4"/>
        <v>19.795633187772921</v>
      </c>
      <c r="L5">
        <f t="shared" si="5"/>
        <v>0.65927947598253223</v>
      </c>
      <c r="M5">
        <f t="shared" si="6"/>
        <v>0.34072052401746777</v>
      </c>
    </row>
    <row r="6" spans="1:18" x14ac:dyDescent="0.25">
      <c r="A6">
        <v>5</v>
      </c>
      <c r="B6">
        <v>0</v>
      </c>
      <c r="C6">
        <v>183</v>
      </c>
      <c r="D6">
        <v>77</v>
      </c>
      <c r="E6">
        <f t="shared" si="0"/>
        <v>9.6666666666666572</v>
      </c>
      <c r="F6">
        <f t="shared" si="0"/>
        <v>1.6666666666666714</v>
      </c>
      <c r="G6">
        <f t="shared" si="1"/>
        <v>0.83898375485015986</v>
      </c>
      <c r="H6">
        <f t="shared" si="1"/>
        <v>8.6305112623149952E-2</v>
      </c>
      <c r="I6">
        <f t="shared" si="2"/>
        <v>0.90049843747639902</v>
      </c>
      <c r="J6">
        <f t="shared" si="3"/>
        <v>88.685152838427939</v>
      </c>
      <c r="K6">
        <f t="shared" si="4"/>
        <v>-11.685152838427939</v>
      </c>
      <c r="L6">
        <f t="shared" si="5"/>
        <v>0.19344978165938809</v>
      </c>
      <c r="M6">
        <f t="shared" si="6"/>
        <v>-0.19344978165938809</v>
      </c>
    </row>
    <row r="7" spans="1:18" x14ac:dyDescent="0.25">
      <c r="A7">
        <v>6</v>
      </c>
      <c r="B7">
        <v>0</v>
      </c>
      <c r="C7">
        <v>168</v>
      </c>
      <c r="D7">
        <v>58</v>
      </c>
      <c r="E7">
        <f t="shared" si="0"/>
        <v>-5.3333333333333428</v>
      </c>
      <c r="F7">
        <f t="shared" si="0"/>
        <v>-17.333333333333329</v>
      </c>
      <c r="G7">
        <f t="shared" si="1"/>
        <v>-0.46288758888284809</v>
      </c>
      <c r="H7">
        <f t="shared" si="1"/>
        <v>-0.89757317128075664</v>
      </c>
      <c r="I7">
        <f t="shared" si="2"/>
        <v>0.90049843747639902</v>
      </c>
      <c r="J7">
        <f t="shared" si="3"/>
        <v>67.966812227074229</v>
      </c>
      <c r="K7">
        <f t="shared" si="4"/>
        <v>-9.9668122270742288</v>
      </c>
      <c r="L7">
        <f t="shared" si="5"/>
        <v>0.60447598253275103</v>
      </c>
      <c r="M7">
        <f t="shared" si="6"/>
        <v>-0.60447598253275103</v>
      </c>
    </row>
    <row r="8" spans="1:18" x14ac:dyDescent="0.25">
      <c r="A8">
        <v>7</v>
      </c>
      <c r="B8">
        <v>1</v>
      </c>
      <c r="C8">
        <v>170</v>
      </c>
      <c r="D8">
        <v>65</v>
      </c>
      <c r="E8">
        <f t="shared" si="0"/>
        <v>-3.3333333333333428</v>
      </c>
      <c r="F8">
        <f t="shared" si="0"/>
        <v>-10.333333333333329</v>
      </c>
      <c r="G8">
        <f t="shared" si="1"/>
        <v>-0.28930474305178039</v>
      </c>
      <c r="H8">
        <f t="shared" si="1"/>
        <v>-0.53509169826352787</v>
      </c>
      <c r="I8">
        <f t="shared" si="2"/>
        <v>-1.0642254261084716</v>
      </c>
      <c r="J8">
        <f t="shared" si="3"/>
        <v>70.729257641921407</v>
      </c>
      <c r="K8">
        <f t="shared" si="4"/>
        <v>-5.7292576419214072</v>
      </c>
      <c r="L8">
        <f t="shared" si="5"/>
        <v>0.54967248908296895</v>
      </c>
      <c r="M8">
        <f t="shared" si="6"/>
        <v>0.45032751091703105</v>
      </c>
    </row>
    <row r="9" spans="1:18" x14ac:dyDescent="0.25">
      <c r="A9">
        <v>8</v>
      </c>
      <c r="B9">
        <v>0</v>
      </c>
      <c r="C9">
        <v>190</v>
      </c>
      <c r="D9">
        <v>90</v>
      </c>
      <c r="E9">
        <f t="shared" si="0"/>
        <v>16.666666666666657</v>
      </c>
      <c r="F9">
        <f t="shared" si="0"/>
        <v>14.666666666666671</v>
      </c>
      <c r="G9">
        <f t="shared" si="1"/>
        <v>1.446523715258897</v>
      </c>
      <c r="H9">
        <f t="shared" si="1"/>
        <v>0.75948499108371759</v>
      </c>
      <c r="I9">
        <f t="shared" si="2"/>
        <v>0.90049843747639902</v>
      </c>
      <c r="J9">
        <f t="shared" si="3"/>
        <v>98.353711790392992</v>
      </c>
      <c r="K9">
        <f t="shared" si="4"/>
        <v>-8.3537117903929925</v>
      </c>
      <c r="L9">
        <f t="shared" si="5"/>
        <v>1.6375545851525786E-3</v>
      </c>
      <c r="M9">
        <f t="shared" si="6"/>
        <v>-1.6375545851525786E-3</v>
      </c>
    </row>
    <row r="10" spans="1:18" x14ac:dyDescent="0.25">
      <c r="A10">
        <v>9</v>
      </c>
      <c r="B10">
        <v>1</v>
      </c>
      <c r="C10">
        <v>165</v>
      </c>
      <c r="D10">
        <v>63</v>
      </c>
      <c r="E10">
        <f t="shared" si="0"/>
        <v>-8.3333333333333428</v>
      </c>
      <c r="F10">
        <f t="shared" si="0"/>
        <v>-12.333333333333329</v>
      </c>
      <c r="G10">
        <f t="shared" si="1"/>
        <v>-0.72326185762944972</v>
      </c>
      <c r="H10">
        <f t="shared" si="1"/>
        <v>-0.63865783341130755</v>
      </c>
      <c r="I10">
        <f t="shared" si="2"/>
        <v>-1.0642254261084716</v>
      </c>
      <c r="J10">
        <f t="shared" si="3"/>
        <v>63.823144104803504</v>
      </c>
      <c r="K10">
        <f t="shared" si="4"/>
        <v>-0.82314410480350375</v>
      </c>
      <c r="L10">
        <f t="shared" si="5"/>
        <v>0.68668122270742327</v>
      </c>
      <c r="M10">
        <f t="shared" si="6"/>
        <v>0.31331877729257673</v>
      </c>
    </row>
    <row r="11" spans="1:18" x14ac:dyDescent="0.25">
      <c r="A11">
        <v>10</v>
      </c>
      <c r="B11">
        <v>1</v>
      </c>
      <c r="C11">
        <v>152</v>
      </c>
      <c r="D11">
        <v>51</v>
      </c>
      <c r="E11">
        <f t="shared" si="0"/>
        <v>-21.333333333333343</v>
      </c>
      <c r="F11">
        <f t="shared" si="0"/>
        <v>-24.333333333333329</v>
      </c>
      <c r="G11">
        <f t="shared" si="1"/>
        <v>-1.8515503555313899</v>
      </c>
      <c r="H11">
        <f t="shared" si="1"/>
        <v>-1.2600546442979854</v>
      </c>
      <c r="I11">
        <f t="shared" si="2"/>
        <v>-1.0642254261084716</v>
      </c>
      <c r="J11">
        <f t="shared" si="3"/>
        <v>45.867248908296943</v>
      </c>
      <c r="K11">
        <f t="shared" si="4"/>
        <v>5.1327510917030565</v>
      </c>
      <c r="L11">
        <f t="shared" si="5"/>
        <v>1.0429039301310041</v>
      </c>
      <c r="M11">
        <f t="shared" si="6"/>
        <v>-4.2903930131004131E-2</v>
      </c>
    </row>
    <row r="12" spans="1:18" x14ac:dyDescent="0.25">
      <c r="A12">
        <v>11</v>
      </c>
      <c r="B12">
        <v>0</v>
      </c>
      <c r="C12">
        <v>187</v>
      </c>
      <c r="D12">
        <v>82</v>
      </c>
      <c r="E12">
        <f t="shared" si="0"/>
        <v>13.666666666666657</v>
      </c>
      <c r="F12">
        <f t="shared" si="0"/>
        <v>6.6666666666666714</v>
      </c>
      <c r="G12">
        <f t="shared" si="1"/>
        <v>1.1861494465122953</v>
      </c>
      <c r="H12">
        <f t="shared" si="1"/>
        <v>0.34522045049259903</v>
      </c>
      <c r="I12">
        <f t="shared" si="2"/>
        <v>0.90049843747639902</v>
      </c>
      <c r="J12">
        <f t="shared" si="3"/>
        <v>94.210043668122239</v>
      </c>
      <c r="K12">
        <f t="shared" si="4"/>
        <v>-12.210043668122239</v>
      </c>
      <c r="L12">
        <f t="shared" si="5"/>
        <v>8.3842794759824812E-2</v>
      </c>
      <c r="M12">
        <f t="shared" si="6"/>
        <v>-8.3842794759824812E-2</v>
      </c>
      <c r="Q12" t="s">
        <v>84</v>
      </c>
    </row>
    <row r="13" spans="1:18" x14ac:dyDescent="0.25">
      <c r="A13">
        <v>12</v>
      </c>
      <c r="B13">
        <v>0</v>
      </c>
      <c r="C13">
        <v>185</v>
      </c>
      <c r="D13">
        <v>125</v>
      </c>
      <c r="E13">
        <f t="shared" si="0"/>
        <v>11.666666666666657</v>
      </c>
      <c r="F13">
        <f t="shared" si="0"/>
        <v>49.666666666666671</v>
      </c>
      <c r="G13">
        <f t="shared" si="1"/>
        <v>1.0125666006812277</v>
      </c>
      <c r="H13">
        <f t="shared" si="1"/>
        <v>2.5718923561698612</v>
      </c>
      <c r="I13">
        <f t="shared" si="2"/>
        <v>0.90049843747639902</v>
      </c>
      <c r="J13">
        <f t="shared" si="3"/>
        <v>91.447598253275117</v>
      </c>
      <c r="K13">
        <f t="shared" si="4"/>
        <v>33.552401746724883</v>
      </c>
      <c r="L13">
        <f t="shared" si="5"/>
        <v>0.13864628820960689</v>
      </c>
      <c r="M13">
        <f t="shared" si="6"/>
        <v>-0.13864628820960689</v>
      </c>
    </row>
    <row r="14" spans="1:18" x14ac:dyDescent="0.25">
      <c r="A14">
        <v>13</v>
      </c>
      <c r="B14">
        <v>0</v>
      </c>
      <c r="C14">
        <v>193</v>
      </c>
      <c r="D14">
        <v>97</v>
      </c>
      <c r="E14">
        <f t="shared" si="0"/>
        <v>19.666666666666657</v>
      </c>
      <c r="F14">
        <f t="shared" si="0"/>
        <v>21.666666666666671</v>
      </c>
      <c r="G14">
        <f t="shared" si="1"/>
        <v>1.7068979840054985</v>
      </c>
      <c r="H14">
        <f t="shared" si="1"/>
        <v>1.1219664641009464</v>
      </c>
      <c r="I14">
        <f t="shared" si="2"/>
        <v>0.90049843747639902</v>
      </c>
      <c r="J14">
        <f t="shared" si="3"/>
        <v>102.49737991266375</v>
      </c>
      <c r="K14">
        <f t="shared" si="4"/>
        <v>-5.4973799126637459</v>
      </c>
      <c r="L14">
        <f t="shared" si="5"/>
        <v>-8.0567685589520543E-2</v>
      </c>
      <c r="M14">
        <f t="shared" si="6"/>
        <v>8.0567685589520543E-2</v>
      </c>
      <c r="Q14" t="s">
        <v>40</v>
      </c>
      <c r="R14">
        <f>J36*D28/C28</f>
        <v>1.3812227074235808</v>
      </c>
    </row>
    <row r="15" spans="1:18" x14ac:dyDescent="0.25">
      <c r="A15">
        <v>14</v>
      </c>
      <c r="B15">
        <v>0</v>
      </c>
      <c r="C15">
        <v>163</v>
      </c>
      <c r="D15">
        <v>61</v>
      </c>
      <c r="E15">
        <f t="shared" si="0"/>
        <v>-10.333333333333343</v>
      </c>
      <c r="F15">
        <f t="shared" si="0"/>
        <v>-14.333333333333329</v>
      </c>
      <c r="G15">
        <f t="shared" si="1"/>
        <v>-0.89684470346051748</v>
      </c>
      <c r="H15">
        <f t="shared" si="1"/>
        <v>-0.74222396855908723</v>
      </c>
      <c r="I15">
        <f t="shared" si="2"/>
        <v>0.90049843747639902</v>
      </c>
      <c r="J15">
        <f t="shared" si="3"/>
        <v>61.060698689956325</v>
      </c>
      <c r="K15">
        <f t="shared" si="4"/>
        <v>-6.0698689956325325E-2</v>
      </c>
      <c r="L15">
        <f t="shared" si="5"/>
        <v>0.74148471615720535</v>
      </c>
      <c r="M15">
        <f t="shared" si="6"/>
        <v>-0.74148471615720535</v>
      </c>
      <c r="Q15" t="s">
        <v>39</v>
      </c>
      <c r="R15">
        <f>D27-R14*C27</f>
        <v>-164.07860262008734</v>
      </c>
    </row>
    <row r="16" spans="1:18" x14ac:dyDescent="0.25">
      <c r="A16">
        <v>15</v>
      </c>
      <c r="B16">
        <v>1</v>
      </c>
      <c r="C16">
        <v>150</v>
      </c>
      <c r="D16">
        <v>44</v>
      </c>
      <c r="E16">
        <f t="shared" si="0"/>
        <v>-23.333333333333343</v>
      </c>
      <c r="F16">
        <f t="shared" si="0"/>
        <v>-31.333333333333329</v>
      </c>
      <c r="G16">
        <f t="shared" si="1"/>
        <v>-2.0251332013624577</v>
      </c>
      <c r="H16">
        <f>F16/D$28</f>
        <v>-1.6225361173152142</v>
      </c>
      <c r="I16">
        <f t="shared" si="2"/>
        <v>-1.0642254261084716</v>
      </c>
      <c r="J16">
        <f t="shared" si="3"/>
        <v>43.104803493449765</v>
      </c>
      <c r="K16">
        <f t="shared" si="4"/>
        <v>0.89519650655023497</v>
      </c>
      <c r="L16">
        <f t="shared" si="5"/>
        <v>1.0977074235807862</v>
      </c>
      <c r="M16">
        <f t="shared" si="6"/>
        <v>-9.7707423580786212E-2</v>
      </c>
    </row>
    <row r="17" spans="1:18" x14ac:dyDescent="0.25">
      <c r="A17">
        <v>16</v>
      </c>
      <c r="B17">
        <v>1</v>
      </c>
      <c r="C17">
        <v>173</v>
      </c>
      <c r="D17">
        <v>68</v>
      </c>
      <c r="E17">
        <f t="shared" si="0"/>
        <v>-0.33333333333334281</v>
      </c>
      <c r="F17">
        <f t="shared" si="0"/>
        <v>-7.3333333333333286</v>
      </c>
      <c r="G17">
        <f t="shared" si="1"/>
        <v>-2.8930474305178779E-2</v>
      </c>
      <c r="H17">
        <f t="shared" si="1"/>
        <v>-0.37974249554185846</v>
      </c>
      <c r="I17">
        <f t="shared" si="2"/>
        <v>-1.0642254261084716</v>
      </c>
      <c r="J17">
        <f t="shared" si="3"/>
        <v>74.872925764192132</v>
      </c>
      <c r="K17">
        <f t="shared" si="4"/>
        <v>-6.8729257641921322</v>
      </c>
      <c r="L17">
        <f t="shared" si="5"/>
        <v>0.46746724890829672</v>
      </c>
      <c r="M17">
        <f t="shared" si="6"/>
        <v>0.53253275109170328</v>
      </c>
      <c r="Q17" t="s">
        <v>88</v>
      </c>
    </row>
    <row r="18" spans="1:18" x14ac:dyDescent="0.25">
      <c r="A18">
        <v>17</v>
      </c>
      <c r="B18">
        <v>1</v>
      </c>
      <c r="C18">
        <v>165</v>
      </c>
      <c r="D18">
        <v>58</v>
      </c>
      <c r="E18">
        <f t="shared" si="0"/>
        <v>-8.3333333333333428</v>
      </c>
      <c r="F18">
        <f t="shared" si="0"/>
        <v>-17.333333333333329</v>
      </c>
      <c r="G18">
        <f t="shared" si="1"/>
        <v>-0.72326185762944972</v>
      </c>
      <c r="H18">
        <f t="shared" si="1"/>
        <v>-0.89757317128075664</v>
      </c>
      <c r="I18">
        <f t="shared" si="2"/>
        <v>-1.0642254261084716</v>
      </c>
      <c r="J18">
        <f t="shared" si="3"/>
        <v>63.823144104803504</v>
      </c>
      <c r="K18">
        <f t="shared" si="4"/>
        <v>-5.8231441048035038</v>
      </c>
      <c r="L18">
        <f t="shared" si="5"/>
        <v>0.68668122270742327</v>
      </c>
      <c r="M18">
        <f t="shared" si="6"/>
        <v>0.31331877729257673</v>
      </c>
    </row>
    <row r="19" spans="1:18" x14ac:dyDescent="0.25">
      <c r="A19">
        <v>18</v>
      </c>
      <c r="B19">
        <v>1</v>
      </c>
      <c r="C19">
        <v>171</v>
      </c>
      <c r="D19">
        <v>65</v>
      </c>
      <c r="E19">
        <f t="shared" si="0"/>
        <v>-2.3333333333333428</v>
      </c>
      <c r="F19">
        <f t="shared" si="0"/>
        <v>-10.333333333333329</v>
      </c>
      <c r="G19">
        <f t="shared" si="1"/>
        <v>-0.20251332013624651</v>
      </c>
      <c r="H19">
        <f t="shared" si="1"/>
        <v>-0.53509169826352787</v>
      </c>
      <c r="I19">
        <f t="shared" si="2"/>
        <v>-1.0642254261084716</v>
      </c>
      <c r="J19">
        <f t="shared" si="3"/>
        <v>72.110480349344982</v>
      </c>
      <c r="K19">
        <f t="shared" si="4"/>
        <v>-7.1104803493449822</v>
      </c>
      <c r="L19">
        <f t="shared" si="5"/>
        <v>0.52227074235807791</v>
      </c>
      <c r="M19">
        <f t="shared" si="6"/>
        <v>0.47772925764192209</v>
      </c>
      <c r="Q19" t="s">
        <v>40</v>
      </c>
      <c r="R19">
        <f>J37*B28/C28</f>
        <v>-2.7401746724890836E-2</v>
      </c>
    </row>
    <row r="20" spans="1:18" x14ac:dyDescent="0.25">
      <c r="A20">
        <v>19</v>
      </c>
      <c r="B20">
        <v>0</v>
      </c>
      <c r="C20">
        <v>185</v>
      </c>
      <c r="D20">
        <v>90</v>
      </c>
      <c r="E20">
        <f t="shared" si="0"/>
        <v>11.666666666666657</v>
      </c>
      <c r="F20">
        <f t="shared" si="0"/>
        <v>14.666666666666671</v>
      </c>
      <c r="G20">
        <f t="shared" si="1"/>
        <v>1.0125666006812277</v>
      </c>
      <c r="H20">
        <f t="shared" si="1"/>
        <v>0.75948499108371759</v>
      </c>
      <c r="I20">
        <f t="shared" si="2"/>
        <v>0.90049843747639902</v>
      </c>
      <c r="J20">
        <f t="shared" si="3"/>
        <v>91.447598253275117</v>
      </c>
      <c r="K20">
        <f t="shared" si="4"/>
        <v>-1.4475982532751175</v>
      </c>
      <c r="L20">
        <f t="shared" si="5"/>
        <v>0.13864628820960689</v>
      </c>
      <c r="M20">
        <f t="shared" si="6"/>
        <v>-0.13864628820960689</v>
      </c>
      <c r="Q20" t="s">
        <v>39</v>
      </c>
      <c r="R20">
        <f>B27-R19*C27</f>
        <v>5.2079694323144112</v>
      </c>
    </row>
    <row r="21" spans="1:18" x14ac:dyDescent="0.25">
      <c r="A21">
        <v>20</v>
      </c>
      <c r="B21">
        <v>0</v>
      </c>
      <c r="C21">
        <v>172</v>
      </c>
      <c r="D21">
        <v>72</v>
      </c>
      <c r="E21">
        <f t="shared" si="0"/>
        <v>-1.3333333333333428</v>
      </c>
      <c r="F21">
        <f t="shared" si="0"/>
        <v>-3.3333333333333286</v>
      </c>
      <c r="G21">
        <f t="shared" si="1"/>
        <v>-0.11572189722071265</v>
      </c>
      <c r="H21">
        <f t="shared" si="1"/>
        <v>-0.17261022524629915</v>
      </c>
      <c r="I21">
        <f t="shared" si="2"/>
        <v>0.90049843747639902</v>
      </c>
      <c r="J21">
        <f t="shared" si="3"/>
        <v>73.491703056768557</v>
      </c>
      <c r="K21">
        <f t="shared" si="4"/>
        <v>-1.4917030567685572</v>
      </c>
      <c r="L21">
        <f t="shared" si="5"/>
        <v>0.49486899563318776</v>
      </c>
      <c r="M21">
        <f t="shared" si="6"/>
        <v>-0.49486899563318776</v>
      </c>
    </row>
    <row r="22" spans="1:18" x14ac:dyDescent="0.25">
      <c r="A22">
        <v>21</v>
      </c>
      <c r="B22">
        <v>1</v>
      </c>
      <c r="C22">
        <v>168</v>
      </c>
      <c r="D22">
        <v>63</v>
      </c>
      <c r="E22">
        <f t="shared" si="0"/>
        <v>-5.3333333333333428</v>
      </c>
      <c r="F22">
        <f t="shared" si="0"/>
        <v>-12.333333333333329</v>
      </c>
      <c r="G22">
        <f t="shared" si="1"/>
        <v>-0.46288758888284809</v>
      </c>
      <c r="H22">
        <f t="shared" si="1"/>
        <v>-0.63865783341130755</v>
      </c>
      <c r="I22">
        <f t="shared" si="2"/>
        <v>-1.0642254261084716</v>
      </c>
      <c r="J22">
        <f t="shared" si="3"/>
        <v>67.966812227074229</v>
      </c>
      <c r="K22">
        <f t="shared" si="4"/>
        <v>-4.9668122270742288</v>
      </c>
      <c r="L22">
        <f t="shared" si="5"/>
        <v>0.60447598253275103</v>
      </c>
      <c r="M22">
        <f t="shared" si="6"/>
        <v>0.39552401746724897</v>
      </c>
    </row>
    <row r="23" spans="1:18" x14ac:dyDescent="0.25">
      <c r="A23">
        <v>22</v>
      </c>
      <c r="B23">
        <v>0</v>
      </c>
      <c r="C23">
        <v>194</v>
      </c>
      <c r="D23">
        <v>113</v>
      </c>
      <c r="E23">
        <f t="shared" si="0"/>
        <v>20.666666666666657</v>
      </c>
      <c r="F23">
        <f t="shared" si="0"/>
        <v>37.666666666666671</v>
      </c>
      <c r="G23">
        <f t="shared" si="1"/>
        <v>1.7936894069210325</v>
      </c>
      <c r="H23">
        <f t="shared" si="1"/>
        <v>1.9504955452831836</v>
      </c>
      <c r="I23">
        <f t="shared" si="2"/>
        <v>0.90049843747639902</v>
      </c>
      <c r="J23">
        <f t="shared" si="3"/>
        <v>103.87860262008735</v>
      </c>
      <c r="K23">
        <f t="shared" si="4"/>
        <v>9.1213973799126506</v>
      </c>
      <c r="L23">
        <f t="shared" si="5"/>
        <v>-0.1079694323144107</v>
      </c>
      <c r="M23">
        <f t="shared" si="6"/>
        <v>0.1079694323144107</v>
      </c>
    </row>
    <row r="24" spans="1:18" x14ac:dyDescent="0.25">
      <c r="A24">
        <v>23</v>
      </c>
      <c r="B24">
        <v>1</v>
      </c>
      <c r="C24">
        <v>174</v>
      </c>
      <c r="D24">
        <v>83</v>
      </c>
      <c r="E24">
        <f t="shared" si="0"/>
        <v>0.66666666666665719</v>
      </c>
      <c r="F24">
        <f t="shared" si="0"/>
        <v>7.6666666666666714</v>
      </c>
      <c r="G24">
        <f t="shared" si="1"/>
        <v>5.7860948610355088E-2</v>
      </c>
      <c r="H24">
        <f t="shared" si="1"/>
        <v>0.39700351806648887</v>
      </c>
      <c r="I24">
        <f t="shared" si="2"/>
        <v>-1.0642254261084716</v>
      </c>
      <c r="J24">
        <f t="shared" si="3"/>
        <v>76.254148471615707</v>
      </c>
      <c r="K24">
        <f t="shared" si="4"/>
        <v>6.7458515283842928</v>
      </c>
      <c r="L24">
        <f t="shared" si="5"/>
        <v>0.44006550218340568</v>
      </c>
      <c r="M24">
        <f t="shared" si="6"/>
        <v>0.55993449781659432</v>
      </c>
    </row>
    <row r="25" spans="1:18" x14ac:dyDescent="0.25">
      <c r="A25">
        <v>24</v>
      </c>
      <c r="B25">
        <v>0</v>
      </c>
      <c r="C25">
        <v>175</v>
      </c>
      <c r="D25">
        <v>87</v>
      </c>
      <c r="E25">
        <f t="shared" si="0"/>
        <v>1.6666666666666572</v>
      </c>
      <c r="F25">
        <f t="shared" si="0"/>
        <v>11.666666666666671</v>
      </c>
      <c r="G25">
        <f t="shared" si="1"/>
        <v>0.14465237152588895</v>
      </c>
      <c r="H25">
        <f t="shared" si="1"/>
        <v>0.60413578836204818</v>
      </c>
      <c r="I25">
        <f t="shared" si="2"/>
        <v>0.90049843747639902</v>
      </c>
      <c r="J25">
        <f t="shared" si="3"/>
        <v>77.635371179039311</v>
      </c>
      <c r="K25">
        <f t="shared" si="4"/>
        <v>9.3646288209606894</v>
      </c>
      <c r="L25">
        <f t="shared" si="5"/>
        <v>0.41266375545851464</v>
      </c>
      <c r="M25">
        <f t="shared" si="6"/>
        <v>-0.41266375545851464</v>
      </c>
    </row>
    <row r="27" spans="1:18" x14ac:dyDescent="0.25">
      <c r="A27" t="s">
        <v>22</v>
      </c>
      <c r="B27">
        <f>SUM(B2:B25)/COUNT(B2:B25)</f>
        <v>0.45833333333333331</v>
      </c>
      <c r="C27">
        <f>SUM(C2:C25)/COUNT(C2:C25)</f>
        <v>173.33333333333334</v>
      </c>
      <c r="D27">
        <f>SUM(D2:D25)/COUNT(D2:D25)</f>
        <v>75.333333333333329</v>
      </c>
      <c r="E27">
        <f>SUM(E2:E25)/COUNT(E2:E25)</f>
        <v>-9.473903143468002E-15</v>
      </c>
      <c r="F27">
        <f>SUM(F2:F25)/COUNT(F2:F25)</f>
        <v>4.736951571734001E-15</v>
      </c>
      <c r="G27">
        <f>SUM(G2:G25)/COUNT(G2:G25)</f>
        <v>-8.1763299834373504E-16</v>
      </c>
      <c r="H27">
        <f>SUM(H2:H25)/COUNT(H2:H25)</f>
        <v>2.0354088784794536E-16</v>
      </c>
      <c r="I27">
        <f>SUM(I2:I25)/COUNT(I2:I25)</f>
        <v>0</v>
      </c>
    </row>
    <row r="28" spans="1:18" x14ac:dyDescent="0.25">
      <c r="A28" t="s">
        <v>23</v>
      </c>
      <c r="B28">
        <f>STDEV(B2:B25)</f>
        <v>0.50897737770405149</v>
      </c>
      <c r="C28">
        <f>SQRT(SUMSQ(E2:E25)/(COUNT(E2:E25)-1))</f>
        <v>11.52187585371435</v>
      </c>
      <c r="D28">
        <f>SQRT(SUMSQ(F2:F25)/(COUNT(F2:F25)-1))</f>
        <v>19.311331808859897</v>
      </c>
      <c r="G28">
        <f>STDEV(G2:G25)</f>
        <v>1</v>
      </c>
      <c r="H28">
        <f>STDEV(H2:H25)</f>
        <v>1</v>
      </c>
      <c r="I28">
        <f>STDEV(I2:I25)</f>
        <v>1.0000000000000004</v>
      </c>
    </row>
    <row r="30" spans="1:18" x14ac:dyDescent="0.25">
      <c r="A30" t="s">
        <v>24</v>
      </c>
      <c r="C30">
        <f>AVERAGE(C2:C25)</f>
        <v>173.33333333333334</v>
      </c>
      <c r="D30">
        <f>AVERAGE(D2:D25)</f>
        <v>75.333333333333329</v>
      </c>
    </row>
    <row r="31" spans="1:18" x14ac:dyDescent="0.25">
      <c r="A31" t="s">
        <v>27</v>
      </c>
      <c r="C31">
        <f>_xlfn.STDEV.S(C2:C25)</f>
        <v>11.52187585371435</v>
      </c>
      <c r="D31">
        <f>_xlfn.STDEV.S(D2:D25)</f>
        <v>19.311331808859908</v>
      </c>
    </row>
    <row r="33" spans="8:12" x14ac:dyDescent="0.25">
      <c r="K33" t="s">
        <v>34</v>
      </c>
    </row>
    <row r="34" spans="8:12" x14ac:dyDescent="0.25">
      <c r="I34" t="s">
        <v>28</v>
      </c>
      <c r="J34">
        <f>SUM(I2:I25)/(COUNT(I2:I25)-1)</f>
        <v>0</v>
      </c>
    </row>
    <row r="36" spans="8:12" x14ac:dyDescent="0.25">
      <c r="I36" t="s">
        <v>28</v>
      </c>
      <c r="J36">
        <f>PEARSON(C2:C25,D2:D25)</f>
        <v>0.82409005856159345</v>
      </c>
      <c r="K36">
        <f>J36*J36</f>
        <v>0.67912442462005052</v>
      </c>
    </row>
    <row r="37" spans="8:12" x14ac:dyDescent="0.25">
      <c r="I37" t="s">
        <v>32</v>
      </c>
      <c r="J37">
        <f>PEARSON(B2:B25,C2:C25)</f>
        <v>-0.62030168288283605</v>
      </c>
      <c r="K37">
        <f>J37*J37</f>
        <v>0.38477417778727852</v>
      </c>
    </row>
    <row r="38" spans="8:12" x14ac:dyDescent="0.25">
      <c r="I38" t="s">
        <v>33</v>
      </c>
      <c r="J38">
        <f>PEARSON(B2:B25,D2:D25)</f>
        <v>-0.54261028582426241</v>
      </c>
      <c r="K38">
        <f>J38*J38</f>
        <v>0.29442592228228776</v>
      </c>
    </row>
    <row r="40" spans="8:12" x14ac:dyDescent="0.25">
      <c r="I40" t="s">
        <v>35</v>
      </c>
    </row>
    <row r="42" spans="8:12" x14ac:dyDescent="0.25">
      <c r="K42" t="s">
        <v>36</v>
      </c>
      <c r="L42">
        <f>J36*SQRT(24-2)/SQRT(1-J36*J36)</f>
        <v>6.8236648074321744</v>
      </c>
    </row>
    <row r="43" spans="8:12" x14ac:dyDescent="0.25">
      <c r="K43" t="s">
        <v>37</v>
      </c>
      <c r="L43">
        <f>24-2</f>
        <v>22</v>
      </c>
    </row>
    <row r="44" spans="8:12" x14ac:dyDescent="0.25">
      <c r="K44" t="s">
        <v>38</v>
      </c>
      <c r="L44">
        <f>_xlfn.T.DIST(L42,L43,FALSE)</f>
        <v>8.2956074229603279E-7</v>
      </c>
    </row>
    <row r="46" spans="8:12" x14ac:dyDescent="0.25">
      <c r="H46" s="6" t="s">
        <v>80</v>
      </c>
      <c r="L46" t="s">
        <v>89</v>
      </c>
    </row>
    <row r="47" spans="8:12" x14ac:dyDescent="0.25">
      <c r="I47" t="s">
        <v>81</v>
      </c>
      <c r="J47">
        <f>(J36-J37*J38)/(SQRT(1-J37*J37)*SQRT(1-J38*J38))</f>
        <v>0.73993427927649025</v>
      </c>
    </row>
    <row r="48" spans="8:12" x14ac:dyDescent="0.25">
      <c r="I48" t="s">
        <v>82</v>
      </c>
      <c r="J48">
        <f>(J37-J36*J38)/(SQRT(1-J36*J36)*SQRT(1-J38*J38))</f>
        <v>-0.36388373385066758</v>
      </c>
    </row>
    <row r="49" spans="9:12" x14ac:dyDescent="0.25">
      <c r="I49" t="s">
        <v>83</v>
      </c>
      <c r="J49">
        <f>(J38-J36*J37)/(SQRT(1-J36*J36)*SQRT(1-J37*J37))</f>
        <v>-7.0729604076938166E-2</v>
      </c>
      <c r="L49">
        <f>PEARSON(K2:K25,M2:M25)</f>
        <v>-7.0729604076938998E-2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Odkazy</vt:lpstr>
      <vt:lpstr>Data</vt:lpstr>
      <vt:lpstr>Data (2)</vt:lpstr>
      <vt:lpstr>Data (3)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Tomáš Urbánek</dc:creator>
  <cp:lastModifiedBy>Tomáš Urbánek</cp:lastModifiedBy>
  <dcterms:created xsi:type="dcterms:W3CDTF">2022-02-21T15:14:49Z</dcterms:created>
  <dcterms:modified xsi:type="dcterms:W3CDTF">2022-03-28T15:07:37Z</dcterms:modified>
</cp:coreProperties>
</file>