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75" yWindow="4635" windowWidth="13125" windowHeight="7290" activeTab="1"/>
  </bookViews>
  <sheets>
    <sheet name="17-1" sheetId="4" r:id="rId1"/>
    <sheet name="17-8a" sheetId="3" r:id="rId2"/>
    <sheet name="Sheet3" sheetId="2" r:id="rId3"/>
    <sheet name="Sheet4" sheetId="1" r:id="rId4"/>
  </sheets>
  <calcPr calcId="144525"/>
</workbook>
</file>

<file path=xl/calcChain.xml><?xml version="1.0" encoding="utf-8"?>
<calcChain xmlns="http://schemas.openxmlformats.org/spreadsheetml/2006/main">
  <c r="S63" i="3" l="1"/>
  <c r="W63" i="3"/>
  <c r="T66" i="3" s="1"/>
  <c r="W59" i="3"/>
  <c r="W51" i="3"/>
  <c r="S51" i="3"/>
  <c r="Q51" i="3"/>
  <c r="O51" i="3"/>
  <c r="M51" i="3"/>
  <c r="K51" i="3"/>
  <c r="I51" i="3"/>
  <c r="S46" i="3"/>
  <c r="S45" i="3"/>
  <c r="S59" i="3"/>
  <c r="Q54" i="3"/>
  <c r="Q55" i="3"/>
  <c r="Q56" i="3"/>
  <c r="Q57" i="3"/>
  <c r="Q53" i="3"/>
  <c r="Q49" i="3"/>
  <c r="Q47" i="3"/>
  <c r="Q46" i="3"/>
  <c r="Q45" i="3"/>
  <c r="O54" i="3"/>
  <c r="O55" i="3"/>
  <c r="O56" i="3"/>
  <c r="O57" i="3"/>
  <c r="O53" i="3"/>
  <c r="O59" i="3" s="1"/>
  <c r="M54" i="3"/>
  <c r="M55" i="3"/>
  <c r="M53" i="3"/>
  <c r="K54" i="3"/>
  <c r="K55" i="3"/>
  <c r="K56" i="3"/>
  <c r="K53" i="3"/>
  <c r="K59" i="3" s="1"/>
  <c r="I54" i="3"/>
  <c r="I55" i="3"/>
  <c r="I53" i="3"/>
  <c r="I59" i="3" s="1"/>
  <c r="M59" i="3"/>
  <c r="O49" i="3"/>
  <c r="M49" i="3"/>
  <c r="K49" i="3"/>
  <c r="I49" i="3"/>
  <c r="O47" i="3"/>
  <c r="M47" i="3"/>
  <c r="K47" i="3"/>
  <c r="I47" i="3"/>
  <c r="O46" i="3"/>
  <c r="M46" i="3"/>
  <c r="K46" i="3"/>
  <c r="I46" i="3"/>
  <c r="O45" i="3"/>
  <c r="M45" i="3"/>
  <c r="K45" i="3"/>
  <c r="I45" i="3"/>
  <c r="P13" i="4"/>
  <c r="P12" i="4"/>
  <c r="M13" i="3"/>
  <c r="M12" i="3"/>
  <c r="S10" i="3"/>
  <c r="C32" i="3"/>
  <c r="C33" i="3"/>
  <c r="C34" i="3"/>
  <c r="C35" i="3"/>
  <c r="C31" i="3"/>
  <c r="Q9" i="3"/>
  <c r="T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S3" i="3"/>
  <c r="K3" i="3"/>
  <c r="J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3" i="3"/>
  <c r="I3" i="3"/>
  <c r="G3" i="3"/>
  <c r="M4" i="3"/>
  <c r="M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J21" i="3"/>
  <c r="Q3" i="3"/>
  <c r="I15" i="3"/>
  <c r="P3" i="3"/>
  <c r="O3" i="3"/>
  <c r="N4" i="3"/>
  <c r="N3" i="3"/>
  <c r="I22" i="3"/>
  <c r="I17" i="3"/>
  <c r="I19" i="3"/>
  <c r="I21" i="3"/>
  <c r="D16" i="3"/>
  <c r="D17" i="3"/>
  <c r="D18" i="3"/>
  <c r="D19" i="3"/>
  <c r="D20" i="3"/>
  <c r="D21" i="3"/>
  <c r="D22" i="3"/>
  <c r="E22" i="3"/>
  <c r="F22" i="3"/>
  <c r="J22" i="3"/>
  <c r="E21" i="3"/>
  <c r="F21" i="3"/>
  <c r="E20" i="3"/>
  <c r="F20" i="3"/>
  <c r="J20" i="3"/>
  <c r="E19" i="3"/>
  <c r="F19" i="3"/>
  <c r="E18" i="3"/>
  <c r="F18" i="3"/>
  <c r="J18" i="3"/>
  <c r="E17" i="3"/>
  <c r="F17" i="3"/>
  <c r="E16" i="3"/>
  <c r="F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N7" i="3"/>
  <c r="M7" i="3"/>
  <c r="F7" i="3"/>
  <c r="E7" i="3"/>
  <c r="D7" i="3"/>
  <c r="F6" i="3"/>
  <c r="E6" i="3"/>
  <c r="D6" i="3"/>
  <c r="F5" i="3"/>
  <c r="E5" i="3"/>
  <c r="D5" i="3"/>
  <c r="F4" i="3"/>
  <c r="E4" i="3"/>
  <c r="D4" i="3"/>
  <c r="N6" i="3"/>
  <c r="M6" i="3"/>
  <c r="F3" i="3"/>
  <c r="E3" i="3"/>
  <c r="D3" i="3"/>
  <c r="Q59" i="3" l="1"/>
  <c r="J19" i="3"/>
  <c r="I20" i="3"/>
  <c r="I18" i="3"/>
  <c r="J17" i="3"/>
  <c r="I16" i="3"/>
  <c r="I13" i="3"/>
  <c r="I12" i="3"/>
  <c r="I11" i="3"/>
  <c r="I9" i="3"/>
  <c r="I8" i="3"/>
  <c r="I14" i="3"/>
  <c r="I10" i="3"/>
  <c r="J14" i="3"/>
  <c r="G34" i="4"/>
  <c r="F34" i="4"/>
  <c r="I33" i="4"/>
  <c r="H33" i="4"/>
  <c r="G33" i="4"/>
  <c r="N24" i="4"/>
  <c r="M24" i="4"/>
  <c r="W19" i="4"/>
  <c r="G3" i="4"/>
  <c r="H3" i="4"/>
  <c r="I3" i="4"/>
  <c r="J3" i="4"/>
  <c r="K3" i="4"/>
  <c r="L3" i="4"/>
  <c r="M3" i="4"/>
  <c r="N3" i="4"/>
  <c r="P3" i="4"/>
  <c r="Q3" i="4"/>
  <c r="R3" i="4"/>
  <c r="S3" i="4"/>
  <c r="T3" i="4"/>
  <c r="U3" i="4"/>
  <c r="V3" i="4"/>
  <c r="W3" i="4"/>
  <c r="G4" i="4"/>
  <c r="H4" i="4"/>
  <c r="I4" i="4"/>
  <c r="J4" i="4"/>
  <c r="K4" i="4"/>
  <c r="L4" i="4"/>
  <c r="M4" i="4"/>
  <c r="N4" i="4"/>
  <c r="P4" i="4"/>
  <c r="Q4" i="4"/>
  <c r="G5" i="4"/>
  <c r="H5" i="4"/>
  <c r="I5" i="4"/>
  <c r="J5" i="4"/>
  <c r="K5" i="4"/>
  <c r="L5" i="4"/>
  <c r="M5" i="4"/>
  <c r="N5" i="4"/>
  <c r="G6" i="4"/>
  <c r="H6" i="4"/>
  <c r="I6" i="4"/>
  <c r="J6" i="4"/>
  <c r="K6" i="4"/>
  <c r="L6" i="4"/>
  <c r="M6" i="4"/>
  <c r="N6" i="4"/>
  <c r="P6" i="4"/>
  <c r="Q6" i="4"/>
  <c r="G7" i="4"/>
  <c r="H7" i="4"/>
  <c r="I7" i="4"/>
  <c r="J7" i="4"/>
  <c r="K7" i="4"/>
  <c r="L7" i="4"/>
  <c r="M7" i="4"/>
  <c r="N7" i="4"/>
  <c r="P7" i="4"/>
  <c r="Q7" i="4"/>
  <c r="G8" i="4"/>
  <c r="H8" i="4"/>
  <c r="I8" i="4"/>
  <c r="J8" i="4"/>
  <c r="K8" i="4"/>
  <c r="L8" i="4"/>
  <c r="M8" i="4"/>
  <c r="N8" i="4"/>
  <c r="G9" i="4"/>
  <c r="H9" i="4"/>
  <c r="I9" i="4"/>
  <c r="J9" i="4"/>
  <c r="K9" i="4"/>
  <c r="L9" i="4"/>
  <c r="M9" i="4"/>
  <c r="N9" i="4"/>
  <c r="P9" i="4"/>
  <c r="Q9" i="4"/>
  <c r="R9" i="4"/>
  <c r="S9" i="4"/>
  <c r="T9" i="4"/>
  <c r="V9" i="4"/>
  <c r="W9" i="4"/>
  <c r="G10" i="4"/>
  <c r="H10" i="4"/>
  <c r="I10" i="4"/>
  <c r="J10" i="4"/>
  <c r="K10" i="4"/>
  <c r="L10" i="4"/>
  <c r="M10" i="4"/>
  <c r="N10" i="4"/>
  <c r="V10" i="4"/>
  <c r="G11" i="4"/>
  <c r="H11" i="4"/>
  <c r="I11" i="4"/>
  <c r="J11" i="4"/>
  <c r="K11" i="4"/>
  <c r="L11" i="4"/>
  <c r="M11" i="4"/>
  <c r="N11" i="4"/>
  <c r="G12" i="4"/>
  <c r="H12" i="4"/>
  <c r="I12" i="4"/>
  <c r="J12" i="4"/>
  <c r="K12" i="4"/>
  <c r="L12" i="4"/>
  <c r="M12" i="4"/>
  <c r="N12" i="4"/>
  <c r="G13" i="4"/>
  <c r="H13" i="4"/>
  <c r="I13" i="4"/>
  <c r="J13" i="4"/>
  <c r="K13" i="4"/>
  <c r="L13" i="4"/>
  <c r="M13" i="4"/>
  <c r="N13" i="4"/>
  <c r="U13" i="4"/>
  <c r="G14" i="4"/>
  <c r="H14" i="4"/>
  <c r="I14" i="4"/>
  <c r="J14" i="4"/>
  <c r="K14" i="4"/>
  <c r="L14" i="4"/>
  <c r="M14" i="4"/>
  <c r="N14" i="4"/>
  <c r="R14" i="4"/>
  <c r="U14" i="4"/>
  <c r="W14" i="4"/>
  <c r="G15" i="4"/>
  <c r="H15" i="4"/>
  <c r="I15" i="4"/>
  <c r="J15" i="4"/>
  <c r="K15" i="4"/>
  <c r="L15" i="4"/>
  <c r="M15" i="4"/>
  <c r="N15" i="4"/>
  <c r="U15" i="4"/>
  <c r="W15" i="4"/>
  <c r="W18" i="4"/>
  <c r="W20" i="4"/>
  <c r="W22" i="4"/>
  <c r="W23" i="4"/>
  <c r="W24" i="4"/>
  <c r="F31" i="4"/>
  <c r="F32" i="4"/>
  <c r="F33" i="4"/>
  <c r="J10" i="3" l="1"/>
  <c r="J16" i="3"/>
  <c r="J5" i="3"/>
  <c r="J9" i="3"/>
  <c r="J7" i="3"/>
  <c r="J12" i="3"/>
  <c r="J15" i="3"/>
  <c r="J4" i="3"/>
  <c r="J6" i="3"/>
  <c r="J8" i="3"/>
  <c r="J11" i="3"/>
  <c r="J13" i="3"/>
  <c r="I4" i="3"/>
  <c r="I6" i="3"/>
  <c r="I5" i="3"/>
  <c r="I7" i="3"/>
  <c r="R3" i="3" l="1"/>
  <c r="R13" i="3"/>
  <c r="S9" i="3" l="1"/>
  <c r="T9" i="3" s="1"/>
  <c r="R14" i="3" l="1"/>
  <c r="T14" i="3" s="1"/>
  <c r="M9" i="3"/>
  <c r="M24" i="3" s="1"/>
  <c r="R15" i="3"/>
  <c r="T15" i="3" s="1"/>
  <c r="D32" i="3" l="1"/>
  <c r="D34" i="3"/>
  <c r="D31" i="3"/>
  <c r="D35" i="3"/>
  <c r="D33" i="3"/>
  <c r="N9" i="3"/>
  <c r="O9" i="3"/>
  <c r="O14" i="3"/>
  <c r="T19" i="3"/>
  <c r="T18" i="3"/>
  <c r="T22" i="3"/>
  <c r="T23" i="3" s="1"/>
  <c r="T24" i="3" s="1"/>
  <c r="T20" i="3"/>
  <c r="P9" i="3"/>
  <c r="N24" i="3" s="1"/>
  <c r="F35" i="3" l="1"/>
  <c r="E35" i="3"/>
  <c r="F34" i="3"/>
  <c r="E34" i="3"/>
  <c r="F33" i="3"/>
  <c r="E33" i="3"/>
  <c r="F31" i="3"/>
  <c r="E31" i="3"/>
  <c r="F32" i="3"/>
  <c r="E32" i="3"/>
</calcChain>
</file>

<file path=xl/sharedStrings.xml><?xml version="1.0" encoding="utf-8"?>
<sst xmlns="http://schemas.openxmlformats.org/spreadsheetml/2006/main" count="114" uniqueCount="54">
  <si>
    <t>x</t>
  </si>
  <si>
    <t>y</t>
  </si>
  <si>
    <t>x^2</t>
  </si>
  <si>
    <t>y^2</t>
  </si>
  <si>
    <t>xy</t>
  </si>
  <si>
    <t>(xi-xavr)</t>
  </si>
  <si>
    <t>(yi-yavr)</t>
  </si>
  <si>
    <t>(xi-xavr)^2</t>
  </si>
  <si>
    <t>(yi-yavr)^2</t>
  </si>
  <si>
    <t>xi*yi</t>
  </si>
  <si>
    <t>Sxx</t>
  </si>
  <si>
    <t>Syy</t>
  </si>
  <si>
    <t>Sxy</t>
  </si>
  <si>
    <t>Suma</t>
  </si>
  <si>
    <t>Avrg</t>
  </si>
  <si>
    <t>#</t>
  </si>
  <si>
    <t>sy</t>
  </si>
  <si>
    <t>sb</t>
  </si>
  <si>
    <t>r</t>
  </si>
  <si>
    <r>
      <t>r</t>
    </r>
    <r>
      <rPr>
        <sz val="10"/>
        <rFont val="Arial"/>
        <charset val="238"/>
      </rPr>
      <t>^2</t>
    </r>
  </si>
  <si>
    <t>sr</t>
  </si>
  <si>
    <r>
      <t>c</t>
    </r>
    <r>
      <rPr>
        <sz val="10"/>
        <rFont val="Arial"/>
        <charset val="238"/>
      </rPr>
      <t xml:space="preserve"> compoun</t>
    </r>
  </si>
  <si>
    <t>max</t>
  </si>
  <si>
    <t>min</t>
  </si>
  <si>
    <t>X</t>
  </si>
  <si>
    <t>Y</t>
  </si>
  <si>
    <t>Reading from the regression curve</t>
  </si>
  <si>
    <t>linear regression SS</t>
  </si>
  <si>
    <t>residual SS</t>
  </si>
  <si>
    <t>total Syy</t>
  </si>
  <si>
    <t>DF</t>
  </si>
  <si>
    <t>MS</t>
  </si>
  <si>
    <t>F</t>
  </si>
  <si>
    <t>r^2</t>
  </si>
  <si>
    <t>syx</t>
  </si>
  <si>
    <t>sb^2</t>
  </si>
  <si>
    <t>t</t>
  </si>
  <si>
    <t>slopeb</t>
  </si>
  <si>
    <r>
      <t xml:space="preserve">intercept </t>
    </r>
    <r>
      <rPr>
        <i/>
        <sz val="10"/>
        <rFont val="Arial"/>
        <family val="2"/>
        <charset val="238"/>
      </rPr>
      <t>a</t>
    </r>
  </si>
  <si>
    <t>sa</t>
  </si>
  <si>
    <t>ANOVA</t>
  </si>
  <si>
    <t>F0.05,1,11</t>
  </si>
  <si>
    <t>t0.05,1,11</t>
  </si>
  <si>
    <t>b</t>
  </si>
  <si>
    <t>CL</t>
  </si>
  <si>
    <t>sy^</t>
  </si>
  <si>
    <t>t0.05,1,19</t>
  </si>
  <si>
    <t>F0.05,1,18</t>
  </si>
  <si>
    <t>sum</t>
  </si>
  <si>
    <t>avrg</t>
  </si>
  <si>
    <t>s</t>
  </si>
  <si>
    <t>within-groups SS = error sum SS</t>
  </si>
  <si>
    <t>among groupe SS</t>
  </si>
  <si>
    <t>deviation from linearity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</si>
</sst>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E+00"/>
  </numFmts>
  <fonts count="6" x14ac:knownFonts="1">
    <font>
      <sz val="10"/>
      <name val="Arial"/>
      <charset val="238"/>
    </font>
    <font>
      <sz val="8"/>
      <name val="Arial"/>
      <charset val="238"/>
    </font>
    <font>
      <i/>
      <sz val="10"/>
      <name val="Arial"/>
      <family val="2"/>
      <charset val="238"/>
    </font>
    <font>
      <sz val="10"/>
      <color indexed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11" fontId="0" fillId="0" borderId="0" xfId="0" applyNumberFormat="1"/>
    <xf numFmtId="164" fontId="0" fillId="0" borderId="0" xfId="0" applyNumberFormat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0" fillId="2" borderId="0" xfId="0" applyFill="1"/>
    <xf numFmtId="0" fontId="0" fillId="3" borderId="0" xfId="0" applyFill="1"/>
    <xf numFmtId="165" fontId="0" fillId="3" borderId="0" xfId="0" applyNumberFormat="1" applyFill="1"/>
    <xf numFmtId="11" fontId="0" fillId="3" borderId="0" xfId="0" applyNumberFormat="1" applyFill="1"/>
    <xf numFmtId="165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6" borderId="0" xfId="0" applyFont="1" applyFill="1"/>
    <xf numFmtId="0" fontId="3" fillId="6" borderId="0" xfId="0" applyFont="1" applyFill="1"/>
    <xf numFmtId="164" fontId="0" fillId="6" borderId="0" xfId="0" applyNumberFormat="1" applyFill="1"/>
    <xf numFmtId="165" fontId="0" fillId="6" borderId="0" xfId="0" applyNumberFormat="1" applyFill="1"/>
    <xf numFmtId="166" fontId="0" fillId="6" borderId="0" xfId="0" applyNumberFormat="1" applyFill="1"/>
    <xf numFmtId="11" fontId="0" fillId="6" borderId="0" xfId="0" applyNumberFormat="1" applyFill="1"/>
    <xf numFmtId="0" fontId="0" fillId="0" borderId="1" xfId="0" applyBorder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W53"/>
  <sheetViews>
    <sheetView topLeftCell="C1" zoomScale="75" workbookViewId="0">
      <selection activeCell="H33" sqref="H33"/>
    </sheetView>
  </sheetViews>
  <sheetFormatPr defaultRowHeight="12.75" x14ac:dyDescent="0.2"/>
  <cols>
    <col min="11" max="11" width="10.5703125" bestFit="1" customWidth="1"/>
    <col min="12" max="13" width="10.28515625" bestFit="1" customWidth="1"/>
    <col min="14" max="14" width="10.5703125" bestFit="1" customWidth="1"/>
    <col min="16" max="20" width="13.85546875" bestFit="1" customWidth="1"/>
    <col min="21" max="21" width="10" bestFit="1" customWidth="1"/>
    <col min="22" max="23" width="13.85546875" bestFit="1" customWidth="1"/>
  </cols>
  <sheetData>
    <row r="1" spans="5:23" x14ac:dyDescent="0.2">
      <c r="E1" t="s">
        <v>0</v>
      </c>
      <c r="F1" t="s">
        <v>1</v>
      </c>
    </row>
    <row r="2" spans="5:23" x14ac:dyDescent="0.2">
      <c r="E2" s="1"/>
      <c r="G2" t="s">
        <v>2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P2" s="1" t="s">
        <v>24</v>
      </c>
      <c r="Q2" t="s">
        <v>25</v>
      </c>
      <c r="R2" t="s">
        <v>2</v>
      </c>
      <c r="S2" t="s">
        <v>3</v>
      </c>
      <c r="T2" t="s">
        <v>4</v>
      </c>
      <c r="U2" s="2" t="s">
        <v>10</v>
      </c>
      <c r="V2" s="2" t="s">
        <v>11</v>
      </c>
      <c r="W2" s="2" t="s">
        <v>12</v>
      </c>
    </row>
    <row r="3" spans="5:23" x14ac:dyDescent="0.2">
      <c r="E3" s="3">
        <v>3</v>
      </c>
      <c r="F3">
        <v>1.4</v>
      </c>
      <c r="G3">
        <f t="shared" ref="G3:G15" si="0">E3^2</f>
        <v>9</v>
      </c>
      <c r="H3">
        <f t="shared" ref="H3:H15" si="1">F3^2</f>
        <v>1.9599999999999997</v>
      </c>
      <c r="I3">
        <f t="shared" ref="I3:I15" si="2">E3*F3</f>
        <v>4.1999999999999993</v>
      </c>
      <c r="J3" s="3">
        <f t="shared" ref="J3:J15" si="3">(E3-$P$4)</f>
        <v>-7</v>
      </c>
      <c r="K3" s="4">
        <f t="shared" ref="K3:K15" si="4">(F3-$Q$4)</f>
        <v>-2.0153846153846158</v>
      </c>
      <c r="L3" s="5">
        <f t="shared" ref="L3:L15" si="5">J3^2</f>
        <v>49</v>
      </c>
      <c r="M3" s="5">
        <f t="shared" ref="M3:M15" si="6">K3^2</f>
        <v>4.0617751479289961</v>
      </c>
      <c r="N3" s="4">
        <f t="shared" ref="N3:N15" si="7">J3*K3</f>
        <v>14.107692307692311</v>
      </c>
      <c r="O3" t="s">
        <v>13</v>
      </c>
      <c r="P3" s="6">
        <f>SUM(E3:E17)</f>
        <v>130</v>
      </c>
      <c r="Q3" s="6">
        <f>SUM(F3:F17)</f>
        <v>44.400000000000006</v>
      </c>
      <c r="R3" s="6">
        <f>SUM(G3:G17)</f>
        <v>1562</v>
      </c>
      <c r="S3" s="6">
        <f>SUM(H3:H17)</f>
        <v>171.3</v>
      </c>
      <c r="T3" s="6">
        <f>SUM(I3:I17)</f>
        <v>514.79999999999995</v>
      </c>
      <c r="U3" s="7">
        <f>SUM(L3:L17)</f>
        <v>262</v>
      </c>
      <c r="V3" s="7">
        <f>SUM(M3:M17)</f>
        <v>19.656923076923078</v>
      </c>
      <c r="W3" s="7">
        <f>SUM(N3:N17)</f>
        <v>70.8</v>
      </c>
    </row>
    <row r="4" spans="5:23" x14ac:dyDescent="0.2">
      <c r="E4" s="3">
        <v>4</v>
      </c>
      <c r="F4">
        <v>1.5</v>
      </c>
      <c r="G4">
        <f t="shared" si="0"/>
        <v>16</v>
      </c>
      <c r="H4">
        <f t="shared" si="1"/>
        <v>2.25</v>
      </c>
      <c r="I4">
        <f t="shared" si="2"/>
        <v>6</v>
      </c>
      <c r="J4" s="3">
        <f t="shared" si="3"/>
        <v>-6</v>
      </c>
      <c r="K4" s="4">
        <f t="shared" si="4"/>
        <v>-1.9153846153846157</v>
      </c>
      <c r="L4" s="5">
        <f t="shared" si="5"/>
        <v>36</v>
      </c>
      <c r="M4" s="5">
        <f t="shared" si="6"/>
        <v>3.6686982248520721</v>
      </c>
      <c r="N4" s="4">
        <f t="shared" si="7"/>
        <v>11.492307692307694</v>
      </c>
      <c r="O4" t="s">
        <v>14</v>
      </c>
      <c r="P4" s="8">
        <f>AVERAGE(E3:E17)</f>
        <v>10</v>
      </c>
      <c r="Q4" s="8">
        <f>AVERAGE(F3:F17)</f>
        <v>3.4153846153846157</v>
      </c>
      <c r="R4" s="4"/>
      <c r="S4" s="4"/>
      <c r="T4" s="4"/>
      <c r="U4" s="4"/>
      <c r="V4" s="4"/>
      <c r="W4" s="4"/>
    </row>
    <row r="5" spans="5:23" x14ac:dyDescent="0.2">
      <c r="E5" s="3">
        <v>5</v>
      </c>
      <c r="F5">
        <v>2.2000000000000002</v>
      </c>
      <c r="G5">
        <f t="shared" si="0"/>
        <v>25</v>
      </c>
      <c r="H5">
        <f t="shared" si="1"/>
        <v>4.8400000000000007</v>
      </c>
      <c r="I5">
        <f t="shared" si="2"/>
        <v>11</v>
      </c>
      <c r="J5" s="3">
        <f t="shared" si="3"/>
        <v>-5</v>
      </c>
      <c r="K5" s="4">
        <f t="shared" si="4"/>
        <v>-1.2153846153846155</v>
      </c>
      <c r="L5" s="5">
        <f t="shared" si="5"/>
        <v>25</v>
      </c>
      <c r="M5" s="5">
        <f t="shared" si="6"/>
        <v>1.4771597633136098</v>
      </c>
      <c r="N5" s="4">
        <f t="shared" si="7"/>
        <v>6.0769230769230775</v>
      </c>
    </row>
    <row r="6" spans="5:23" x14ac:dyDescent="0.2">
      <c r="E6" s="3">
        <v>6</v>
      </c>
      <c r="F6">
        <v>2.4</v>
      </c>
      <c r="G6">
        <f t="shared" si="0"/>
        <v>36</v>
      </c>
      <c r="H6">
        <f t="shared" si="1"/>
        <v>5.76</v>
      </c>
      <c r="I6">
        <f t="shared" si="2"/>
        <v>14.399999999999999</v>
      </c>
      <c r="J6" s="3">
        <f t="shared" si="3"/>
        <v>-4</v>
      </c>
      <c r="K6" s="4">
        <f t="shared" si="4"/>
        <v>-1.0153846153846158</v>
      </c>
      <c r="L6" s="5">
        <f t="shared" si="5"/>
        <v>16</v>
      </c>
      <c r="M6" s="5">
        <f t="shared" si="6"/>
        <v>1.0310059171597641</v>
      </c>
      <c r="N6" s="4">
        <f t="shared" si="7"/>
        <v>4.0615384615384631</v>
      </c>
      <c r="P6">
        <f>P3/P7</f>
        <v>10</v>
      </c>
      <c r="Q6">
        <f>Q3/Q7</f>
        <v>3.4153846153846157</v>
      </c>
    </row>
    <row r="7" spans="5:23" x14ac:dyDescent="0.2">
      <c r="E7" s="3">
        <v>8</v>
      </c>
      <c r="F7">
        <v>3.1</v>
      </c>
      <c r="G7">
        <f t="shared" si="0"/>
        <v>64</v>
      </c>
      <c r="H7">
        <f t="shared" si="1"/>
        <v>9.6100000000000012</v>
      </c>
      <c r="I7">
        <f t="shared" si="2"/>
        <v>24.8</v>
      </c>
      <c r="J7" s="3">
        <f t="shared" si="3"/>
        <v>-2</v>
      </c>
      <c r="K7" s="4">
        <f t="shared" si="4"/>
        <v>-0.3153846153846156</v>
      </c>
      <c r="L7" s="5">
        <f t="shared" si="5"/>
        <v>4</v>
      </c>
      <c r="M7" s="5">
        <f t="shared" si="6"/>
        <v>9.9467455621301909E-2</v>
      </c>
      <c r="N7" s="4">
        <f t="shared" si="7"/>
        <v>0.63076923076923119</v>
      </c>
      <c r="O7" t="s">
        <v>15</v>
      </c>
      <c r="P7" s="9">
        <f>COUNT(E3:E17)</f>
        <v>13</v>
      </c>
      <c r="Q7" s="9">
        <f>COUNT(F3:F17)</f>
        <v>13</v>
      </c>
    </row>
    <row r="8" spans="5:23" x14ac:dyDescent="0.2">
      <c r="E8" s="3">
        <v>9</v>
      </c>
      <c r="F8">
        <v>3.2</v>
      </c>
      <c r="G8">
        <f t="shared" si="0"/>
        <v>81</v>
      </c>
      <c r="H8">
        <f t="shared" si="1"/>
        <v>10.240000000000002</v>
      </c>
      <c r="I8">
        <f t="shared" si="2"/>
        <v>28.8</v>
      </c>
      <c r="J8" s="3">
        <f t="shared" si="3"/>
        <v>-1</v>
      </c>
      <c r="K8" s="4">
        <f t="shared" si="4"/>
        <v>-0.21538461538461551</v>
      </c>
      <c r="L8" s="5">
        <f t="shared" si="5"/>
        <v>1</v>
      </c>
      <c r="M8" s="5">
        <f t="shared" si="6"/>
        <v>4.6390532544378749E-2</v>
      </c>
      <c r="N8" s="4">
        <f t="shared" si="7"/>
        <v>0.21538461538461551</v>
      </c>
      <c r="P8" t="s">
        <v>37</v>
      </c>
      <c r="Q8" t="s">
        <v>38</v>
      </c>
      <c r="R8" t="s">
        <v>16</v>
      </c>
      <c r="S8" s="1" t="s">
        <v>17</v>
      </c>
      <c r="T8" s="1" t="s">
        <v>39</v>
      </c>
      <c r="V8" s="1" t="s">
        <v>18</v>
      </c>
      <c r="W8" s="1" t="s">
        <v>19</v>
      </c>
    </row>
    <row r="9" spans="5:23" x14ac:dyDescent="0.2">
      <c r="E9" s="3">
        <v>10</v>
      </c>
      <c r="F9">
        <v>3.2</v>
      </c>
      <c r="G9">
        <f t="shared" si="0"/>
        <v>100</v>
      </c>
      <c r="H9">
        <f t="shared" si="1"/>
        <v>10.240000000000002</v>
      </c>
      <c r="I9">
        <f t="shared" si="2"/>
        <v>32</v>
      </c>
      <c r="J9" s="3">
        <f t="shared" si="3"/>
        <v>0</v>
      </c>
      <c r="K9" s="4">
        <f t="shared" si="4"/>
        <v>-0.21538461538461551</v>
      </c>
      <c r="L9" s="5">
        <f t="shared" si="5"/>
        <v>0</v>
      </c>
      <c r="M9" s="5">
        <f t="shared" si="6"/>
        <v>4.6390532544378749E-2</v>
      </c>
      <c r="N9" s="4">
        <f t="shared" si="7"/>
        <v>0</v>
      </c>
      <c r="P9" s="10">
        <f>W3/U3</f>
        <v>0.27022900763358776</v>
      </c>
      <c r="Q9" s="11">
        <f>Q4-P9*P4</f>
        <v>0.71309453904873799</v>
      </c>
      <c r="R9">
        <f>((V3-(P9^2*U3))/(P7-2))^0.5</f>
        <v>0.21840523979417645</v>
      </c>
      <c r="S9" s="10">
        <f>R9/(U3)^0.5</f>
        <v>1.3493120776185608E-2</v>
      </c>
      <c r="T9" s="10">
        <f>R9*(1/(P7-(P3^2/R3)))^0.5</f>
        <v>0.14790445188455101</v>
      </c>
      <c r="V9" s="10">
        <f>W3/(U3*V3)^0.5</f>
        <v>0.98656304379155668</v>
      </c>
      <c r="W9" s="10">
        <f>V9^2</f>
        <v>0.97330663937526096</v>
      </c>
    </row>
    <row r="10" spans="5:23" x14ac:dyDescent="0.2">
      <c r="E10" s="3">
        <v>11</v>
      </c>
      <c r="F10">
        <v>3.9</v>
      </c>
      <c r="G10">
        <f t="shared" si="0"/>
        <v>121</v>
      </c>
      <c r="H10">
        <f t="shared" si="1"/>
        <v>15.209999999999999</v>
      </c>
      <c r="I10">
        <f t="shared" si="2"/>
        <v>42.9</v>
      </c>
      <c r="J10" s="3">
        <f t="shared" si="3"/>
        <v>1</v>
      </c>
      <c r="K10" s="4">
        <f t="shared" si="4"/>
        <v>0.48461538461538423</v>
      </c>
      <c r="L10" s="5">
        <f t="shared" si="5"/>
        <v>1</v>
      </c>
      <c r="M10" s="5">
        <f t="shared" si="6"/>
        <v>0.23485207100591679</v>
      </c>
      <c r="N10" s="4">
        <f t="shared" si="7"/>
        <v>0.48461538461538423</v>
      </c>
      <c r="U10" s="1" t="s">
        <v>20</v>
      </c>
      <c r="V10" s="10">
        <f>((1-W9)/(($P$7-2)))^0.5</f>
        <v>4.9261233720883896E-2</v>
      </c>
    </row>
    <row r="11" spans="5:23" x14ac:dyDescent="0.2">
      <c r="E11" s="3">
        <v>12</v>
      </c>
      <c r="F11">
        <v>4.0999999999999996</v>
      </c>
      <c r="G11">
        <f t="shared" si="0"/>
        <v>144</v>
      </c>
      <c r="H11">
        <f t="shared" si="1"/>
        <v>16.809999999999999</v>
      </c>
      <c r="I11">
        <f t="shared" si="2"/>
        <v>49.199999999999996</v>
      </c>
      <c r="J11" s="3">
        <f t="shared" si="3"/>
        <v>2</v>
      </c>
      <c r="K11" s="4">
        <f t="shared" si="4"/>
        <v>0.68461538461538396</v>
      </c>
      <c r="L11" s="5">
        <f t="shared" si="5"/>
        <v>4</v>
      </c>
      <c r="M11" s="5">
        <f t="shared" si="6"/>
        <v>0.46869822485207013</v>
      </c>
      <c r="N11" s="4">
        <f t="shared" si="7"/>
        <v>1.3692307692307679</v>
      </c>
      <c r="P11" s="1" t="s">
        <v>21</v>
      </c>
      <c r="Q11" s="1"/>
    </row>
    <row r="12" spans="5:23" x14ac:dyDescent="0.2">
      <c r="E12" s="3">
        <v>14</v>
      </c>
      <c r="F12">
        <v>4.7</v>
      </c>
      <c r="G12">
        <f t="shared" si="0"/>
        <v>196</v>
      </c>
      <c r="H12">
        <f t="shared" si="1"/>
        <v>22.090000000000003</v>
      </c>
      <c r="I12">
        <f t="shared" si="2"/>
        <v>65.8</v>
      </c>
      <c r="J12" s="3">
        <f t="shared" si="3"/>
        <v>4</v>
      </c>
      <c r="K12" s="4">
        <f t="shared" si="4"/>
        <v>1.2846153846153845</v>
      </c>
      <c r="L12" s="5">
        <f t="shared" si="5"/>
        <v>16</v>
      </c>
      <c r="M12" s="5">
        <f t="shared" si="6"/>
        <v>1.6502366863905322</v>
      </c>
      <c r="N12" s="4">
        <f t="shared" si="7"/>
        <v>5.138461538461538</v>
      </c>
      <c r="O12" t="s">
        <v>22</v>
      </c>
      <c r="P12" s="12">
        <f>MAX(E3:E22)</f>
        <v>17</v>
      </c>
      <c r="Q12" s="12"/>
      <c r="S12" s="15" t="s">
        <v>40</v>
      </c>
      <c r="V12" t="s">
        <v>30</v>
      </c>
      <c r="W12" t="s">
        <v>31</v>
      </c>
    </row>
    <row r="13" spans="5:23" x14ac:dyDescent="0.2">
      <c r="E13" s="3">
        <v>15</v>
      </c>
      <c r="F13">
        <v>4.5</v>
      </c>
      <c r="G13">
        <f t="shared" si="0"/>
        <v>225</v>
      </c>
      <c r="H13">
        <f t="shared" si="1"/>
        <v>20.25</v>
      </c>
      <c r="I13">
        <f t="shared" si="2"/>
        <v>67.5</v>
      </c>
      <c r="J13" s="3">
        <f t="shared" si="3"/>
        <v>5</v>
      </c>
      <c r="K13" s="4">
        <f t="shared" si="4"/>
        <v>1.0846153846153843</v>
      </c>
      <c r="L13" s="5">
        <f t="shared" si="5"/>
        <v>25</v>
      </c>
      <c r="M13" s="5">
        <f t="shared" si="6"/>
        <v>1.176390532544378</v>
      </c>
      <c r="N13" s="4">
        <f t="shared" si="7"/>
        <v>5.4230769230769216</v>
      </c>
      <c r="O13" t="s">
        <v>23</v>
      </c>
      <c r="P13" s="12">
        <f>MIN(E3:E22)</f>
        <v>3</v>
      </c>
      <c r="Q13" s="12"/>
      <c r="S13" t="s">
        <v>29</v>
      </c>
      <c r="U13" s="13">
        <f>V3</f>
        <v>19.656923076923078</v>
      </c>
      <c r="V13">
        <v>12</v>
      </c>
    </row>
    <row r="14" spans="5:23" x14ac:dyDescent="0.2">
      <c r="E14" s="3">
        <v>16</v>
      </c>
      <c r="F14">
        <v>5.2</v>
      </c>
      <c r="G14">
        <f t="shared" si="0"/>
        <v>256</v>
      </c>
      <c r="H14">
        <f t="shared" si="1"/>
        <v>27.040000000000003</v>
      </c>
      <c r="I14">
        <f t="shared" si="2"/>
        <v>83.2</v>
      </c>
      <c r="J14" s="3">
        <f t="shared" si="3"/>
        <v>6</v>
      </c>
      <c r="K14" s="4">
        <f t="shared" si="4"/>
        <v>1.7846153846153845</v>
      </c>
      <c r="L14" s="5">
        <f t="shared" si="5"/>
        <v>36</v>
      </c>
      <c r="M14" s="5">
        <f t="shared" si="6"/>
        <v>3.1848520710059169</v>
      </c>
      <c r="N14" s="4">
        <f t="shared" si="7"/>
        <v>10.707692307692307</v>
      </c>
      <c r="R14">
        <f>P9*W3</f>
        <v>19.132213740458013</v>
      </c>
      <c r="S14" t="s">
        <v>27</v>
      </c>
      <c r="U14">
        <f>W3^2/U3</f>
        <v>19.132213740458013</v>
      </c>
      <c r="V14">
        <v>1</v>
      </c>
      <c r="W14">
        <f>U14/V14</f>
        <v>19.132213740458013</v>
      </c>
    </row>
    <row r="15" spans="5:23" x14ac:dyDescent="0.2">
      <c r="E15" s="3">
        <v>17</v>
      </c>
      <c r="F15">
        <v>5</v>
      </c>
      <c r="G15">
        <f t="shared" si="0"/>
        <v>289</v>
      </c>
      <c r="H15">
        <f t="shared" si="1"/>
        <v>25</v>
      </c>
      <c r="I15">
        <f t="shared" si="2"/>
        <v>85</v>
      </c>
      <c r="J15" s="3">
        <f t="shared" si="3"/>
        <v>7</v>
      </c>
      <c r="K15" s="4">
        <f t="shared" si="4"/>
        <v>1.5846153846153843</v>
      </c>
      <c r="L15" s="5">
        <f t="shared" si="5"/>
        <v>49</v>
      </c>
      <c r="M15" s="5">
        <f t="shared" si="6"/>
        <v>2.5110059171597623</v>
      </c>
      <c r="N15" s="4">
        <f t="shared" si="7"/>
        <v>11.09230769230769</v>
      </c>
      <c r="S15" t="s">
        <v>28</v>
      </c>
      <c r="U15" s="13">
        <f>V3-U14</f>
        <v>0.52470933646506523</v>
      </c>
      <c r="V15">
        <v>11</v>
      </c>
      <c r="W15">
        <f>U15/V15</f>
        <v>4.7700848769551385E-2</v>
      </c>
    </row>
    <row r="16" spans="5:23" x14ac:dyDescent="0.2">
      <c r="E16" s="3"/>
      <c r="J16" s="3"/>
      <c r="K16" s="4"/>
      <c r="L16" s="5"/>
      <c r="M16" s="5"/>
      <c r="N16" s="4"/>
    </row>
    <row r="17" spans="5:23" x14ac:dyDescent="0.2">
      <c r="E17" s="3"/>
      <c r="J17" s="3"/>
      <c r="K17" s="4"/>
      <c r="L17" s="5"/>
      <c r="M17" s="5"/>
      <c r="N17" s="4"/>
    </row>
    <row r="18" spans="5:23" x14ac:dyDescent="0.2">
      <c r="S18" s="14" t="s">
        <v>41</v>
      </c>
      <c r="T18" s="14">
        <v>4.84</v>
      </c>
      <c r="V18" t="s">
        <v>32</v>
      </c>
      <c r="W18">
        <f>W14/W15</f>
        <v>401.08749076747188</v>
      </c>
    </row>
    <row r="19" spans="5:23" x14ac:dyDescent="0.2">
      <c r="V19" t="s">
        <v>33</v>
      </c>
      <c r="W19">
        <f>W14/U13</f>
        <v>0.97330663937526085</v>
      </c>
    </row>
    <row r="20" spans="5:23" x14ac:dyDescent="0.2">
      <c r="V20" t="s">
        <v>34</v>
      </c>
      <c r="W20">
        <f>W15^0.5</f>
        <v>0.2184052397941757</v>
      </c>
    </row>
    <row r="22" spans="5:23" x14ac:dyDescent="0.2">
      <c r="V22" t="s">
        <v>35</v>
      </c>
      <c r="W22">
        <f>W15/U3</f>
        <v>1.8206430828073049E-4</v>
      </c>
    </row>
    <row r="23" spans="5:23" x14ac:dyDescent="0.2">
      <c r="M23" t="s">
        <v>43</v>
      </c>
      <c r="N23" t="s">
        <v>44</v>
      </c>
      <c r="V23" t="s">
        <v>17</v>
      </c>
      <c r="W23">
        <f>W22^0.5</f>
        <v>1.3493120776185563E-2</v>
      </c>
    </row>
    <row r="24" spans="5:23" x14ac:dyDescent="0.2">
      <c r="M24">
        <f>P9</f>
        <v>0.27022900763358776</v>
      </c>
      <c r="N24">
        <f>T24*S9</f>
        <v>2.9698358828384525E-2</v>
      </c>
      <c r="S24" s="14" t="s">
        <v>42</v>
      </c>
      <c r="T24" s="14">
        <v>2.2010000000000001</v>
      </c>
      <c r="V24" t="s">
        <v>36</v>
      </c>
      <c r="W24">
        <f>P9/W23</f>
        <v>20.027168815573305</v>
      </c>
    </row>
    <row r="29" spans="5:23" x14ac:dyDescent="0.2">
      <c r="E29" t="s">
        <v>26</v>
      </c>
    </row>
    <row r="30" spans="5:23" x14ac:dyDescent="0.2">
      <c r="E30" t="s">
        <v>0</v>
      </c>
      <c r="F30" t="s">
        <v>1</v>
      </c>
      <c r="G30" t="s">
        <v>45</v>
      </c>
    </row>
    <row r="31" spans="5:23" x14ac:dyDescent="0.2">
      <c r="E31">
        <v>4</v>
      </c>
      <c r="F31">
        <f>$Q$9+$P$9*E31</f>
        <v>1.794010569583089</v>
      </c>
    </row>
    <row r="32" spans="5:23" x14ac:dyDescent="0.2">
      <c r="E32">
        <v>7</v>
      </c>
      <c r="F32">
        <f>$Q$9+$P$9*E32</f>
        <v>2.604697592483852</v>
      </c>
    </row>
    <row r="33" spans="5:23" x14ac:dyDescent="0.2">
      <c r="E33">
        <v>13</v>
      </c>
      <c r="F33">
        <f>$Q$9+$P$9*E33</f>
        <v>4.2260716382853794</v>
      </c>
      <c r="G33">
        <f>(W15*(1/13+3^2/U3))^0.5</f>
        <v>7.2855163397818515E-2</v>
      </c>
      <c r="H33">
        <f>F33-G33*T24</f>
        <v>4.065717423646781</v>
      </c>
      <c r="I33">
        <f>F33+G33*T24</f>
        <v>4.3864258529239777</v>
      </c>
    </row>
    <row r="34" spans="5:23" x14ac:dyDescent="0.2">
      <c r="E34">
        <v>0</v>
      </c>
      <c r="F34">
        <f>$Q$9+$P$9*E34</f>
        <v>0.71309453904873799</v>
      </c>
      <c r="G34">
        <f>(W15*(1/13+P4^2/U3))^0.5</f>
        <v>0.14790445188455048</v>
      </c>
    </row>
    <row r="37" spans="5:23" x14ac:dyDescent="0.2">
      <c r="O37" s="16"/>
      <c r="P37" s="16"/>
      <c r="Q37" s="16"/>
      <c r="R37" s="16"/>
      <c r="S37" s="16"/>
      <c r="T37" s="16"/>
      <c r="U37" s="16"/>
      <c r="V37" s="16"/>
      <c r="W37" s="16"/>
    </row>
    <row r="38" spans="5:23" x14ac:dyDescent="0.2">
      <c r="E38" s="1"/>
      <c r="O38" s="16"/>
      <c r="P38" s="17"/>
      <c r="Q38" s="16"/>
      <c r="R38" s="16"/>
      <c r="S38" s="16"/>
      <c r="T38" s="16"/>
      <c r="U38" s="18"/>
      <c r="V38" s="18"/>
      <c r="W38" s="18"/>
    </row>
    <row r="39" spans="5:23" x14ac:dyDescent="0.2">
      <c r="F39" s="3"/>
      <c r="J39" s="3"/>
      <c r="K39" s="4"/>
      <c r="L39" s="5"/>
      <c r="M39" s="5"/>
      <c r="N39" s="4"/>
      <c r="O39" s="16"/>
      <c r="P39" s="19"/>
      <c r="Q39" s="19"/>
      <c r="R39" s="19"/>
      <c r="S39" s="19"/>
      <c r="T39" s="19"/>
      <c r="U39" s="20"/>
      <c r="V39" s="20"/>
      <c r="W39" s="20"/>
    </row>
    <row r="40" spans="5:23" x14ac:dyDescent="0.2">
      <c r="F40" s="3"/>
      <c r="J40" s="3"/>
      <c r="K40" s="4"/>
      <c r="L40" s="5"/>
      <c r="M40" s="5"/>
      <c r="N40" s="4"/>
      <c r="O40" s="16"/>
      <c r="P40" s="21"/>
      <c r="Q40" s="21"/>
      <c r="R40" s="22"/>
      <c r="S40" s="22"/>
      <c r="T40" s="22"/>
      <c r="U40" s="22"/>
      <c r="V40" s="22"/>
      <c r="W40" s="22"/>
    </row>
    <row r="41" spans="5:23" x14ac:dyDescent="0.2">
      <c r="F41" s="3"/>
      <c r="J41" s="3"/>
      <c r="K41" s="4"/>
      <c r="L41" s="5"/>
      <c r="M41" s="5"/>
      <c r="N41" s="4"/>
      <c r="O41" s="16"/>
      <c r="P41" s="16"/>
      <c r="Q41" s="16"/>
      <c r="R41" s="16"/>
      <c r="S41" s="16"/>
      <c r="T41" s="16"/>
      <c r="U41" s="16"/>
      <c r="V41" s="16"/>
      <c r="W41" s="16"/>
    </row>
    <row r="42" spans="5:23" x14ac:dyDescent="0.2">
      <c r="F42" s="3"/>
      <c r="J42" s="3"/>
      <c r="K42" s="4"/>
      <c r="L42" s="5"/>
      <c r="M42" s="5"/>
      <c r="N42" s="4"/>
      <c r="O42" s="16"/>
      <c r="P42" s="16"/>
      <c r="Q42" s="16"/>
      <c r="R42" s="16"/>
      <c r="S42" s="16"/>
      <c r="T42" s="16"/>
      <c r="U42" s="16"/>
      <c r="V42" s="16"/>
      <c r="W42" s="16"/>
    </row>
    <row r="43" spans="5:23" x14ac:dyDescent="0.2">
      <c r="F43" s="3"/>
      <c r="J43" s="3"/>
      <c r="K43" s="4"/>
      <c r="L43" s="5"/>
      <c r="M43" s="5"/>
      <c r="N43" s="4"/>
      <c r="O43" s="16"/>
      <c r="P43" s="16"/>
      <c r="Q43" s="16"/>
      <c r="R43" s="16"/>
      <c r="S43" s="16"/>
      <c r="T43" s="16"/>
      <c r="U43" s="16"/>
      <c r="V43" s="16"/>
      <c r="W43" s="16"/>
    </row>
    <row r="44" spans="5:23" x14ac:dyDescent="0.2">
      <c r="F44" s="3"/>
      <c r="J44" s="3"/>
      <c r="K44" s="4"/>
      <c r="L44" s="5"/>
      <c r="M44" s="5"/>
      <c r="N44" s="4"/>
      <c r="O44" s="16"/>
      <c r="P44" s="16"/>
      <c r="Q44" s="16"/>
      <c r="R44" s="16"/>
      <c r="S44" s="17"/>
      <c r="T44" s="17"/>
      <c r="U44" s="16"/>
      <c r="V44" s="17"/>
      <c r="W44" s="17"/>
    </row>
    <row r="45" spans="5:23" x14ac:dyDescent="0.2">
      <c r="F45" s="3"/>
      <c r="J45" s="3"/>
      <c r="K45" s="4"/>
      <c r="L45" s="5"/>
      <c r="M45" s="5"/>
      <c r="N45" s="4"/>
      <c r="O45" s="16"/>
      <c r="P45" s="16"/>
      <c r="Q45" s="20"/>
      <c r="R45" s="16"/>
      <c r="S45" s="16"/>
      <c r="T45" s="16"/>
      <c r="U45" s="16"/>
      <c r="V45" s="16"/>
      <c r="W45" s="16"/>
    </row>
    <row r="46" spans="5:23" x14ac:dyDescent="0.2">
      <c r="F46" s="3"/>
      <c r="J46" s="3"/>
      <c r="K46" s="4"/>
      <c r="L46" s="5"/>
      <c r="M46" s="5"/>
      <c r="N46" s="4"/>
      <c r="O46" s="16"/>
      <c r="P46" s="16"/>
      <c r="Q46" s="16"/>
      <c r="R46" s="16"/>
      <c r="S46" s="16"/>
      <c r="T46" s="16"/>
      <c r="U46" s="17"/>
      <c r="V46" s="16"/>
      <c r="W46" s="16"/>
    </row>
    <row r="47" spans="5:23" x14ac:dyDescent="0.2">
      <c r="F47" s="3"/>
      <c r="J47" s="3"/>
      <c r="K47" s="4"/>
      <c r="L47" s="5"/>
      <c r="M47" s="5"/>
      <c r="N47" s="4"/>
      <c r="O47" s="16"/>
      <c r="P47" s="17"/>
      <c r="Q47" s="17"/>
      <c r="R47" s="16"/>
      <c r="S47" s="16"/>
      <c r="T47" s="16"/>
      <c r="U47" s="16"/>
      <c r="V47" s="16"/>
      <c r="W47" s="16"/>
    </row>
    <row r="48" spans="5:23" x14ac:dyDescent="0.2">
      <c r="F48" s="3"/>
      <c r="J48" s="3"/>
      <c r="K48" s="4"/>
      <c r="L48" s="5"/>
      <c r="M48" s="5"/>
      <c r="N48" s="4"/>
      <c r="O48" s="16"/>
      <c r="P48" s="22"/>
      <c r="Q48" s="22"/>
      <c r="R48" s="16"/>
      <c r="S48" s="16"/>
      <c r="T48" s="16"/>
      <c r="U48" s="16"/>
      <c r="V48" s="16"/>
      <c r="W48" s="16"/>
    </row>
    <row r="49" spans="5:23" x14ac:dyDescent="0.2">
      <c r="F49" s="3"/>
      <c r="J49" s="3"/>
      <c r="K49" s="4"/>
      <c r="L49" s="5"/>
      <c r="M49" s="5"/>
      <c r="N49" s="4"/>
      <c r="O49" s="16"/>
      <c r="P49" s="22"/>
      <c r="Q49" s="22"/>
      <c r="R49" s="16"/>
      <c r="S49" s="16"/>
      <c r="T49" s="16"/>
      <c r="U49" s="16"/>
      <c r="V49" s="16"/>
      <c r="W49" s="16"/>
    </row>
    <row r="50" spans="5:23" x14ac:dyDescent="0.2">
      <c r="F50" s="3"/>
      <c r="J50" s="3"/>
      <c r="K50" s="4"/>
      <c r="L50" s="5"/>
      <c r="M50" s="5"/>
      <c r="N50" s="4"/>
      <c r="O50" s="16"/>
      <c r="P50" s="16"/>
      <c r="Q50" s="16"/>
      <c r="R50" s="16"/>
      <c r="S50" s="16"/>
      <c r="T50" s="16"/>
      <c r="U50" s="16"/>
      <c r="V50" s="16"/>
      <c r="W50" s="16"/>
    </row>
    <row r="51" spans="5:23" x14ac:dyDescent="0.2">
      <c r="F51" s="3"/>
      <c r="J51" s="3"/>
      <c r="K51" s="4"/>
      <c r="L51" s="5"/>
      <c r="M51" s="5"/>
      <c r="N51" s="4"/>
      <c r="O51" s="16"/>
      <c r="P51" s="16"/>
      <c r="Q51" s="16"/>
      <c r="R51" s="16"/>
      <c r="S51" s="16"/>
      <c r="T51" s="16"/>
      <c r="U51" s="16"/>
      <c r="V51" s="16"/>
      <c r="W51" s="16"/>
    </row>
    <row r="52" spans="5:23" x14ac:dyDescent="0.2">
      <c r="E52" s="3"/>
      <c r="J52" s="3"/>
      <c r="K52" s="4"/>
      <c r="L52" s="5"/>
      <c r="M52" s="5"/>
      <c r="N52" s="4"/>
      <c r="O52" s="16"/>
      <c r="P52" s="16"/>
      <c r="Q52" s="16"/>
      <c r="R52" s="16"/>
      <c r="S52" s="16"/>
      <c r="T52" s="16"/>
      <c r="U52" s="16"/>
      <c r="V52" s="16"/>
      <c r="W52" s="16"/>
    </row>
    <row r="53" spans="5:23" x14ac:dyDescent="0.2">
      <c r="O53" s="16"/>
      <c r="P53" s="16"/>
      <c r="Q53" s="16"/>
      <c r="R53" s="16"/>
      <c r="S53" s="16"/>
      <c r="T53" s="16"/>
      <c r="U53" s="16"/>
      <c r="V53" s="16"/>
      <c r="W53" s="16"/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6"/>
  <sheetViews>
    <sheetView tabSelected="1" topLeftCell="C1" zoomScale="75" workbookViewId="0">
      <selection activeCell="S63" sqref="S63"/>
    </sheetView>
  </sheetViews>
  <sheetFormatPr defaultRowHeight="12.75" x14ac:dyDescent="0.2"/>
  <cols>
    <col min="3" max="3" width="6.140625" customWidth="1"/>
    <col min="4" max="4" width="3" customWidth="1"/>
    <col min="5" max="5" width="6.85546875" customWidth="1"/>
    <col min="6" max="6" width="6.5703125" customWidth="1"/>
    <col min="7" max="7" width="7.7109375" customWidth="1"/>
    <col min="8" max="8" width="10.5703125" bestFit="1" customWidth="1"/>
    <col min="9" max="9" width="9" customWidth="1"/>
    <col min="10" max="10" width="9.7109375" customWidth="1"/>
    <col min="11" max="11" width="13.85546875" bestFit="1" customWidth="1"/>
    <col min="13" max="15" width="13.85546875" bestFit="1" customWidth="1"/>
    <col min="16" max="16" width="19.42578125" bestFit="1" customWidth="1"/>
    <col min="17" max="17" width="13.85546875" bestFit="1" customWidth="1"/>
    <col min="18" max="18" width="18" bestFit="1" customWidth="1"/>
    <col min="19" max="20" width="13.85546875" bestFit="1" customWidth="1"/>
  </cols>
  <sheetData>
    <row r="1" spans="2:20" x14ac:dyDescent="0.2">
      <c r="B1" t="s">
        <v>0</v>
      </c>
      <c r="C1" t="s">
        <v>1</v>
      </c>
    </row>
    <row r="2" spans="2:20" x14ac:dyDescent="0.2">
      <c r="B2" s="1"/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M2" s="1" t="s">
        <v>24</v>
      </c>
      <c r="N2" t="s">
        <v>25</v>
      </c>
      <c r="O2" t="s">
        <v>2</v>
      </c>
      <c r="P2" t="s">
        <v>3</v>
      </c>
      <c r="Q2" t="s">
        <v>4</v>
      </c>
      <c r="R2" s="2" t="s">
        <v>10</v>
      </c>
      <c r="S2" s="2" t="s">
        <v>11</v>
      </c>
      <c r="T2" s="2" t="s">
        <v>12</v>
      </c>
    </row>
    <row r="3" spans="2:20" x14ac:dyDescent="0.2">
      <c r="B3" s="3">
        <v>30</v>
      </c>
      <c r="C3">
        <v>108</v>
      </c>
      <c r="D3">
        <f t="shared" ref="D3:E22" si="0">B3^2</f>
        <v>900</v>
      </c>
      <c r="E3">
        <f t="shared" si="0"/>
        <v>11664</v>
      </c>
      <c r="F3">
        <f t="shared" ref="F3:F22" si="1">B3*C3</f>
        <v>3240</v>
      </c>
      <c r="G3" s="3">
        <f>(B3-$M$4)</f>
        <v>-22.5</v>
      </c>
      <c r="H3" s="4">
        <f>(C3-$N$4)</f>
        <v>-29.199999999999989</v>
      </c>
      <c r="I3" s="5">
        <f>G3^2</f>
        <v>506.25</v>
      </c>
      <c r="J3" s="5">
        <f>H3^2</f>
        <v>852.6399999999993</v>
      </c>
      <c r="K3" s="4">
        <f>G3*H3</f>
        <v>656.99999999999977</v>
      </c>
      <c r="L3" t="s">
        <v>13</v>
      </c>
      <c r="M3" s="6">
        <f>SUM(B3:B22)</f>
        <v>1050</v>
      </c>
      <c r="N3" s="6">
        <f>SUM(C3:C22)</f>
        <v>2744</v>
      </c>
      <c r="O3" s="6">
        <f>SUM(D3:D22)</f>
        <v>59100</v>
      </c>
      <c r="P3" s="6">
        <f>SUM(E3:E22)</f>
        <v>383346</v>
      </c>
      <c r="Q3" s="6">
        <f>SUM(F3:F22)</f>
        <v>149240</v>
      </c>
      <c r="R3" s="7">
        <f>SUM(I3:I22)</f>
        <v>3975</v>
      </c>
      <c r="S3" s="7">
        <f>SUM(J3:J22)</f>
        <v>6869.2</v>
      </c>
      <c r="T3" s="7">
        <f>SUM(K3:K22)</f>
        <v>5179.9999999999991</v>
      </c>
    </row>
    <row r="4" spans="2:20" x14ac:dyDescent="0.2">
      <c r="B4" s="3">
        <v>30</v>
      </c>
      <c r="C4">
        <v>110</v>
      </c>
      <c r="D4">
        <f t="shared" si="0"/>
        <v>900</v>
      </c>
      <c r="E4">
        <f t="shared" si="0"/>
        <v>12100</v>
      </c>
      <c r="F4">
        <f t="shared" si="1"/>
        <v>3300</v>
      </c>
      <c r="G4" s="3">
        <f t="shared" ref="G4:G22" si="2">(B4-$M$4)</f>
        <v>-22.5</v>
      </c>
      <c r="H4" s="4">
        <f t="shared" ref="H4:H22" si="3">(C4-$N$4)</f>
        <v>-27.199999999999989</v>
      </c>
      <c r="I4" s="5">
        <f t="shared" ref="I3:J22" si="4">G4^2</f>
        <v>506.25</v>
      </c>
      <c r="J4" s="5">
        <f t="shared" si="4"/>
        <v>739.83999999999935</v>
      </c>
      <c r="K4" s="4">
        <f t="shared" ref="K4:K22" si="5">G4*H4</f>
        <v>611.99999999999977</v>
      </c>
      <c r="L4" t="s">
        <v>14</v>
      </c>
      <c r="M4" s="8">
        <f>AVERAGE(B3:B22)</f>
        <v>52.5</v>
      </c>
      <c r="N4" s="8">
        <f>AVERAGE(C3:C22)</f>
        <v>137.19999999999999</v>
      </c>
      <c r="O4" s="4"/>
      <c r="P4" s="4"/>
      <c r="Q4" s="4"/>
      <c r="R4" s="4"/>
      <c r="S4" s="4"/>
      <c r="T4" s="4"/>
    </row>
    <row r="5" spans="2:20" x14ac:dyDescent="0.2">
      <c r="B5" s="3">
        <v>30</v>
      </c>
      <c r="C5">
        <v>106</v>
      </c>
      <c r="D5">
        <f t="shared" si="0"/>
        <v>900</v>
      </c>
      <c r="E5">
        <f t="shared" si="0"/>
        <v>11236</v>
      </c>
      <c r="F5">
        <f t="shared" si="1"/>
        <v>3180</v>
      </c>
      <c r="G5" s="3">
        <f t="shared" si="2"/>
        <v>-22.5</v>
      </c>
      <c r="H5" s="4">
        <f t="shared" si="3"/>
        <v>-31.199999999999989</v>
      </c>
      <c r="I5" s="5">
        <f t="shared" si="4"/>
        <v>506.25</v>
      </c>
      <c r="J5" s="5">
        <f t="shared" si="4"/>
        <v>973.43999999999926</v>
      </c>
      <c r="K5" s="4">
        <f t="shared" si="5"/>
        <v>701.99999999999977</v>
      </c>
    </row>
    <row r="6" spans="2:20" x14ac:dyDescent="0.2">
      <c r="B6" s="3">
        <v>40</v>
      </c>
      <c r="C6">
        <v>125</v>
      </c>
      <c r="D6">
        <f t="shared" si="0"/>
        <v>1600</v>
      </c>
      <c r="E6">
        <f t="shared" si="0"/>
        <v>15625</v>
      </c>
      <c r="F6">
        <f t="shared" si="1"/>
        <v>5000</v>
      </c>
      <c r="G6" s="3">
        <f t="shared" si="2"/>
        <v>-12.5</v>
      </c>
      <c r="H6" s="4">
        <f t="shared" si="3"/>
        <v>-12.199999999999989</v>
      </c>
      <c r="I6" s="5">
        <f t="shared" si="4"/>
        <v>156.25</v>
      </c>
      <c r="J6" s="5">
        <f t="shared" si="4"/>
        <v>148.83999999999972</v>
      </c>
      <c r="K6" s="4">
        <f t="shared" si="5"/>
        <v>152.49999999999986</v>
      </c>
      <c r="M6">
        <f>M3/M7</f>
        <v>70</v>
      </c>
      <c r="N6">
        <f>N3/N7</f>
        <v>182.93333333333334</v>
      </c>
    </row>
    <row r="7" spans="2:20" x14ac:dyDescent="0.2">
      <c r="B7" s="3">
        <v>40</v>
      </c>
      <c r="C7">
        <v>120</v>
      </c>
      <c r="D7">
        <f t="shared" si="0"/>
        <v>1600</v>
      </c>
      <c r="E7">
        <f t="shared" si="0"/>
        <v>14400</v>
      </c>
      <c r="F7">
        <f t="shared" si="1"/>
        <v>4800</v>
      </c>
      <c r="G7" s="3">
        <f t="shared" si="2"/>
        <v>-12.5</v>
      </c>
      <c r="H7" s="4">
        <f t="shared" si="3"/>
        <v>-17.199999999999989</v>
      </c>
      <c r="I7" s="5">
        <f t="shared" si="4"/>
        <v>156.25</v>
      </c>
      <c r="J7" s="5">
        <f t="shared" si="4"/>
        <v>295.83999999999963</v>
      </c>
      <c r="K7" s="4">
        <f t="shared" si="5"/>
        <v>214.99999999999986</v>
      </c>
      <c r="L7" t="s">
        <v>15</v>
      </c>
      <c r="M7" s="9">
        <f>COUNT(B3:B17)</f>
        <v>15</v>
      </c>
      <c r="N7" s="9">
        <f>COUNT(C3:C17)</f>
        <v>15</v>
      </c>
    </row>
    <row r="8" spans="2:20" x14ac:dyDescent="0.2">
      <c r="B8" s="3">
        <v>40</v>
      </c>
      <c r="C8">
        <v>118</v>
      </c>
      <c r="D8">
        <f t="shared" si="0"/>
        <v>1600</v>
      </c>
      <c r="E8">
        <f t="shared" si="0"/>
        <v>13924</v>
      </c>
      <c r="F8">
        <f t="shared" si="1"/>
        <v>4720</v>
      </c>
      <c r="G8" s="3">
        <f t="shared" si="2"/>
        <v>-12.5</v>
      </c>
      <c r="H8" s="4">
        <f t="shared" si="3"/>
        <v>-19.199999999999989</v>
      </c>
      <c r="I8" s="5">
        <f t="shared" si="4"/>
        <v>156.25</v>
      </c>
      <c r="J8" s="5">
        <f t="shared" si="4"/>
        <v>368.63999999999959</v>
      </c>
      <c r="K8" s="4">
        <f t="shared" si="5"/>
        <v>239.99999999999986</v>
      </c>
      <c r="M8" t="s">
        <v>37</v>
      </c>
      <c r="N8" t="s">
        <v>38</v>
      </c>
      <c r="O8" t="s">
        <v>16</v>
      </c>
      <c r="P8" s="1" t="s">
        <v>17</v>
      </c>
      <c r="Q8" s="1" t="s">
        <v>39</v>
      </c>
      <c r="S8" s="1" t="s">
        <v>18</v>
      </c>
      <c r="T8" s="1" t="s">
        <v>19</v>
      </c>
    </row>
    <row r="9" spans="2:20" x14ac:dyDescent="0.2">
      <c r="B9" s="3">
        <v>40</v>
      </c>
      <c r="C9">
        <v>119</v>
      </c>
      <c r="D9">
        <f t="shared" si="0"/>
        <v>1600</v>
      </c>
      <c r="E9">
        <f t="shared" si="0"/>
        <v>14161</v>
      </c>
      <c r="F9">
        <f t="shared" si="1"/>
        <v>4760</v>
      </c>
      <c r="G9" s="3">
        <f t="shared" si="2"/>
        <v>-12.5</v>
      </c>
      <c r="H9" s="4">
        <f t="shared" si="3"/>
        <v>-18.199999999999989</v>
      </c>
      <c r="I9" s="5">
        <f t="shared" si="4"/>
        <v>156.25</v>
      </c>
      <c r="J9" s="5">
        <f t="shared" si="4"/>
        <v>331.23999999999961</v>
      </c>
      <c r="K9" s="4">
        <f t="shared" si="5"/>
        <v>227.49999999999986</v>
      </c>
      <c r="M9" s="10">
        <f>T3/R3</f>
        <v>1.30314465408805</v>
      </c>
      <c r="N9" s="11">
        <f>N4-M9*M4</f>
        <v>68.784905660377362</v>
      </c>
      <c r="O9">
        <f>((S3-(M9^2*R3))/(M7-2))^0.5</f>
        <v>3.0243968479923935</v>
      </c>
      <c r="P9" s="10">
        <f>O9/(R3)^0.5</f>
        <v>4.7970054322826493E-2</v>
      </c>
      <c r="Q9" s="10" t="e">
        <f>O9*(1/(M7-(M3^2/O3)))^0.5</f>
        <v>#NUM!</v>
      </c>
      <c r="S9" s="10">
        <f>T3/(R3*S3)^0.5</f>
        <v>0.99130686239489652</v>
      </c>
      <c r="T9" s="10">
        <f>S9^2</f>
        <v>0.9826892954312143</v>
      </c>
    </row>
    <row r="10" spans="2:20" x14ac:dyDescent="0.2">
      <c r="B10" s="3">
        <v>50</v>
      </c>
      <c r="C10">
        <v>132</v>
      </c>
      <c r="D10">
        <f t="shared" si="0"/>
        <v>2500</v>
      </c>
      <c r="E10">
        <f t="shared" si="0"/>
        <v>17424</v>
      </c>
      <c r="F10">
        <f t="shared" si="1"/>
        <v>6600</v>
      </c>
      <c r="G10" s="3">
        <f t="shared" si="2"/>
        <v>-2.5</v>
      </c>
      <c r="H10" s="4">
        <f t="shared" si="3"/>
        <v>-5.1999999999999886</v>
      </c>
      <c r="I10" s="5">
        <f t="shared" si="4"/>
        <v>6.25</v>
      </c>
      <c r="J10" s="5">
        <f t="shared" si="4"/>
        <v>27.039999999999882</v>
      </c>
      <c r="K10" s="4">
        <f t="shared" si="5"/>
        <v>12.999999999999972</v>
      </c>
      <c r="R10" s="1" t="s">
        <v>20</v>
      </c>
      <c r="S10" s="10">
        <f>((1-T9)/(($M$7-2)))^0.5</f>
        <v>3.649099421963399E-2</v>
      </c>
    </row>
    <row r="11" spans="2:20" x14ac:dyDescent="0.2">
      <c r="B11" s="3">
        <v>50</v>
      </c>
      <c r="C11">
        <v>137</v>
      </c>
      <c r="D11">
        <f t="shared" si="0"/>
        <v>2500</v>
      </c>
      <c r="E11">
        <f t="shared" si="0"/>
        <v>18769</v>
      </c>
      <c r="F11">
        <f t="shared" si="1"/>
        <v>6850</v>
      </c>
      <c r="G11" s="3">
        <f t="shared" si="2"/>
        <v>-2.5</v>
      </c>
      <c r="H11" s="4">
        <f t="shared" si="3"/>
        <v>-0.19999999999998863</v>
      </c>
      <c r="I11" s="5">
        <f t="shared" si="4"/>
        <v>6.25</v>
      </c>
      <c r="J11" s="5">
        <f t="shared" si="4"/>
        <v>3.9999999999995456E-2</v>
      </c>
      <c r="K11" s="4">
        <f t="shared" si="5"/>
        <v>0.49999999999997158</v>
      </c>
      <c r="M11" s="1" t="s">
        <v>21</v>
      </c>
      <c r="N11" s="1"/>
    </row>
    <row r="12" spans="2:20" x14ac:dyDescent="0.2">
      <c r="B12" s="3">
        <v>50</v>
      </c>
      <c r="C12">
        <v>134</v>
      </c>
      <c r="D12">
        <f t="shared" si="0"/>
        <v>2500</v>
      </c>
      <c r="E12">
        <f t="shared" si="0"/>
        <v>17956</v>
      </c>
      <c r="F12">
        <f t="shared" si="1"/>
        <v>6700</v>
      </c>
      <c r="G12" s="3">
        <f t="shared" si="2"/>
        <v>-2.5</v>
      </c>
      <c r="H12" s="4">
        <f t="shared" si="3"/>
        <v>-3.1999999999999886</v>
      </c>
      <c r="I12" s="5">
        <f t="shared" si="4"/>
        <v>6.25</v>
      </c>
      <c r="J12" s="5">
        <f t="shared" si="4"/>
        <v>10.239999999999927</v>
      </c>
      <c r="K12" s="4">
        <f t="shared" si="5"/>
        <v>7.9999999999999716</v>
      </c>
      <c r="L12" t="s">
        <v>22</v>
      </c>
      <c r="M12" s="12">
        <f>MAX(B3:B22)</f>
        <v>70</v>
      </c>
      <c r="N12" s="12"/>
      <c r="P12" s="15" t="s">
        <v>40</v>
      </c>
      <c r="S12" t="s">
        <v>30</v>
      </c>
      <c r="T12" t="s">
        <v>31</v>
      </c>
    </row>
    <row r="13" spans="2:20" x14ac:dyDescent="0.2">
      <c r="B13" s="3">
        <v>60</v>
      </c>
      <c r="C13">
        <v>148</v>
      </c>
      <c r="D13">
        <f t="shared" si="0"/>
        <v>3600</v>
      </c>
      <c r="E13">
        <f t="shared" si="0"/>
        <v>21904</v>
      </c>
      <c r="F13">
        <f t="shared" si="1"/>
        <v>8880</v>
      </c>
      <c r="G13" s="3">
        <f t="shared" si="2"/>
        <v>7.5</v>
      </c>
      <c r="H13" s="4">
        <f t="shared" si="3"/>
        <v>10.800000000000011</v>
      </c>
      <c r="I13" s="5">
        <f t="shared" si="4"/>
        <v>56.25</v>
      </c>
      <c r="J13" s="5">
        <f t="shared" si="4"/>
        <v>116.64000000000024</v>
      </c>
      <c r="K13" s="4">
        <f t="shared" si="5"/>
        <v>81.000000000000085</v>
      </c>
      <c r="L13" t="s">
        <v>23</v>
      </c>
      <c r="M13" s="12">
        <f>MIN(B3:B22)</f>
        <v>30</v>
      </c>
      <c r="N13" s="12"/>
      <c r="P13" t="s">
        <v>29</v>
      </c>
      <c r="R13" s="13">
        <f>S3</f>
        <v>6869.2</v>
      </c>
      <c r="S13">
        <v>19</v>
      </c>
    </row>
    <row r="14" spans="2:20" x14ac:dyDescent="0.2">
      <c r="B14" s="3">
        <v>60</v>
      </c>
      <c r="C14">
        <v>151</v>
      </c>
      <c r="D14">
        <f t="shared" si="0"/>
        <v>3600</v>
      </c>
      <c r="E14">
        <f t="shared" si="0"/>
        <v>22801</v>
      </c>
      <c r="F14">
        <f t="shared" si="1"/>
        <v>9060</v>
      </c>
      <c r="G14" s="3">
        <f t="shared" si="2"/>
        <v>7.5</v>
      </c>
      <c r="H14" s="4">
        <f t="shared" si="3"/>
        <v>13.800000000000011</v>
      </c>
      <c r="I14" s="5">
        <f t="shared" si="4"/>
        <v>56.25</v>
      </c>
      <c r="J14" s="5">
        <f t="shared" si="4"/>
        <v>190.44000000000031</v>
      </c>
      <c r="K14" s="4">
        <f t="shared" si="5"/>
        <v>103.50000000000009</v>
      </c>
      <c r="O14">
        <f>M9*T3</f>
        <v>6750.2893081760976</v>
      </c>
      <c r="P14" t="s">
        <v>27</v>
      </c>
      <c r="R14">
        <f>T3^2/R3</f>
        <v>6750.2893081760976</v>
      </c>
      <c r="S14">
        <v>1</v>
      </c>
      <c r="T14">
        <f>R14/S14</f>
        <v>6750.2893081760976</v>
      </c>
    </row>
    <row r="15" spans="2:20" x14ac:dyDescent="0.2">
      <c r="B15" s="3">
        <v>60</v>
      </c>
      <c r="C15">
        <v>146</v>
      </c>
      <c r="D15">
        <f t="shared" si="0"/>
        <v>3600</v>
      </c>
      <c r="E15">
        <f t="shared" si="0"/>
        <v>21316</v>
      </c>
      <c r="F15">
        <f t="shared" si="1"/>
        <v>8760</v>
      </c>
      <c r="G15" s="3">
        <f t="shared" si="2"/>
        <v>7.5</v>
      </c>
      <c r="H15" s="4">
        <f t="shared" si="3"/>
        <v>8.8000000000000114</v>
      </c>
      <c r="I15" s="5">
        <f t="shared" si="4"/>
        <v>56.25</v>
      </c>
      <c r="J15" s="5">
        <f t="shared" si="4"/>
        <v>77.440000000000197</v>
      </c>
      <c r="K15" s="4">
        <f t="shared" si="5"/>
        <v>66.000000000000085</v>
      </c>
      <c r="P15" t="s">
        <v>28</v>
      </c>
      <c r="R15" s="13">
        <f>S3-R14</f>
        <v>118.9106918239022</v>
      </c>
      <c r="S15">
        <v>18</v>
      </c>
      <c r="T15">
        <f>R15/S15</f>
        <v>6.606149545772344</v>
      </c>
    </row>
    <row r="16" spans="2:20" x14ac:dyDescent="0.2">
      <c r="B16" s="3">
        <v>60</v>
      </c>
      <c r="C16">
        <v>147</v>
      </c>
      <c r="D16">
        <f t="shared" si="0"/>
        <v>3600</v>
      </c>
      <c r="E16">
        <f t="shared" si="0"/>
        <v>21609</v>
      </c>
      <c r="F16">
        <f t="shared" si="1"/>
        <v>8820</v>
      </c>
      <c r="G16" s="3">
        <f t="shared" si="2"/>
        <v>7.5</v>
      </c>
      <c r="H16" s="4">
        <f t="shared" si="3"/>
        <v>9.8000000000000114</v>
      </c>
      <c r="I16" s="5">
        <f t="shared" si="4"/>
        <v>56.25</v>
      </c>
      <c r="J16" s="5">
        <f t="shared" si="4"/>
        <v>96.040000000000219</v>
      </c>
      <c r="K16" s="4">
        <f t="shared" si="5"/>
        <v>73.500000000000085</v>
      </c>
    </row>
    <row r="17" spans="2:20" x14ac:dyDescent="0.2">
      <c r="B17" s="3">
        <v>60</v>
      </c>
      <c r="C17">
        <v>144</v>
      </c>
      <c r="D17">
        <f t="shared" si="0"/>
        <v>3600</v>
      </c>
      <c r="E17">
        <f t="shared" si="0"/>
        <v>20736</v>
      </c>
      <c r="F17">
        <f t="shared" si="1"/>
        <v>8640</v>
      </c>
      <c r="G17" s="3">
        <f t="shared" si="2"/>
        <v>7.5</v>
      </c>
      <c r="H17" s="4">
        <f t="shared" si="3"/>
        <v>6.8000000000000114</v>
      </c>
      <c r="I17" s="5">
        <f t="shared" si="4"/>
        <v>56.25</v>
      </c>
      <c r="J17" s="5">
        <f t="shared" si="4"/>
        <v>46.240000000000151</v>
      </c>
      <c r="K17" s="4">
        <f t="shared" si="5"/>
        <v>51.000000000000085</v>
      </c>
    </row>
    <row r="18" spans="2:20" x14ac:dyDescent="0.2">
      <c r="B18" s="3">
        <v>70</v>
      </c>
      <c r="C18">
        <v>162</v>
      </c>
      <c r="D18">
        <f t="shared" si="0"/>
        <v>4900</v>
      </c>
      <c r="E18">
        <f t="shared" si="0"/>
        <v>26244</v>
      </c>
      <c r="F18">
        <f t="shared" si="1"/>
        <v>11340</v>
      </c>
      <c r="G18" s="3">
        <f t="shared" si="2"/>
        <v>17.5</v>
      </c>
      <c r="H18" s="4">
        <f t="shared" si="3"/>
        <v>24.800000000000011</v>
      </c>
      <c r="I18" s="5">
        <f t="shared" si="4"/>
        <v>306.25</v>
      </c>
      <c r="J18" s="5">
        <f t="shared" si="4"/>
        <v>615.04000000000053</v>
      </c>
      <c r="K18" s="4">
        <f t="shared" si="5"/>
        <v>434.00000000000023</v>
      </c>
      <c r="P18" s="14" t="s">
        <v>47</v>
      </c>
      <c r="Q18" s="14">
        <v>4.41</v>
      </c>
      <c r="S18" t="s">
        <v>32</v>
      </c>
      <c r="T18">
        <f>T14/T15</f>
        <v>1021.8190280745305</v>
      </c>
    </row>
    <row r="19" spans="2:20" x14ac:dyDescent="0.2">
      <c r="B19" s="3">
        <v>70</v>
      </c>
      <c r="C19">
        <v>156</v>
      </c>
      <c r="D19">
        <f t="shared" si="0"/>
        <v>4900</v>
      </c>
      <c r="E19">
        <f t="shared" si="0"/>
        <v>24336</v>
      </c>
      <c r="F19">
        <f t="shared" si="1"/>
        <v>10920</v>
      </c>
      <c r="G19" s="3">
        <f t="shared" si="2"/>
        <v>17.5</v>
      </c>
      <c r="H19" s="4">
        <f t="shared" si="3"/>
        <v>18.800000000000011</v>
      </c>
      <c r="I19" s="5">
        <f t="shared" si="4"/>
        <v>306.25</v>
      </c>
      <c r="J19" s="5">
        <f t="shared" si="4"/>
        <v>353.44000000000045</v>
      </c>
      <c r="K19" s="4">
        <f t="shared" si="5"/>
        <v>329.00000000000023</v>
      </c>
      <c r="S19" t="s">
        <v>33</v>
      </c>
      <c r="T19">
        <f>T14/R13</f>
        <v>0.98268929543121442</v>
      </c>
    </row>
    <row r="20" spans="2:20" x14ac:dyDescent="0.2">
      <c r="B20" s="3">
        <v>70</v>
      </c>
      <c r="C20">
        <v>164</v>
      </c>
      <c r="D20">
        <f t="shared" si="0"/>
        <v>4900</v>
      </c>
      <c r="E20">
        <f t="shared" si="0"/>
        <v>26896</v>
      </c>
      <c r="F20">
        <f t="shared" si="1"/>
        <v>11480</v>
      </c>
      <c r="G20" s="3">
        <f t="shared" si="2"/>
        <v>17.5</v>
      </c>
      <c r="H20" s="4">
        <f t="shared" si="3"/>
        <v>26.800000000000011</v>
      </c>
      <c r="I20" s="5">
        <f t="shared" si="4"/>
        <v>306.25</v>
      </c>
      <c r="J20" s="5">
        <f t="shared" si="4"/>
        <v>718.24000000000058</v>
      </c>
      <c r="K20" s="4">
        <f t="shared" si="5"/>
        <v>469.00000000000023</v>
      </c>
      <c r="S20" t="s">
        <v>34</v>
      </c>
      <c r="T20">
        <f>T15^0.5</f>
        <v>2.5702430907936207</v>
      </c>
    </row>
    <row r="21" spans="2:20" x14ac:dyDescent="0.2">
      <c r="B21" s="3">
        <v>70</v>
      </c>
      <c r="C21">
        <v>158</v>
      </c>
      <c r="D21">
        <f t="shared" si="0"/>
        <v>4900</v>
      </c>
      <c r="E21">
        <f t="shared" si="0"/>
        <v>24964</v>
      </c>
      <c r="F21">
        <f t="shared" si="1"/>
        <v>11060</v>
      </c>
      <c r="G21" s="3">
        <f t="shared" si="2"/>
        <v>17.5</v>
      </c>
      <c r="H21" s="4">
        <f t="shared" si="3"/>
        <v>20.800000000000011</v>
      </c>
      <c r="I21" s="5">
        <f t="shared" si="4"/>
        <v>306.25</v>
      </c>
      <c r="J21" s="5">
        <f t="shared" si="4"/>
        <v>432.6400000000005</v>
      </c>
      <c r="K21" s="4">
        <f t="shared" si="5"/>
        <v>364.00000000000023</v>
      </c>
    </row>
    <row r="22" spans="2:20" x14ac:dyDescent="0.2">
      <c r="B22" s="3">
        <v>70</v>
      </c>
      <c r="C22">
        <v>159</v>
      </c>
      <c r="D22">
        <f t="shared" si="0"/>
        <v>4900</v>
      </c>
      <c r="E22">
        <f t="shared" si="0"/>
        <v>25281</v>
      </c>
      <c r="F22">
        <f t="shared" si="1"/>
        <v>11130</v>
      </c>
      <c r="G22" s="3">
        <f t="shared" si="2"/>
        <v>17.5</v>
      </c>
      <c r="H22" s="4">
        <f t="shared" si="3"/>
        <v>21.800000000000011</v>
      </c>
      <c r="I22" s="5">
        <f t="shared" si="4"/>
        <v>306.25</v>
      </c>
      <c r="J22" s="5">
        <f t="shared" si="4"/>
        <v>475.24000000000052</v>
      </c>
      <c r="K22" s="4">
        <f t="shared" si="5"/>
        <v>381.50000000000023</v>
      </c>
      <c r="S22" t="s">
        <v>35</v>
      </c>
      <c r="T22">
        <f>T15/R3</f>
        <v>1.6619244140307784E-3</v>
      </c>
    </row>
    <row r="23" spans="2:20" x14ac:dyDescent="0.2">
      <c r="M23" t="s">
        <v>43</v>
      </c>
      <c r="N23" t="s">
        <v>44</v>
      </c>
      <c r="S23" t="s">
        <v>17</v>
      </c>
      <c r="T23">
        <f>T22^0.5</f>
        <v>4.0766707176699696E-2</v>
      </c>
    </row>
    <row r="24" spans="2:20" x14ac:dyDescent="0.2">
      <c r="M24">
        <f>M9</f>
        <v>1.30314465408805</v>
      </c>
      <c r="N24">
        <f>Q24*P9</f>
        <v>0.10040132369767585</v>
      </c>
      <c r="P24" s="14" t="s">
        <v>46</v>
      </c>
      <c r="Q24" s="14">
        <v>2.093</v>
      </c>
      <c r="S24" t="s">
        <v>36</v>
      </c>
      <c r="T24">
        <f>M9/T23</f>
        <v>31.965904149179487</v>
      </c>
    </row>
    <row r="29" spans="2:20" x14ac:dyDescent="0.2">
      <c r="B29" t="s">
        <v>26</v>
      </c>
    </row>
    <row r="30" spans="2:20" x14ac:dyDescent="0.2">
      <c r="B30" t="s">
        <v>0</v>
      </c>
      <c r="C30" t="s">
        <v>1</v>
      </c>
      <c r="D30" t="s">
        <v>45</v>
      </c>
    </row>
    <row r="31" spans="2:20" x14ac:dyDescent="0.2">
      <c r="B31">
        <v>30</v>
      </c>
      <c r="C31">
        <f>$N$9+$M$9*B31</f>
        <v>107.87924528301886</v>
      </c>
      <c r="D31">
        <f t="shared" ref="D31:D32" si="6">($T$15*(1/20+(B31-$M$4)^2/$R$3))^0.5</f>
        <v>1.0824309270765036</v>
      </c>
      <c r="E31">
        <f t="shared" ref="E31:E35" si="7">C31-D31*$Q$24</f>
        <v>105.61371735264774</v>
      </c>
      <c r="F31">
        <f t="shared" ref="F31:F32" si="8">C31+D31*$Q$24</f>
        <v>110.14477321338998</v>
      </c>
    </row>
    <row r="32" spans="2:20" x14ac:dyDescent="0.2">
      <c r="B32">
        <v>40</v>
      </c>
      <c r="C32">
        <f t="shared" ref="C32:C35" si="9">$N$9+$M$9*B32</f>
        <v>120.91069182389936</v>
      </c>
      <c r="D32">
        <f t="shared" si="6"/>
        <v>0.76810361734659627</v>
      </c>
      <c r="E32">
        <f t="shared" si="7"/>
        <v>119.30305095279293</v>
      </c>
      <c r="F32">
        <f t="shared" si="8"/>
        <v>122.51833269500578</v>
      </c>
    </row>
    <row r="33" spans="2:19" x14ac:dyDescent="0.2">
      <c r="B33">
        <v>50</v>
      </c>
      <c r="C33">
        <f t="shared" si="9"/>
        <v>133.94213836477985</v>
      </c>
      <c r="D33">
        <f>($T$15*(1/20+(B33-$M$4)^2/$R$3))^0.5</f>
        <v>0.58369041869497018</v>
      </c>
      <c r="E33">
        <f>C33-D33*$Q$24</f>
        <v>132.72047431845127</v>
      </c>
      <c r="F33">
        <f>C33+D33*$Q$24</f>
        <v>135.16380241110843</v>
      </c>
    </row>
    <row r="34" spans="2:19" x14ac:dyDescent="0.2">
      <c r="B34">
        <v>60</v>
      </c>
      <c r="C34">
        <f t="shared" si="9"/>
        <v>146.97358490566035</v>
      </c>
      <c r="D34">
        <f>($T$15*(1/20+(B34-$M$4)^2/$R$3))^0.5</f>
        <v>0.65099210869091839</v>
      </c>
      <c r="E34">
        <f t="shared" si="7"/>
        <v>145.61105842217026</v>
      </c>
      <c r="F34">
        <f t="shared" ref="F34:F35" si="10">C34+D34*$Q$24</f>
        <v>148.33611138915043</v>
      </c>
      <c r="P34" s="16"/>
    </row>
    <row r="35" spans="2:19" x14ac:dyDescent="0.2">
      <c r="B35">
        <v>70</v>
      </c>
      <c r="C35">
        <f t="shared" si="9"/>
        <v>160.00503144654087</v>
      </c>
      <c r="D35">
        <f>($T$15*(1/20+(B35-$M$4)^2/$R$3))^0.5</f>
        <v>0.91611780306112545</v>
      </c>
      <c r="E35">
        <f t="shared" si="7"/>
        <v>158.08759688473393</v>
      </c>
      <c r="F35">
        <f t="shared" si="10"/>
        <v>161.92246600834781</v>
      </c>
    </row>
    <row r="38" spans="2:19" x14ac:dyDescent="0.2">
      <c r="I38">
        <v>30</v>
      </c>
      <c r="K38">
        <v>40</v>
      </c>
      <c r="M38">
        <v>50</v>
      </c>
      <c r="O38">
        <v>60</v>
      </c>
      <c r="Q38">
        <v>70</v>
      </c>
    </row>
    <row r="40" spans="2:19" x14ac:dyDescent="0.2">
      <c r="I40">
        <v>108</v>
      </c>
      <c r="K40">
        <v>125</v>
      </c>
      <c r="M40">
        <v>132</v>
      </c>
      <c r="O40">
        <v>148</v>
      </c>
      <c r="Q40">
        <v>162</v>
      </c>
    </row>
    <row r="41" spans="2:19" x14ac:dyDescent="0.2">
      <c r="I41">
        <v>110</v>
      </c>
      <c r="K41">
        <v>120</v>
      </c>
      <c r="M41">
        <v>137</v>
      </c>
      <c r="O41">
        <v>151</v>
      </c>
      <c r="Q41">
        <v>156</v>
      </c>
    </row>
    <row r="42" spans="2:19" x14ac:dyDescent="0.2">
      <c r="I42">
        <v>106</v>
      </c>
      <c r="K42">
        <v>118</v>
      </c>
      <c r="M42">
        <v>134</v>
      </c>
      <c r="O42">
        <v>146</v>
      </c>
      <c r="Q42">
        <v>164</v>
      </c>
    </row>
    <row r="43" spans="2:19" x14ac:dyDescent="0.2">
      <c r="K43">
        <v>119</v>
      </c>
      <c r="O43">
        <v>147</v>
      </c>
      <c r="Q43">
        <v>158</v>
      </c>
    </row>
    <row r="44" spans="2:19" ht="13.5" thickBot="1" x14ac:dyDescent="0.25">
      <c r="H44" s="23"/>
      <c r="I44" s="23"/>
      <c r="J44" s="23"/>
      <c r="K44" s="23"/>
      <c r="L44" s="23"/>
      <c r="M44" s="23"/>
      <c r="N44" s="23"/>
      <c r="O44" s="23">
        <v>144</v>
      </c>
      <c r="P44" s="23"/>
      <c r="Q44">
        <v>159</v>
      </c>
      <c r="R44" s="23"/>
    </row>
    <row r="45" spans="2:19" x14ac:dyDescent="0.2">
      <c r="H45" t="s">
        <v>15</v>
      </c>
      <c r="I45">
        <f>COUNT(I40:I44)</f>
        <v>3</v>
      </c>
      <c r="K45">
        <f>COUNT(K40:K44)</f>
        <v>4</v>
      </c>
      <c r="M45">
        <f>COUNT(M40:M44)</f>
        <v>3</v>
      </c>
      <c r="O45">
        <f>COUNT(O40:O44)</f>
        <v>5</v>
      </c>
      <c r="Q45">
        <f>COUNT(Q40:Q44)</f>
        <v>5</v>
      </c>
      <c r="S45">
        <f>SUM(I45:Q45)</f>
        <v>20</v>
      </c>
    </row>
    <row r="46" spans="2:19" x14ac:dyDescent="0.2">
      <c r="H46" t="s">
        <v>48</v>
      </c>
      <c r="I46">
        <f>SUM(I40:I44)</f>
        <v>324</v>
      </c>
      <c r="K46">
        <f>SUM(K40:K44)</f>
        <v>482</v>
      </c>
      <c r="M46">
        <f>SUM(M40:M44)</f>
        <v>403</v>
      </c>
      <c r="O46">
        <f>SUM(O40:O44)</f>
        <v>736</v>
      </c>
      <c r="Q46">
        <f>SUM(Q40:Q44)</f>
        <v>799</v>
      </c>
      <c r="S46">
        <f>SUM(I46:Q46)</f>
        <v>2744</v>
      </c>
    </row>
    <row r="47" spans="2:19" x14ac:dyDescent="0.2">
      <c r="H47" t="s">
        <v>49</v>
      </c>
      <c r="I47">
        <f>AVERAGE(I40:I44)</f>
        <v>108</v>
      </c>
      <c r="K47">
        <f>AVERAGE(K40:K44)</f>
        <v>120.5</v>
      </c>
      <c r="M47">
        <f>AVERAGE(M40:M44)</f>
        <v>134.33333333333334</v>
      </c>
      <c r="O47">
        <f>AVERAGE(O40:O44)</f>
        <v>147.19999999999999</v>
      </c>
      <c r="Q47">
        <f>AVERAGE(Q40:Q44)</f>
        <v>159.80000000000001</v>
      </c>
    </row>
    <row r="49" spans="8:23" x14ac:dyDescent="0.2">
      <c r="H49" t="s">
        <v>50</v>
      </c>
      <c r="I49">
        <f>STDEV(I40:I44)</f>
        <v>2</v>
      </c>
      <c r="K49">
        <f>STDEV(K40:K44)</f>
        <v>3.1091263510296048</v>
      </c>
      <c r="M49">
        <f>STDEV(M40:M44)</f>
        <v>2.5166114784235836</v>
      </c>
      <c r="O49">
        <f>STDEV(O40:O44)</f>
        <v>2.5884358211089569</v>
      </c>
      <c r="Q49">
        <f>STDEV(Q40:Q44)</f>
        <v>3.1937438845342623</v>
      </c>
    </row>
    <row r="50" spans="8:23" x14ac:dyDescent="0.2">
      <c r="S50" s="24" t="s">
        <v>52</v>
      </c>
      <c r="V50" s="25" t="s">
        <v>30</v>
      </c>
      <c r="W50" s="25" t="s">
        <v>31</v>
      </c>
    </row>
    <row r="51" spans="8:23" x14ac:dyDescent="0.2">
      <c r="I51">
        <f>I45*(I47-$N$4)^2</f>
        <v>2557.9199999999978</v>
      </c>
      <c r="K51">
        <f>K45*(K47-$N$4)^2</f>
        <v>1115.5599999999986</v>
      </c>
      <c r="M51">
        <f>M45*(M47-$N$4)^2</f>
        <v>24.653333333332977</v>
      </c>
      <c r="O51">
        <f>O45*(O47-$N$4)^2</f>
        <v>500</v>
      </c>
      <c r="Q51">
        <f>Q45*(Q47-$N$4)^2</f>
        <v>2553.8000000000052</v>
      </c>
      <c r="S51" s="24">
        <f>SUM(I51:Q51)</f>
        <v>6751.9333333333343</v>
      </c>
      <c r="V51">
        <v>4</v>
      </c>
      <c r="W51">
        <f>S51/V51</f>
        <v>1687.9833333333336</v>
      </c>
    </row>
    <row r="53" spans="8:23" x14ac:dyDescent="0.2">
      <c r="I53">
        <f>(I40-$I$47)^2</f>
        <v>0</v>
      </c>
      <c r="K53">
        <f>(K40-$K$47)^2</f>
        <v>20.25</v>
      </c>
      <c r="M53">
        <f>(M40-$M$47)^2</f>
        <v>5.4444444444444891</v>
      </c>
      <c r="O53">
        <f>(O40-$O$47)^2</f>
        <v>0.64000000000001822</v>
      </c>
      <c r="Q53">
        <f>(Q40-$Q$47)^2</f>
        <v>4.8399999999999501</v>
      </c>
    </row>
    <row r="54" spans="8:23" x14ac:dyDescent="0.2">
      <c r="I54">
        <f t="shared" ref="I54:I55" si="11">(I41-$I$47)^2</f>
        <v>4</v>
      </c>
      <c r="K54">
        <f t="shared" ref="K54:K57" si="12">(K41-$K$47)^2</f>
        <v>0.25</v>
      </c>
      <c r="M54">
        <f t="shared" ref="M54:M55" si="13">(M41-$M$47)^2</f>
        <v>7.111111111111061</v>
      </c>
      <c r="O54">
        <f t="shared" ref="O54:Q57" si="14">(O41-$O$47)^2</f>
        <v>14.440000000000087</v>
      </c>
      <c r="Q54">
        <f t="shared" ref="Q54:Q57" si="15">(Q41-$Q$47)^2</f>
        <v>14.440000000000087</v>
      </c>
    </row>
    <row r="55" spans="8:23" x14ac:dyDescent="0.2">
      <c r="I55">
        <f t="shared" si="11"/>
        <v>4</v>
      </c>
      <c r="K55">
        <f t="shared" si="12"/>
        <v>6.25</v>
      </c>
      <c r="M55">
        <f t="shared" si="13"/>
        <v>0.11111111111111743</v>
      </c>
      <c r="O55">
        <f t="shared" si="14"/>
        <v>1.4399999999999726</v>
      </c>
      <c r="Q55">
        <f t="shared" si="15"/>
        <v>17.639999999999905</v>
      </c>
    </row>
    <row r="56" spans="8:23" x14ac:dyDescent="0.2">
      <c r="K56">
        <f t="shared" si="12"/>
        <v>2.25</v>
      </c>
      <c r="O56">
        <f t="shared" si="14"/>
        <v>3.9999999999995456E-2</v>
      </c>
      <c r="Q56">
        <f t="shared" si="15"/>
        <v>3.2400000000000411</v>
      </c>
    </row>
    <row r="57" spans="8:23" x14ac:dyDescent="0.2">
      <c r="O57">
        <f t="shared" si="14"/>
        <v>10.239999999999927</v>
      </c>
      <c r="Q57">
        <f t="shared" si="15"/>
        <v>0.64000000000001822</v>
      </c>
    </row>
    <row r="58" spans="8:23" x14ac:dyDescent="0.2">
      <c r="S58" s="24" t="s">
        <v>51</v>
      </c>
    </row>
    <row r="59" spans="8:23" x14ac:dyDescent="0.2">
      <c r="I59">
        <f>SUM(I53:I58)</f>
        <v>8</v>
      </c>
      <c r="K59">
        <f>SUM(K53:K58)</f>
        <v>29</v>
      </c>
      <c r="M59">
        <f>SUM(M53:M58)</f>
        <v>12.666666666666668</v>
      </c>
      <c r="O59">
        <f>SUM(O53:O58)</f>
        <v>26.8</v>
      </c>
      <c r="Q59">
        <f>SUM(Q53:Q58)</f>
        <v>40.799999999999997</v>
      </c>
      <c r="S59" s="24">
        <f>SUM(I59:Q59)</f>
        <v>117.26666666666667</v>
      </c>
      <c r="V59">
        <v>15</v>
      </c>
      <c r="W59">
        <f>S59/V59</f>
        <v>7.8177777777777777</v>
      </c>
    </row>
    <row r="62" spans="8:23" x14ac:dyDescent="0.2">
      <c r="S62" s="25" t="s">
        <v>53</v>
      </c>
    </row>
    <row r="63" spans="8:23" x14ac:dyDescent="0.2">
      <c r="S63">
        <f>S51-R14</f>
        <v>1.6440251572366833</v>
      </c>
      <c r="V63">
        <v>3</v>
      </c>
      <c r="W63">
        <f>S63/V63</f>
        <v>0.5480083857455611</v>
      </c>
    </row>
    <row r="66" spans="19:20" x14ac:dyDescent="0.2">
      <c r="S66" s="25" t="s">
        <v>32</v>
      </c>
      <c r="T66">
        <f>W63/W59</f>
        <v>7.0097718472286102E-2</v>
      </c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17-1</vt:lpstr>
      <vt:lpstr>17-8a</vt:lpstr>
      <vt:lpstr>Sheet3</vt:lpstr>
      <vt:lpstr>Sheet4</vt:lpstr>
    </vt:vector>
  </TitlesOfParts>
  <Company>Ústav chemie, 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Klán</dc:creator>
  <cp:lastModifiedBy>Petr Klán</cp:lastModifiedBy>
  <dcterms:created xsi:type="dcterms:W3CDTF">2010-09-10T08:02:11Z</dcterms:created>
  <dcterms:modified xsi:type="dcterms:W3CDTF">2010-12-14T12:43:48Z</dcterms:modified>
</cp:coreProperties>
</file>