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6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C3" i="1"/>
  <c r="G3" i="1"/>
  <c r="H3" i="1"/>
  <c r="C4" i="1"/>
  <c r="G4" i="1"/>
  <c r="H4" i="1"/>
  <c r="C5" i="1"/>
  <c r="G5" i="1"/>
  <c r="H5" i="1"/>
  <c r="C6" i="1"/>
  <c r="G6" i="1"/>
  <c r="H6" i="1"/>
  <c r="C7" i="1"/>
  <c r="G7" i="1"/>
  <c r="H7" i="1"/>
  <c r="C8" i="1"/>
  <c r="G8" i="1"/>
  <c r="H8" i="1"/>
  <c r="C9" i="1"/>
  <c r="G9" i="1"/>
  <c r="H9" i="1"/>
  <c r="C10" i="1"/>
  <c r="G10" i="1"/>
  <c r="H10" i="1"/>
  <c r="C11" i="1"/>
  <c r="G11" i="1"/>
  <c r="H11" i="1"/>
  <c r="C12" i="1"/>
  <c r="G12" i="1"/>
  <c r="H12" i="1"/>
  <c r="C13" i="1"/>
  <c r="G13" i="1"/>
  <c r="H13" i="1"/>
  <c r="C14" i="1"/>
  <c r="G14" i="1"/>
  <c r="H14" i="1"/>
  <c r="C15" i="1"/>
  <c r="G15" i="1"/>
  <c r="H15" i="1"/>
  <c r="C16" i="1"/>
  <c r="G16" i="1"/>
  <c r="H16" i="1"/>
  <c r="C17" i="1"/>
  <c r="G17" i="1"/>
  <c r="H17" i="1"/>
  <c r="C18" i="1"/>
  <c r="G18" i="1"/>
  <c r="H18" i="1"/>
  <c r="C19" i="1"/>
  <c r="G19" i="1"/>
  <c r="H19" i="1"/>
  <c r="C20" i="1"/>
  <c r="G20" i="1"/>
  <c r="H20" i="1"/>
  <c r="C21" i="1"/>
  <c r="G21" i="1"/>
  <c r="H21" i="1"/>
  <c r="C22" i="1"/>
  <c r="G22" i="1"/>
  <c r="H22" i="1"/>
  <c r="C23" i="1"/>
  <c r="G23" i="1"/>
  <c r="H23" i="1"/>
  <c r="C24" i="1"/>
  <c r="G24" i="1"/>
  <c r="H24" i="1"/>
  <c r="C25" i="1"/>
  <c r="G25" i="1"/>
  <c r="H25" i="1"/>
  <c r="C26" i="1"/>
  <c r="G26" i="1"/>
  <c r="H26" i="1"/>
  <c r="C27" i="1"/>
  <c r="G27" i="1"/>
  <c r="H27" i="1"/>
  <c r="C28" i="1"/>
  <c r="G28" i="1"/>
  <c r="H28" i="1"/>
  <c r="C29" i="1"/>
  <c r="G29" i="1"/>
  <c r="H29" i="1"/>
  <c r="C30" i="1"/>
  <c r="G30" i="1"/>
  <c r="H30" i="1"/>
  <c r="C31" i="1"/>
  <c r="G31" i="1"/>
  <c r="H31" i="1"/>
  <c r="C32" i="1"/>
  <c r="G32" i="1"/>
  <c r="H32" i="1"/>
  <c r="C2" i="1"/>
  <c r="G2" i="1"/>
  <c r="H2" i="1"/>
  <c r="D2" i="1"/>
  <c r="F2" i="1"/>
  <c r="B33" i="1"/>
  <c r="D3" i="1"/>
  <c r="F3" i="1"/>
  <c r="D4" i="1"/>
  <c r="F4" i="1"/>
  <c r="D5" i="1"/>
  <c r="F5" i="1"/>
  <c r="D6" i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F27" i="1"/>
  <c r="D28" i="1"/>
  <c r="F28" i="1"/>
  <c r="D29" i="1"/>
  <c r="F29" i="1"/>
  <c r="D30" i="1"/>
  <c r="F30" i="1"/>
  <c r="D31" i="1"/>
  <c r="F31" i="1"/>
  <c r="D32" i="1"/>
  <c r="F32" i="1"/>
  <c r="E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" i="1"/>
</calcChain>
</file>

<file path=xl/sharedStrings.xml><?xml version="1.0" encoding="utf-8"?>
<sst xmlns="http://schemas.openxmlformats.org/spreadsheetml/2006/main" count="41" uniqueCount="15">
  <si>
    <t>P</t>
  </si>
  <si>
    <t>asymetria</t>
  </si>
  <si>
    <t>variacia</t>
  </si>
  <si>
    <t>Φsp</t>
  </si>
  <si>
    <t>Q</t>
  </si>
  <si>
    <t>p (%)</t>
  </si>
  <si>
    <r>
      <t>k</t>
    </r>
    <r>
      <rPr>
        <vertAlign val="subscript"/>
        <sz val="14"/>
        <color rgb="FF000000"/>
        <rFont val="Calibri"/>
      </rPr>
      <t>i</t>
    </r>
  </si>
  <si>
    <r>
      <t>(k</t>
    </r>
    <r>
      <rPr>
        <vertAlign val="subscript"/>
        <sz val="14"/>
        <color rgb="FF000000"/>
        <rFont val="Calibri"/>
      </rPr>
      <t>i</t>
    </r>
    <r>
      <rPr>
        <sz val="14"/>
        <color rgb="FF000000"/>
        <rFont val="Calibri"/>
      </rPr>
      <t>-1)</t>
    </r>
    <r>
      <rPr>
        <vertAlign val="superscript"/>
        <sz val="14"/>
        <color rgb="FF000000"/>
        <rFont val="Calibri"/>
      </rPr>
      <t>2</t>
    </r>
  </si>
  <si>
    <r>
      <t>(k</t>
    </r>
    <r>
      <rPr>
        <vertAlign val="subscript"/>
        <sz val="14"/>
        <color rgb="FF000000"/>
        <rFont val="Calibri"/>
      </rPr>
      <t>i</t>
    </r>
    <r>
      <rPr>
        <sz val="14"/>
        <color rgb="FF000000"/>
        <rFont val="Calibri"/>
      </rPr>
      <t>-1)</t>
    </r>
    <r>
      <rPr>
        <vertAlign val="superscript"/>
        <sz val="14"/>
        <color rgb="FF000000"/>
        <rFont val="Calibri"/>
      </rPr>
      <t>3</t>
    </r>
  </si>
  <si>
    <r>
      <t>Q</t>
    </r>
    <r>
      <rPr>
        <vertAlign val="subscript"/>
        <sz val="14"/>
        <color rgb="FF000000"/>
        <rFont val="Times New Roman"/>
      </rPr>
      <t>p</t>
    </r>
  </si>
  <si>
    <t>Pv</t>
  </si>
  <si>
    <t>MV</t>
  </si>
  <si>
    <t>V</t>
  </si>
  <si>
    <t>S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</si>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</sst>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rgb="FF000000"/>
      <name val="Calibri"/>
    </font>
    <font>
      <vertAlign val="subscript"/>
      <sz val="14"/>
      <color rgb="FF000000"/>
      <name val="Calibri"/>
    </font>
    <font>
      <vertAlign val="superscript"/>
      <sz val="14"/>
      <color rgb="FF000000"/>
      <name val="Calibri"/>
    </font>
    <font>
      <vertAlign val="subscript"/>
      <sz val="14"/>
      <color rgb="FF000000"/>
      <name val="Times New Roman"/>
    </font>
    <font>
      <sz val="14"/>
      <name val="Arial"/>
    </font>
    <font>
      <sz val="13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1" xfId="0" applyBorder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2" borderId="3" xfId="0" applyFont="1" applyFill="1" applyBorder="1"/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Empirické a teoretické prietoky v</a:t>
            </a:r>
            <a:r>
              <a:rPr lang="en-US" baseline="0"/>
              <a:t> stanici Beroun na rieke Berounka v máji 2005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Empirické prietoky</c:v>
          </c:tx>
          <c:spPr>
            <a:ln w="476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Sheet1!$P$2:$P$32</c:f>
              <c:numCache>
                <c:formatCode>0</c:formatCode>
                <c:ptCount val="31"/>
                <c:pt idx="0">
                  <c:v>2.229299363057325</c:v>
                </c:pt>
                <c:pt idx="1">
                  <c:v>5.414012738853503</c:v>
                </c:pt>
                <c:pt idx="2">
                  <c:v>8.598726114649682</c:v>
                </c:pt>
                <c:pt idx="3">
                  <c:v>11.78343949044586</c:v>
                </c:pt>
                <c:pt idx="4">
                  <c:v>14.96815286624204</c:v>
                </c:pt>
                <c:pt idx="5">
                  <c:v>18.15286624203822</c:v>
                </c:pt>
                <c:pt idx="6">
                  <c:v>21.3375796178344</c:v>
                </c:pt>
                <c:pt idx="7">
                  <c:v>24.52229299363058</c:v>
                </c:pt>
                <c:pt idx="8">
                  <c:v>27.70700636942675</c:v>
                </c:pt>
                <c:pt idx="9">
                  <c:v>30.89171974522293</c:v>
                </c:pt>
                <c:pt idx="10">
                  <c:v>34.07643312101911</c:v>
                </c:pt>
                <c:pt idx="11">
                  <c:v>37.26114649681529</c:v>
                </c:pt>
                <c:pt idx="12">
                  <c:v>40.44585987261146</c:v>
                </c:pt>
                <c:pt idx="13">
                  <c:v>43.63057324840764</c:v>
                </c:pt>
                <c:pt idx="14">
                  <c:v>46.81528662420382</c:v>
                </c:pt>
                <c:pt idx="15">
                  <c:v>50.0</c:v>
                </c:pt>
                <c:pt idx="16">
                  <c:v>53.18471337579618</c:v>
                </c:pt>
                <c:pt idx="17">
                  <c:v>56.36942675159236</c:v>
                </c:pt>
                <c:pt idx="18">
                  <c:v>59.55414012738854</c:v>
                </c:pt>
                <c:pt idx="19">
                  <c:v>62.73885350318471</c:v>
                </c:pt>
                <c:pt idx="20">
                  <c:v>65.92356687898089</c:v>
                </c:pt>
                <c:pt idx="21">
                  <c:v>69.10828025477707</c:v>
                </c:pt>
                <c:pt idx="22">
                  <c:v>72.29299363057324</c:v>
                </c:pt>
                <c:pt idx="23">
                  <c:v>75.47770700636943</c:v>
                </c:pt>
                <c:pt idx="24">
                  <c:v>78.66242038216561</c:v>
                </c:pt>
                <c:pt idx="25">
                  <c:v>81.84713375796178</c:v>
                </c:pt>
                <c:pt idx="26">
                  <c:v>85.03184713375796</c:v>
                </c:pt>
                <c:pt idx="27">
                  <c:v>88.21656050955414</c:v>
                </c:pt>
                <c:pt idx="28">
                  <c:v>91.4012738853503</c:v>
                </c:pt>
                <c:pt idx="29">
                  <c:v>94.5859872611465</c:v>
                </c:pt>
                <c:pt idx="30">
                  <c:v>97.77070063694268</c:v>
                </c:pt>
              </c:numCache>
            </c:numRef>
          </c:xVal>
          <c:yVal>
            <c:numRef>
              <c:f>Sheet1!$Q$2:$Q$32</c:f>
              <c:numCache>
                <c:formatCode>General</c:formatCode>
                <c:ptCount val="31"/>
                <c:pt idx="0">
                  <c:v>107.0</c:v>
                </c:pt>
                <c:pt idx="1">
                  <c:v>75.0</c:v>
                </c:pt>
                <c:pt idx="2">
                  <c:v>50.8</c:v>
                </c:pt>
                <c:pt idx="3">
                  <c:v>46.4</c:v>
                </c:pt>
                <c:pt idx="4">
                  <c:v>38.7</c:v>
                </c:pt>
                <c:pt idx="5">
                  <c:v>38.6</c:v>
                </c:pt>
                <c:pt idx="6">
                  <c:v>37.4</c:v>
                </c:pt>
                <c:pt idx="7">
                  <c:v>34.2</c:v>
                </c:pt>
                <c:pt idx="8">
                  <c:v>32.7</c:v>
                </c:pt>
                <c:pt idx="9">
                  <c:v>30.9</c:v>
                </c:pt>
                <c:pt idx="10">
                  <c:v>30.5</c:v>
                </c:pt>
                <c:pt idx="11">
                  <c:v>30.2</c:v>
                </c:pt>
                <c:pt idx="12">
                  <c:v>29.3</c:v>
                </c:pt>
                <c:pt idx="13">
                  <c:v>29.1</c:v>
                </c:pt>
                <c:pt idx="14">
                  <c:v>28.1</c:v>
                </c:pt>
                <c:pt idx="15">
                  <c:v>26.1</c:v>
                </c:pt>
                <c:pt idx="16">
                  <c:v>26.1</c:v>
                </c:pt>
                <c:pt idx="17">
                  <c:v>25.6</c:v>
                </c:pt>
                <c:pt idx="18">
                  <c:v>24.8</c:v>
                </c:pt>
                <c:pt idx="19">
                  <c:v>24.8</c:v>
                </c:pt>
                <c:pt idx="20">
                  <c:v>24.8</c:v>
                </c:pt>
                <c:pt idx="21">
                  <c:v>24.5</c:v>
                </c:pt>
                <c:pt idx="22">
                  <c:v>24.1</c:v>
                </c:pt>
                <c:pt idx="23">
                  <c:v>23.9</c:v>
                </c:pt>
                <c:pt idx="24">
                  <c:v>23.4</c:v>
                </c:pt>
                <c:pt idx="25">
                  <c:v>23.1</c:v>
                </c:pt>
                <c:pt idx="26">
                  <c:v>22.7</c:v>
                </c:pt>
                <c:pt idx="27">
                  <c:v>22.3</c:v>
                </c:pt>
                <c:pt idx="28">
                  <c:v>21.9</c:v>
                </c:pt>
                <c:pt idx="29">
                  <c:v>21.8</c:v>
                </c:pt>
                <c:pt idx="30">
                  <c:v>21.5</c:v>
                </c:pt>
              </c:numCache>
            </c:numRef>
          </c:yVal>
          <c:smooth val="0"/>
        </c:ser>
        <c:ser>
          <c:idx val="1"/>
          <c:order val="1"/>
          <c:tx>
            <c:v>Teoretické prietoky</c:v>
          </c:tx>
          <c:spPr>
            <a:ln w="4762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Sheet1!$P$2:$P$32</c:f>
              <c:numCache>
                <c:formatCode>0</c:formatCode>
                <c:ptCount val="31"/>
                <c:pt idx="0">
                  <c:v>2.229299363057325</c:v>
                </c:pt>
                <c:pt idx="1">
                  <c:v>5.414012738853503</c:v>
                </c:pt>
                <c:pt idx="2">
                  <c:v>8.598726114649682</c:v>
                </c:pt>
                <c:pt idx="3">
                  <c:v>11.78343949044586</c:v>
                </c:pt>
                <c:pt idx="4">
                  <c:v>14.96815286624204</c:v>
                </c:pt>
                <c:pt idx="5">
                  <c:v>18.15286624203822</c:v>
                </c:pt>
                <c:pt idx="6">
                  <c:v>21.3375796178344</c:v>
                </c:pt>
                <c:pt idx="7">
                  <c:v>24.52229299363058</c:v>
                </c:pt>
                <c:pt idx="8">
                  <c:v>27.70700636942675</c:v>
                </c:pt>
                <c:pt idx="9">
                  <c:v>30.89171974522293</c:v>
                </c:pt>
                <c:pt idx="10">
                  <c:v>34.07643312101911</c:v>
                </c:pt>
                <c:pt idx="11">
                  <c:v>37.26114649681529</c:v>
                </c:pt>
                <c:pt idx="12">
                  <c:v>40.44585987261146</c:v>
                </c:pt>
                <c:pt idx="13">
                  <c:v>43.63057324840764</c:v>
                </c:pt>
                <c:pt idx="14">
                  <c:v>46.81528662420382</c:v>
                </c:pt>
                <c:pt idx="15">
                  <c:v>50.0</c:v>
                </c:pt>
                <c:pt idx="16">
                  <c:v>53.18471337579618</c:v>
                </c:pt>
                <c:pt idx="17">
                  <c:v>56.36942675159236</c:v>
                </c:pt>
                <c:pt idx="18">
                  <c:v>59.55414012738854</c:v>
                </c:pt>
                <c:pt idx="19">
                  <c:v>62.73885350318471</c:v>
                </c:pt>
                <c:pt idx="20">
                  <c:v>65.92356687898089</c:v>
                </c:pt>
                <c:pt idx="21">
                  <c:v>69.10828025477707</c:v>
                </c:pt>
                <c:pt idx="22">
                  <c:v>72.29299363057324</c:v>
                </c:pt>
                <c:pt idx="23">
                  <c:v>75.47770700636943</c:v>
                </c:pt>
                <c:pt idx="24">
                  <c:v>78.66242038216561</c:v>
                </c:pt>
                <c:pt idx="25">
                  <c:v>81.84713375796178</c:v>
                </c:pt>
                <c:pt idx="26">
                  <c:v>85.03184713375796</c:v>
                </c:pt>
                <c:pt idx="27">
                  <c:v>88.21656050955414</c:v>
                </c:pt>
                <c:pt idx="28">
                  <c:v>91.4012738853503</c:v>
                </c:pt>
                <c:pt idx="29">
                  <c:v>94.5859872611465</c:v>
                </c:pt>
                <c:pt idx="30">
                  <c:v>97.77070063694268</c:v>
                </c:pt>
              </c:numCache>
            </c:numRef>
          </c:xVal>
          <c:yVal>
            <c:numRef>
              <c:f>Sheet1!$R$2:$R$32</c:f>
              <c:numCache>
                <c:formatCode>General</c:formatCode>
                <c:ptCount val="31"/>
                <c:pt idx="0">
                  <c:v>87.6467561310191</c:v>
                </c:pt>
                <c:pt idx="1">
                  <c:v>77.51174746318469</c:v>
                </c:pt>
                <c:pt idx="2">
                  <c:v>70.79362164152864</c:v>
                </c:pt>
                <c:pt idx="3">
                  <c:v>65.2473131763057</c:v>
                </c:pt>
                <c:pt idx="4">
                  <c:v>60.62171834828023</c:v>
                </c:pt>
                <c:pt idx="5">
                  <c:v>55.99612352025477</c:v>
                </c:pt>
                <c:pt idx="6">
                  <c:v>49.79782645070062</c:v>
                </c:pt>
                <c:pt idx="7">
                  <c:v>41.42770247617834</c:v>
                </c:pt>
                <c:pt idx="8">
                  <c:v>38.58075899273885</c:v>
                </c:pt>
                <c:pt idx="9">
                  <c:v>33.02784253490446</c:v>
                </c:pt>
                <c:pt idx="10">
                  <c:v>31.59611080242038</c:v>
                </c:pt>
                <c:pt idx="11">
                  <c:v>30.1643790699363</c:v>
                </c:pt>
                <c:pt idx="12">
                  <c:v>28.80203125987261</c:v>
                </c:pt>
                <c:pt idx="13">
                  <c:v>27.8658989732484</c:v>
                </c:pt>
                <c:pt idx="14">
                  <c:v>26.9297666866242</c:v>
                </c:pt>
                <c:pt idx="15">
                  <c:v>25.9936344</c:v>
                </c:pt>
                <c:pt idx="16">
                  <c:v>25.44296834904458</c:v>
                </c:pt>
                <c:pt idx="17">
                  <c:v>24.89230229808917</c:v>
                </c:pt>
                <c:pt idx="18">
                  <c:v>24.34163624713376</c:v>
                </c:pt>
                <c:pt idx="19">
                  <c:v>23.93304203732484</c:v>
                </c:pt>
                <c:pt idx="20">
                  <c:v>23.54757580165605</c:v>
                </c:pt>
                <c:pt idx="21">
                  <c:v>23.16210956598726</c:v>
                </c:pt>
                <c:pt idx="22">
                  <c:v>22.73699537464968</c:v>
                </c:pt>
                <c:pt idx="23">
                  <c:v>22.34602247847133</c:v>
                </c:pt>
                <c:pt idx="24">
                  <c:v>22.23588926828025</c:v>
                </c:pt>
                <c:pt idx="25">
                  <c:v>22.09381742713375</c:v>
                </c:pt>
                <c:pt idx="26">
                  <c:v>21.92861761184713</c:v>
                </c:pt>
                <c:pt idx="27">
                  <c:v>21.76341779656051</c:v>
                </c:pt>
                <c:pt idx="28">
                  <c:v>21.62244728751592</c:v>
                </c:pt>
                <c:pt idx="29">
                  <c:v>21.51231407732484</c:v>
                </c:pt>
                <c:pt idx="30">
                  <c:v>21.5646273521656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786328"/>
        <c:axId val="398793240"/>
      </c:scatterChart>
      <c:valAx>
        <c:axId val="398786328"/>
        <c:scaling>
          <c:orientation val="minMax"/>
          <c:max val="10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pravdepodobnosť prekročenia 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398793240"/>
        <c:crosses val="autoZero"/>
        <c:crossBetween val="midCat"/>
      </c:valAx>
      <c:valAx>
        <c:axId val="3987932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prietok</a:t>
                </a: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effectLst/>
                  </a:rPr>
                  <a:t>m</a:t>
                </a:r>
                <a:r>
                  <a:rPr lang="en-US" sz="1400" baseline="30000">
                    <a:effectLst/>
                  </a:rPr>
                  <a:t>3</a:t>
                </a:r>
                <a:r>
                  <a:rPr lang="en-US" sz="1400">
                    <a:effectLst/>
                  </a:rPr>
                  <a:t>/s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398786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3522247466102"/>
          <c:y val="0.180142895154376"/>
          <c:w val="0.146245059288538"/>
          <c:h val="0.100540242231924"/>
        </c:manualLayout>
      </c:layout>
      <c:overlay val="1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36</xdr:row>
      <xdr:rowOff>31750</xdr:rowOff>
    </xdr:from>
    <xdr:to>
      <xdr:col>21</xdr:col>
      <xdr:colOff>787400</xdr:colOff>
      <xdr:row>62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2" workbookViewId="0">
      <selection activeCell="B33" sqref="B33"/>
    </sheetView>
  </sheetViews>
  <sheetFormatPr baseColWidth="10" defaultRowHeight="15" x14ac:dyDescent="0"/>
  <sheetData>
    <row r="1" spans="1:18" ht="20">
      <c r="A1" s="4"/>
      <c r="B1" s="5" t="s">
        <v>4</v>
      </c>
      <c r="C1" s="6" t="s">
        <v>5</v>
      </c>
      <c r="D1" s="6" t="s">
        <v>6</v>
      </c>
      <c r="E1" s="6" t="s">
        <v>7</v>
      </c>
      <c r="F1" s="6" t="s">
        <v>8</v>
      </c>
      <c r="G1" s="6" t="s">
        <v>3</v>
      </c>
      <c r="H1" s="6" t="s">
        <v>9</v>
      </c>
      <c r="I1" s="7" t="s">
        <v>10</v>
      </c>
    </row>
    <row r="2" spans="1:18" ht="16">
      <c r="A2" s="8">
        <v>1</v>
      </c>
      <c r="B2" s="9">
        <v>24.8</v>
      </c>
      <c r="C2" s="10">
        <f>(1- 0.3)/(31+0.4)*100</f>
        <v>2.2292993630573248</v>
      </c>
      <c r="D2" s="10">
        <f>B2/32.91</f>
        <v>0.75357034336068074</v>
      </c>
      <c r="E2" s="11">
        <f>(D2-1)*(D2-1)</f>
        <v>6.072757567137279E-2</v>
      </c>
      <c r="F2" s="12">
        <f>(D2-1)*(D2-1)*(D2-1)</f>
        <v>-1.4965075621234674E-2</v>
      </c>
      <c r="G2" s="9">
        <f>4.02-(((4.02-2.63)/(3-1))*(C2-1))</f>
        <v>3.1656369426751589</v>
      </c>
      <c r="H2" s="13">
        <f>32.91*(1+0.5254*G2)</f>
        <v>87.646756131019103</v>
      </c>
      <c r="I2" s="14" t="s">
        <v>11</v>
      </c>
      <c r="P2" s="3">
        <f>(1- 0.3)/(31+0.4)*100</f>
        <v>2.2292993630573248</v>
      </c>
      <c r="Q2">
        <v>107</v>
      </c>
      <c r="R2">
        <v>87.646756131019103</v>
      </c>
    </row>
    <row r="3" spans="1:18" ht="16">
      <c r="A3" s="8">
        <v>2</v>
      </c>
      <c r="B3" s="9">
        <v>24.8</v>
      </c>
      <c r="C3" s="10">
        <f>(2- 0.3)/(31+0.4)*100</f>
        <v>5.4140127388535033</v>
      </c>
      <c r="D3" s="10">
        <f>B3/B33</f>
        <v>0.75350387141036945</v>
      </c>
      <c r="E3" s="11">
        <f>(D3-1)*(D3-1)</f>
        <v>6.0760341409675678E-2</v>
      </c>
      <c r="F3" s="12">
        <f t="shared" ref="F3:F32" si="0">(D3-1)*(D3-1)*(D3-1)</f>
        <v>-1.497718892926927E-2</v>
      </c>
      <c r="G3" s="9">
        <f>2.63-(((2.63-2.02)/(10-5))*(C3-5))</f>
        <v>2.5794904458598724</v>
      </c>
      <c r="H3" s="13">
        <f t="shared" ref="H3:H32" si="1">32.91*(1+0.5254*G3)</f>
        <v>77.51174746318469</v>
      </c>
      <c r="I3" s="15" t="s">
        <v>11</v>
      </c>
      <c r="P3" s="3">
        <f>(2- 0.3)/(31+0.4)*100</f>
        <v>5.4140127388535033</v>
      </c>
      <c r="Q3">
        <v>75</v>
      </c>
      <c r="R3">
        <v>77.51174746318469</v>
      </c>
    </row>
    <row r="4" spans="1:18" ht="16">
      <c r="A4" s="8">
        <v>3</v>
      </c>
      <c r="B4" s="9">
        <v>23.9</v>
      </c>
      <c r="C4" s="10">
        <f>(3- 0.3)/(31+0.4)*100</f>
        <v>8.5987261146496827</v>
      </c>
      <c r="D4" s="10">
        <f t="shared" ref="D4:D32" si="2">B4/32.91</f>
        <v>0.72622303251291409</v>
      </c>
      <c r="E4" s="11">
        <f t="shared" ref="E4:E32" si="3">(D4-1)*(D4-1)</f>
        <v>7.4953827926424896E-2</v>
      </c>
      <c r="F4" s="12">
        <f t="shared" si="0"/>
        <v>-2.0520631711245459E-2</v>
      </c>
      <c r="G4" s="9">
        <f>2.63-(((2.63-2.02)/(10-5))*(C4-5))</f>
        <v>2.1909554140127385</v>
      </c>
      <c r="H4" s="13">
        <f t="shared" si="1"/>
        <v>70.793621641528645</v>
      </c>
      <c r="I4" s="15" t="s">
        <v>11</v>
      </c>
      <c r="P4" s="3">
        <f>(3- 0.3)/(31+0.4)*100</f>
        <v>8.5987261146496827</v>
      </c>
      <c r="Q4">
        <v>50.8</v>
      </c>
      <c r="R4">
        <v>70.793621641528645</v>
      </c>
    </row>
    <row r="5" spans="1:18" ht="16">
      <c r="A5" s="8">
        <v>4</v>
      </c>
      <c r="B5" s="9">
        <v>23.4</v>
      </c>
      <c r="C5" s="10">
        <f>(4- 0.3)/(31+0.4)*100</f>
        <v>11.783439490445861</v>
      </c>
      <c r="D5" s="10">
        <f t="shared" si="2"/>
        <v>0.71103008204193252</v>
      </c>
      <c r="E5" s="11">
        <f t="shared" si="3"/>
        <v>8.3503613484692249E-2</v>
      </c>
      <c r="F5" s="12">
        <f t="shared" si="0"/>
        <v>-2.4130032337873697E-2</v>
      </c>
      <c r="G5" s="9">
        <f>2.02-(((2.02-1.18)/(20-10))*(C5-10))</f>
        <v>1.8701910828025476</v>
      </c>
      <c r="H5" s="13">
        <f t="shared" si="1"/>
        <v>65.24731317630571</v>
      </c>
      <c r="I5" s="15" t="s">
        <v>12</v>
      </c>
      <c r="P5" s="3">
        <f>(4- 0.3)/(31+0.4)*100</f>
        <v>11.783439490445861</v>
      </c>
      <c r="Q5">
        <v>46.4</v>
      </c>
      <c r="R5">
        <v>65.24731317630571</v>
      </c>
    </row>
    <row r="6" spans="1:18" ht="16">
      <c r="A6" s="8">
        <v>5</v>
      </c>
      <c r="B6" s="9">
        <v>24.8</v>
      </c>
      <c r="C6" s="10">
        <f>(5- 0.3)/(31+0.4)*100</f>
        <v>14.96815286624204</v>
      </c>
      <c r="D6" s="10">
        <f t="shared" si="2"/>
        <v>0.75357034336068074</v>
      </c>
      <c r="E6" s="11">
        <f t="shared" si="3"/>
        <v>6.072757567137279E-2</v>
      </c>
      <c r="F6" s="12">
        <f t="shared" si="0"/>
        <v>-1.4965075621234674E-2</v>
      </c>
      <c r="G6" s="9">
        <f>2.02-(((2.02-1.18)/(20-10))*(C6-10))</f>
        <v>1.6026751592356687</v>
      </c>
      <c r="H6" s="13">
        <f t="shared" si="1"/>
        <v>60.62171834828024</v>
      </c>
      <c r="I6" s="15" t="s">
        <v>12</v>
      </c>
      <c r="P6" s="3">
        <f>(5- 0.3)/(31+0.4)*100</f>
        <v>14.96815286624204</v>
      </c>
      <c r="Q6">
        <v>38.700000000000003</v>
      </c>
      <c r="R6">
        <v>60.62171834828024</v>
      </c>
    </row>
    <row r="7" spans="1:18" ht="16">
      <c r="A7" s="8">
        <v>6</v>
      </c>
      <c r="B7" s="9">
        <v>25.6</v>
      </c>
      <c r="C7" s="10">
        <f>(6- 0.3)/(31+0.4)*100</f>
        <v>18.152866242038218</v>
      </c>
      <c r="D7" s="10">
        <f t="shared" si="2"/>
        <v>0.77787906411425112</v>
      </c>
      <c r="E7" s="11">
        <f t="shared" si="3"/>
        <v>4.9337710158760963E-2</v>
      </c>
      <c r="F7" s="12">
        <f t="shared" si="0"/>
        <v>-1.0958938354923805E-2</v>
      </c>
      <c r="G7" s="9">
        <f>2.02-(((2.02-1.18)/(20-10))*(C7-10))</f>
        <v>1.3351592356687898</v>
      </c>
      <c r="H7" s="13">
        <f t="shared" si="1"/>
        <v>55.99612352025477</v>
      </c>
      <c r="I7" s="15" t="s">
        <v>12</v>
      </c>
      <c r="P7" s="3">
        <f>(6- 0.3)/(31+0.4)*100</f>
        <v>18.152866242038218</v>
      </c>
      <c r="Q7">
        <v>38.6</v>
      </c>
      <c r="R7">
        <v>55.99612352025477</v>
      </c>
    </row>
    <row r="8" spans="1:18" ht="16">
      <c r="A8" s="8">
        <v>7</v>
      </c>
      <c r="B8" s="9">
        <v>26.1</v>
      </c>
      <c r="C8" s="10">
        <f>(7- 0.3)/(31+0.4)*100</f>
        <v>21.337579617834397</v>
      </c>
      <c r="D8" s="10">
        <f t="shared" si="2"/>
        <v>0.79307201458523258</v>
      </c>
      <c r="E8" s="11">
        <f t="shared" si="3"/>
        <v>4.2819191147814198E-2</v>
      </c>
      <c r="F8" s="12">
        <f t="shared" si="0"/>
        <v>-8.8604889613070354E-3</v>
      </c>
      <c r="G8" s="9">
        <f>1.18-(((1.18-0.42)/(25-20))*(C8-20))</f>
        <v>0.97668789808917156</v>
      </c>
      <c r="H8" s="13">
        <f t="shared" si="1"/>
        <v>49.797826450700619</v>
      </c>
      <c r="I8" s="15" t="s">
        <v>12</v>
      </c>
      <c r="P8" s="3">
        <f>(7- 0.3)/(31+0.4)*100</f>
        <v>21.337579617834397</v>
      </c>
      <c r="Q8">
        <v>37.4</v>
      </c>
      <c r="R8">
        <v>49.797826450700619</v>
      </c>
    </row>
    <row r="9" spans="1:18" ht="16">
      <c r="A9" s="8">
        <v>8</v>
      </c>
      <c r="B9" s="9">
        <v>28.1</v>
      </c>
      <c r="C9" s="10">
        <f>(8- 0.3)/(31+0.4)*100</f>
        <v>24.522292993630575</v>
      </c>
      <c r="D9" s="10">
        <f t="shared" si="2"/>
        <v>0.85384381646915841</v>
      </c>
      <c r="E9" s="11">
        <f t="shared" si="3"/>
        <v>2.136162998430105E-2</v>
      </c>
      <c r="F9" s="12">
        <f t="shared" si="0"/>
        <v>-3.1221343125034332E-3</v>
      </c>
      <c r="G9" s="9">
        <f>1.18-(((1.18-0.42)/(25-20))*(C9-20))</f>
        <v>0.49261146496815245</v>
      </c>
      <c r="H9" s="13">
        <f t="shared" si="1"/>
        <v>41.427702476178339</v>
      </c>
      <c r="I9" s="15" t="s">
        <v>12</v>
      </c>
      <c r="P9" s="3">
        <f>(8- 0.3)/(31+0.4)*100</f>
        <v>24.522292993630575</v>
      </c>
      <c r="Q9">
        <v>34.200000000000003</v>
      </c>
      <c r="R9">
        <v>41.427702476178339</v>
      </c>
    </row>
    <row r="10" spans="1:18" ht="16">
      <c r="A10" s="8">
        <v>9</v>
      </c>
      <c r="B10" s="9">
        <v>32.700000000000003</v>
      </c>
      <c r="C10" s="10">
        <f>(9- 0.3)/(31+0.4)*100</f>
        <v>27.70700636942675</v>
      </c>
      <c r="D10" s="10">
        <f t="shared" si="2"/>
        <v>0.99361896080218792</v>
      </c>
      <c r="E10" s="11">
        <f t="shared" si="3"/>
        <v>4.0717661244014198E-5</v>
      </c>
      <c r="F10" s="12">
        <f t="shared" si="0"/>
        <v>-2.5982099244128829E-7</v>
      </c>
      <c r="G10" s="9">
        <f>0.42-(((0.42-0.25)/(30-25))*(C10-25))</f>
        <v>0.32796178343949051</v>
      </c>
      <c r="H10" s="13">
        <f t="shared" si="1"/>
        <v>38.580758992738851</v>
      </c>
      <c r="I10" s="15" t="s">
        <v>12</v>
      </c>
      <c r="M10" s="1"/>
      <c r="P10" s="3">
        <f>(9- 0.3)/(31+0.4)*100</f>
        <v>27.70700636942675</v>
      </c>
      <c r="Q10">
        <v>32.700000000000003</v>
      </c>
      <c r="R10">
        <v>38.580758992738851</v>
      </c>
    </row>
    <row r="11" spans="1:18" ht="16">
      <c r="A11" s="8">
        <v>10</v>
      </c>
      <c r="B11" s="9">
        <v>30.5</v>
      </c>
      <c r="C11" s="10">
        <f>(10- 0.3)/(31+0.4)*100</f>
        <v>30.891719745222929</v>
      </c>
      <c r="D11" s="10">
        <f t="shared" si="2"/>
        <v>0.92676997872986944</v>
      </c>
      <c r="E11" s="11">
        <f t="shared" si="3"/>
        <v>5.362636015223775E-3</v>
      </c>
      <c r="F11" s="12">
        <f t="shared" si="0"/>
        <v>-3.9270594945880523E-4</v>
      </c>
      <c r="G11" s="9">
        <f>0.03-(((0.03+0.23)/(40-30))*(C11-30))</f>
        <v>6.8152866242038451E-3</v>
      </c>
      <c r="H11" s="13">
        <f t="shared" si="1"/>
        <v>33.027842534904458</v>
      </c>
      <c r="I11" s="15" t="s">
        <v>12</v>
      </c>
      <c r="P11" s="3">
        <f>(10- 0.3)/(31+0.4)*100</f>
        <v>30.891719745222929</v>
      </c>
      <c r="Q11">
        <v>30.9</v>
      </c>
      <c r="R11">
        <v>33.027842534904458</v>
      </c>
    </row>
    <row r="12" spans="1:18" ht="16">
      <c r="A12" s="8">
        <v>11</v>
      </c>
      <c r="B12" s="9">
        <v>26.1</v>
      </c>
      <c r="C12" s="10">
        <f>(11- 0.3)/(31+0.4)*100</f>
        <v>34.076433121019107</v>
      </c>
      <c r="D12" s="10">
        <f t="shared" si="2"/>
        <v>0.79307201458523258</v>
      </c>
      <c r="E12" s="11">
        <f t="shared" si="3"/>
        <v>4.2819191147814198E-2</v>
      </c>
      <c r="F12" s="12">
        <f t="shared" si="0"/>
        <v>-8.8604889613070354E-3</v>
      </c>
      <c r="G12" s="9">
        <f>0.03-(((0.03+0.23)/(40-30))*(C12-30))</f>
        <v>-7.5987261146496801E-2</v>
      </c>
      <c r="H12" s="13">
        <f t="shared" si="1"/>
        <v>31.59611080242038</v>
      </c>
      <c r="I12" s="15" t="s">
        <v>12</v>
      </c>
      <c r="P12" s="3">
        <f>(11- 0.3)/(31+0.4)*100</f>
        <v>34.076433121019107</v>
      </c>
      <c r="Q12">
        <v>30.5</v>
      </c>
      <c r="R12">
        <v>31.59611080242038</v>
      </c>
    </row>
    <row r="13" spans="1:18" ht="16">
      <c r="A13" s="8">
        <v>12</v>
      </c>
      <c r="B13" s="9">
        <v>24.1</v>
      </c>
      <c r="C13" s="10">
        <f>(12- 0.3)/(31+0.4)*100</f>
        <v>37.261146496815286</v>
      </c>
      <c r="D13" s="10">
        <f t="shared" si="2"/>
        <v>0.73230021270130674</v>
      </c>
      <c r="E13" s="11">
        <f t="shared" si="3"/>
        <v>7.1663176119765609E-2</v>
      </c>
      <c r="F13" s="12">
        <f t="shared" si="0"/>
        <v>-1.9184217004410049E-2</v>
      </c>
      <c r="G13" s="9">
        <f>0.03-(((0.03+0.23)/(40-30))*(C13-30))</f>
        <v>-0.15878980891719746</v>
      </c>
      <c r="H13" s="13">
        <f t="shared" si="1"/>
        <v>30.164379069936302</v>
      </c>
      <c r="I13" s="15" t="s">
        <v>12</v>
      </c>
      <c r="P13" s="3">
        <f>(12- 0.3)/(31+0.4)*100</f>
        <v>37.261146496815286</v>
      </c>
      <c r="Q13">
        <v>30.2</v>
      </c>
      <c r="R13">
        <v>30.164379069936302</v>
      </c>
    </row>
    <row r="14" spans="1:18" ht="16">
      <c r="A14" s="8">
        <v>13</v>
      </c>
      <c r="B14" s="9">
        <v>23.1</v>
      </c>
      <c r="C14" s="10">
        <f>(13- 0.3)/(31+0.4)*100</f>
        <v>40.445859872611464</v>
      </c>
      <c r="D14" s="10">
        <f t="shared" si="2"/>
        <v>0.70191431175934382</v>
      </c>
      <c r="E14" s="11">
        <f t="shared" si="3"/>
        <v>8.8855077533905674E-2</v>
      </c>
      <c r="F14" s="12">
        <f t="shared" si="0"/>
        <v>-2.6486426940371139E-2</v>
      </c>
      <c r="G14" s="9">
        <f t="shared" ref="G14:G16" si="4">-0.23-(((-0.23+0.4)/(50-40))*(C14-40))</f>
        <v>-0.23757961783439491</v>
      </c>
      <c r="H14" s="13">
        <f t="shared" si="1"/>
        <v>28.802031259872606</v>
      </c>
      <c r="I14" s="15" t="s">
        <v>0</v>
      </c>
      <c r="P14" s="3">
        <f>(13- 0.3)/(31+0.4)*100</f>
        <v>40.445859872611464</v>
      </c>
      <c r="Q14">
        <v>29.3</v>
      </c>
      <c r="R14">
        <v>28.802031259872606</v>
      </c>
    </row>
    <row r="15" spans="1:18" ht="16">
      <c r="A15" s="8">
        <v>14</v>
      </c>
      <c r="B15" s="9">
        <v>22.3</v>
      </c>
      <c r="C15" s="10">
        <f>(14- 0.3)/(31+0.4)*100</f>
        <v>43.630573248407643</v>
      </c>
      <c r="D15" s="10">
        <f t="shared" si="2"/>
        <v>0.67760559100577344</v>
      </c>
      <c r="E15" s="11">
        <f t="shared" si="3"/>
        <v>0.10393815495073663</v>
      </c>
      <c r="F15" s="12">
        <f t="shared" si="0"/>
        <v>-3.3509080037293082E-2</v>
      </c>
      <c r="G15" s="9">
        <f t="shared" si="4"/>
        <v>-0.29171974522292993</v>
      </c>
      <c r="H15" s="13">
        <f t="shared" si="1"/>
        <v>27.865898973248402</v>
      </c>
      <c r="I15" s="15" t="s">
        <v>0</v>
      </c>
      <c r="P15" s="3">
        <f>(14- 0.3)/(31+0.4)*100</f>
        <v>43.630573248407643</v>
      </c>
      <c r="Q15">
        <v>29.1</v>
      </c>
      <c r="R15">
        <v>27.865898973248402</v>
      </c>
    </row>
    <row r="16" spans="1:18" ht="16">
      <c r="A16" s="8">
        <v>15</v>
      </c>
      <c r="B16" s="9">
        <v>21.9</v>
      </c>
      <c r="C16" s="10">
        <f>(15- 0.3)/(31+0.4)*100</f>
        <v>46.815286624203821</v>
      </c>
      <c r="D16" s="10">
        <f t="shared" si="2"/>
        <v>0.66545123062898814</v>
      </c>
      <c r="E16" s="11">
        <f t="shared" si="3"/>
        <v>0.11192287908765848</v>
      </c>
      <c r="F16" s="12">
        <f t="shared" si="0"/>
        <v>-3.7443661463236702E-2</v>
      </c>
      <c r="G16" s="9">
        <f t="shared" si="4"/>
        <v>-0.345859872611465</v>
      </c>
      <c r="H16" s="13">
        <f t="shared" si="1"/>
        <v>26.929766686624202</v>
      </c>
      <c r="I16" s="15" t="s">
        <v>0</v>
      </c>
      <c r="P16" s="3">
        <f>(15- 0.3)/(31+0.4)*100</f>
        <v>46.815286624203821</v>
      </c>
      <c r="Q16">
        <v>28.1</v>
      </c>
      <c r="R16">
        <v>26.929766686624202</v>
      </c>
    </row>
    <row r="17" spans="1:18" ht="16">
      <c r="A17" s="8">
        <v>16</v>
      </c>
      <c r="B17" s="9">
        <v>21.8</v>
      </c>
      <c r="C17" s="10">
        <f>(16- 0.3)/(31+0.4)*100</f>
        <v>50</v>
      </c>
      <c r="D17" s="10">
        <f t="shared" si="2"/>
        <v>0.66241264053479199</v>
      </c>
      <c r="E17" s="11">
        <f t="shared" si="3"/>
        <v>0.11396522527069157</v>
      </c>
      <c r="F17" s="12">
        <f t="shared" si="0"/>
        <v>-3.8473219469990362E-2</v>
      </c>
      <c r="G17" s="9">
        <f>-0.23-(((-0.23+0.4)/(50-40))*(C17-40))</f>
        <v>-0.4</v>
      </c>
      <c r="H17" s="13">
        <f t="shared" si="1"/>
        <v>25.993634399999998</v>
      </c>
      <c r="I17" s="15" t="s">
        <v>0</v>
      </c>
      <c r="P17" s="3">
        <f>(16- 0.3)/(31+0.4)*100</f>
        <v>50</v>
      </c>
      <c r="Q17">
        <v>26.1</v>
      </c>
      <c r="R17">
        <v>25.993634399999998</v>
      </c>
    </row>
    <row r="18" spans="1:18" ht="16">
      <c r="A18" s="8">
        <v>17</v>
      </c>
      <c r="B18" s="9">
        <v>30.2</v>
      </c>
      <c r="C18" s="10">
        <f>(17- 0.3)/(31+0.4)*100</f>
        <v>53.184713375796179</v>
      </c>
      <c r="D18" s="10">
        <f t="shared" si="2"/>
        <v>0.91765420844728052</v>
      </c>
      <c r="E18" s="11">
        <f t="shared" si="3"/>
        <v>6.7808293864439276E-3</v>
      </c>
      <c r="F18" s="12">
        <f t="shared" si="0"/>
        <v>-5.5837276321066645E-4</v>
      </c>
      <c r="G18" s="9">
        <f t="shared" ref="G18:G19" si="5">-0.4-(((-0.4+0.5)/(60-50))*(C18-50))</f>
        <v>-0.4318471337579618</v>
      </c>
      <c r="H18" s="13">
        <f t="shared" si="1"/>
        <v>25.442968349044584</v>
      </c>
      <c r="I18" s="15" t="s">
        <v>0</v>
      </c>
      <c r="P18" s="3">
        <f>(17- 0.3)/(31+0.4)*100</f>
        <v>53.184713375796179</v>
      </c>
      <c r="Q18">
        <v>26.1</v>
      </c>
      <c r="R18">
        <v>25.442968349044584</v>
      </c>
    </row>
    <row r="19" spans="1:18" ht="16">
      <c r="A19" s="8">
        <v>18</v>
      </c>
      <c r="B19" s="9">
        <v>46.4</v>
      </c>
      <c r="C19" s="10">
        <f>(18- 0.3)/(31+0.4)*100</f>
        <v>56.369426751592357</v>
      </c>
      <c r="D19" s="10">
        <f t="shared" si="2"/>
        <v>1.40990580370708</v>
      </c>
      <c r="E19" s="11">
        <f t="shared" si="3"/>
        <v>0.16802276791274717</v>
      </c>
      <c r="F19" s="12">
        <f t="shared" si="0"/>
        <v>6.8873507722362795E-2</v>
      </c>
      <c r="G19" s="9">
        <f t="shared" si="5"/>
        <v>-0.46369426751592357</v>
      </c>
      <c r="H19" s="13">
        <f t="shared" si="1"/>
        <v>24.89230229808917</v>
      </c>
      <c r="I19" s="15" t="s">
        <v>0</v>
      </c>
      <c r="P19" s="3">
        <f>(18- 0.3)/(31+0.4)*100</f>
        <v>56.369426751592357</v>
      </c>
      <c r="Q19">
        <v>25.6</v>
      </c>
      <c r="R19">
        <v>24.89230229808917</v>
      </c>
    </row>
    <row r="20" spans="1:18" ht="16">
      <c r="A20" s="8">
        <v>19</v>
      </c>
      <c r="B20" s="9">
        <v>38.700000000000003</v>
      </c>
      <c r="C20" s="10">
        <f>(19- 0.3)/(31+0.4)*100</f>
        <v>59.554140127388536</v>
      </c>
      <c r="D20" s="10">
        <f t="shared" si="2"/>
        <v>1.1759343664539657</v>
      </c>
      <c r="E20" s="11">
        <f t="shared" si="3"/>
        <v>3.0952901299558275E-2</v>
      </c>
      <c r="F20" s="12">
        <f t="shared" si="0"/>
        <v>5.4456790800499156E-3</v>
      </c>
      <c r="G20" s="9">
        <f>-0.4-(((-0.4+0.5)/(60-50))*(C20-50))</f>
        <v>-0.49554140127388535</v>
      </c>
      <c r="H20" s="13">
        <f t="shared" si="1"/>
        <v>24.341636247133756</v>
      </c>
      <c r="I20" s="15" t="s">
        <v>0</v>
      </c>
      <c r="P20" s="3">
        <f>(19- 0.3)/(31+0.4)*100</f>
        <v>59.554140127388536</v>
      </c>
      <c r="Q20">
        <v>24.8</v>
      </c>
      <c r="R20">
        <v>24.341636247133756</v>
      </c>
    </row>
    <row r="21" spans="1:18" ht="16">
      <c r="A21" s="8">
        <v>20</v>
      </c>
      <c r="B21" s="9">
        <v>34.200000000000003</v>
      </c>
      <c r="C21" s="10">
        <f>(20- 0.3)/(31+0.4)*100</f>
        <v>62.738853503184714</v>
      </c>
      <c r="D21" s="10">
        <f t="shared" si="2"/>
        <v>1.0391978122151324</v>
      </c>
      <c r="E21" s="11">
        <f t="shared" si="3"/>
        <v>1.5364684824527837E-3</v>
      </c>
      <c r="F21" s="12">
        <f t="shared" si="0"/>
        <v>6.0226203049653686E-5</v>
      </c>
      <c r="G21" s="9">
        <f t="shared" ref="G21:G22" si="6">-0.5-(((-0.5+0.57)/(70-60))*(C21-60))</f>
        <v>-0.51917197452229302</v>
      </c>
      <c r="H21" s="13">
        <f t="shared" si="1"/>
        <v>23.933042037324835</v>
      </c>
      <c r="I21" s="15" t="s">
        <v>13</v>
      </c>
      <c r="P21" s="3">
        <f>(20- 0.3)/(31+0.4)*100</f>
        <v>62.738853503184714</v>
      </c>
      <c r="Q21">
        <v>24.8</v>
      </c>
      <c r="R21">
        <v>23.933042037324835</v>
      </c>
    </row>
    <row r="22" spans="1:18" ht="16">
      <c r="A22" s="8">
        <v>21</v>
      </c>
      <c r="B22" s="9">
        <v>37.4</v>
      </c>
      <c r="C22" s="10">
        <f>(21- 0.3)/(31+0.4)*100</f>
        <v>65.923566878980893</v>
      </c>
      <c r="D22" s="10">
        <f t="shared" si="2"/>
        <v>1.1364326952294137</v>
      </c>
      <c r="E22" s="11">
        <f t="shared" si="3"/>
        <v>1.8613880327562084E-2</v>
      </c>
      <c r="F22" s="12">
        <f t="shared" si="0"/>
        <v>2.5395418617670572E-3</v>
      </c>
      <c r="G22" s="9">
        <f t="shared" si="6"/>
        <v>-0.54146496815286627</v>
      </c>
      <c r="H22" s="13">
        <f t="shared" si="1"/>
        <v>23.547575801656048</v>
      </c>
      <c r="I22" s="15" t="s">
        <v>13</v>
      </c>
      <c r="P22" s="3">
        <f>(21- 0.3)/(31+0.4)*100</f>
        <v>65.923566878980893</v>
      </c>
      <c r="Q22">
        <v>24.8</v>
      </c>
      <c r="R22">
        <v>23.547575801656048</v>
      </c>
    </row>
    <row r="23" spans="1:18" ht="16">
      <c r="A23" s="8">
        <v>22</v>
      </c>
      <c r="B23" s="9">
        <v>29.1</v>
      </c>
      <c r="C23" s="10">
        <f>(22- 0.3)/(31+0.4)*100</f>
        <v>69.108280254777071</v>
      </c>
      <c r="D23" s="10">
        <f t="shared" si="2"/>
        <v>0.88422971741112133</v>
      </c>
      <c r="E23" s="11">
        <f t="shared" si="3"/>
        <v>1.3402758330708824E-2</v>
      </c>
      <c r="F23" s="12">
        <f t="shared" si="0"/>
        <v>-1.5516411194166082E-3</v>
      </c>
      <c r="G23" s="9">
        <f>-0.5-(((-0.5+0.57)/(70-60))*(C23-60))</f>
        <v>-0.5637579617834394</v>
      </c>
      <c r="H23" s="13">
        <f t="shared" si="1"/>
        <v>23.162109565987262</v>
      </c>
      <c r="I23" s="15" t="s">
        <v>13</v>
      </c>
      <c r="P23" s="3">
        <f>(22- 0.3)/(31+0.4)*100</f>
        <v>69.108280254777071</v>
      </c>
      <c r="Q23">
        <v>24.5</v>
      </c>
      <c r="R23">
        <v>23.162109565987262</v>
      </c>
    </row>
    <row r="24" spans="1:18" ht="16">
      <c r="A24" s="8">
        <v>23</v>
      </c>
      <c r="B24" s="9">
        <v>29.3</v>
      </c>
      <c r="C24" s="10">
        <f>(23- 0.3)/(31+0.4)*100</f>
        <v>72.29299363057325</v>
      </c>
      <c r="D24" s="10">
        <f t="shared" si="2"/>
        <v>0.89030689759951398</v>
      </c>
      <c r="E24" s="11">
        <f t="shared" si="3"/>
        <v>1.2032576714243511E-2</v>
      </c>
      <c r="F24" s="12">
        <f t="shared" si="0"/>
        <v>-1.319890669657217E-3</v>
      </c>
      <c r="G24" s="9">
        <f>-0.57-(((-0.57+0.61)/(75-70))*(C24-70))</f>
        <v>-0.58834394904458598</v>
      </c>
      <c r="H24" s="13">
        <f t="shared" si="1"/>
        <v>22.73699537464968</v>
      </c>
      <c r="I24" s="15" t="s">
        <v>13</v>
      </c>
      <c r="P24" s="3">
        <f>(23- 0.3)/(31+0.4)*100</f>
        <v>72.29299363057325</v>
      </c>
      <c r="Q24">
        <v>24.1</v>
      </c>
      <c r="R24">
        <v>22.73699537464968</v>
      </c>
    </row>
    <row r="25" spans="1:18" ht="16">
      <c r="A25" s="8">
        <v>24</v>
      </c>
      <c r="B25" s="9">
        <v>107</v>
      </c>
      <c r="C25" s="10">
        <f>(24- 0.3)/(31+0.4)*100</f>
        <v>75.477707006369428</v>
      </c>
      <c r="D25" s="10">
        <f t="shared" si="2"/>
        <v>3.2512914007900338</v>
      </c>
      <c r="E25" s="11">
        <f t="shared" si="3"/>
        <v>5.0683129712711521</v>
      </c>
      <c r="F25" s="12">
        <f t="shared" si="0"/>
        <v>11.41024940873533</v>
      </c>
      <c r="G25" s="9">
        <f>-0.61-(((-0.61+0.62)/(80-75))*(C25-75))</f>
        <v>-0.6109554140127389</v>
      </c>
      <c r="H25" s="13">
        <f t="shared" si="1"/>
        <v>22.346022478471333</v>
      </c>
      <c r="I25" s="15" t="s">
        <v>13</v>
      </c>
      <c r="P25" s="3">
        <f>(24- 0.3)/(31+0.4)*100</f>
        <v>75.477707006369428</v>
      </c>
      <c r="Q25">
        <v>23.9</v>
      </c>
      <c r="R25">
        <v>22.346022478471333</v>
      </c>
    </row>
    <row r="26" spans="1:18" ht="16">
      <c r="A26" s="8">
        <v>25</v>
      </c>
      <c r="B26" s="9">
        <v>75</v>
      </c>
      <c r="C26" s="10">
        <f>(25- 0.3)/(31+0.4)*100</f>
        <v>78.662420382165607</v>
      </c>
      <c r="D26" s="10">
        <f t="shared" si="2"/>
        <v>2.2789425706472199</v>
      </c>
      <c r="E26" s="11">
        <f t="shared" si="3"/>
        <v>1.6356940990137192</v>
      </c>
      <c r="F26" s="12">
        <f t="shared" si="0"/>
        <v>2.0919588157850946</v>
      </c>
      <c r="G26" s="9">
        <f>-0.61-(((-0.61+0.62)/(80-75))*(C26-75))</f>
        <v>-0.61732484076433125</v>
      </c>
      <c r="H26" s="13">
        <f t="shared" si="1"/>
        <v>22.23588926828025</v>
      </c>
      <c r="I26" s="15" t="s">
        <v>13</v>
      </c>
      <c r="P26" s="3">
        <f>(25- 0.3)/(31+0.4)*100</f>
        <v>78.662420382165607</v>
      </c>
      <c r="Q26">
        <v>23.4</v>
      </c>
      <c r="R26">
        <v>22.23588926828025</v>
      </c>
    </row>
    <row r="27" spans="1:18" ht="16">
      <c r="A27" s="8">
        <v>26</v>
      </c>
      <c r="B27" s="9">
        <v>50.8</v>
      </c>
      <c r="C27" s="10">
        <f>(26- 0.3)/(31+0.4)*100</f>
        <v>81.847133757961785</v>
      </c>
      <c r="D27" s="10">
        <f t="shared" si="2"/>
        <v>1.5436037678517169</v>
      </c>
      <c r="E27" s="11">
        <f t="shared" si="3"/>
        <v>0.29550505642258335</v>
      </c>
      <c r="F27" s="12">
        <f t="shared" si="0"/>
        <v>0.1606376620905505</v>
      </c>
      <c r="G27" s="9">
        <f t="shared" ref="G27:G28" si="7">-0.62-(((-0.62+0.65)/(90-80))*(C27-80))</f>
        <v>-0.62554140127388536</v>
      </c>
      <c r="H27" s="13">
        <f t="shared" si="1"/>
        <v>22.093817427133754</v>
      </c>
      <c r="I27" s="15" t="s">
        <v>13</v>
      </c>
      <c r="P27" s="3">
        <f>(26- 0.3)/(31+0.4)*100</f>
        <v>81.847133757961785</v>
      </c>
      <c r="Q27">
        <v>23.1</v>
      </c>
      <c r="R27">
        <v>22.093817427133754</v>
      </c>
    </row>
    <row r="28" spans="1:18" ht="16">
      <c r="A28" s="8">
        <v>27</v>
      </c>
      <c r="B28" s="9">
        <v>38.6</v>
      </c>
      <c r="C28" s="10">
        <f>(27- 0.3)/(31+0.4)*100</f>
        <v>85.031847133757964</v>
      </c>
      <c r="D28" s="10">
        <f t="shared" si="2"/>
        <v>1.1728957763597692</v>
      </c>
      <c r="E28" s="11">
        <f t="shared" si="3"/>
        <v>2.9892949483047312E-2</v>
      </c>
      <c r="F28" s="12">
        <f t="shared" si="0"/>
        <v>5.168364708554825E-3</v>
      </c>
      <c r="G28" s="9">
        <f t="shared" si="7"/>
        <v>-0.63509554140127389</v>
      </c>
      <c r="H28" s="13">
        <f t="shared" si="1"/>
        <v>21.92861761184713</v>
      </c>
      <c r="I28" s="15" t="s">
        <v>13</v>
      </c>
      <c r="P28" s="3">
        <f>(27- 0.3)/(31+0.4)*100</f>
        <v>85.031847133757964</v>
      </c>
      <c r="Q28">
        <v>22.7</v>
      </c>
      <c r="R28">
        <v>21.92861761184713</v>
      </c>
    </row>
    <row r="29" spans="1:18" ht="16">
      <c r="A29" s="8">
        <v>28</v>
      </c>
      <c r="B29" s="9">
        <v>30.9</v>
      </c>
      <c r="C29" s="10">
        <f>(28- 0.3)/(31+0.4)*100</f>
        <v>88.216560509554142</v>
      </c>
      <c r="D29" s="10">
        <f t="shared" si="2"/>
        <v>0.93892433910665452</v>
      </c>
      <c r="E29" s="11">
        <f t="shared" si="3"/>
        <v>3.7302363535589309E-3</v>
      </c>
      <c r="F29" s="12">
        <f t="shared" si="0"/>
        <v>-2.2782665058199486E-4</v>
      </c>
      <c r="G29" s="9">
        <f>-0.62-(((-0.62+0.65)/(90-80))*(C29-80))</f>
        <v>-0.64464968152866242</v>
      </c>
      <c r="H29" s="13">
        <f t="shared" si="1"/>
        <v>21.763417796560507</v>
      </c>
      <c r="I29" s="15" t="s">
        <v>13</v>
      </c>
      <c r="P29" s="3">
        <f>(28- 0.3)/(31+0.4)*100</f>
        <v>88.216560509554142</v>
      </c>
      <c r="Q29">
        <v>22.3</v>
      </c>
      <c r="R29">
        <v>21.763417796560507</v>
      </c>
    </row>
    <row r="30" spans="1:18" ht="16">
      <c r="A30" s="8">
        <v>29</v>
      </c>
      <c r="B30" s="9">
        <v>24.5</v>
      </c>
      <c r="C30" s="10">
        <f>(29- 0.3)/(31+0.4)*100</f>
        <v>91.401273885350321</v>
      </c>
      <c r="D30" s="10">
        <f t="shared" si="2"/>
        <v>0.74445457307809182</v>
      </c>
      <c r="E30" s="11">
        <f t="shared" si="3"/>
        <v>6.530346522070031E-2</v>
      </c>
      <c r="F30" s="12">
        <f t="shared" si="0"/>
        <v>-1.6688001899303844E-2</v>
      </c>
      <c r="G30" s="9">
        <f>-0.65-(((-0.65+0.66)/(95-90))*(C30-90))</f>
        <v>-0.65280254777070068</v>
      </c>
      <c r="H30" s="13">
        <f t="shared" si="1"/>
        <v>21.622447287515921</v>
      </c>
      <c r="I30" s="15" t="s">
        <v>14</v>
      </c>
      <c r="P30" s="3">
        <f>(29- 0.3)/(31+0.4)*100</f>
        <v>91.401273885350321</v>
      </c>
      <c r="Q30">
        <v>21.9</v>
      </c>
      <c r="R30">
        <v>21.622447287515921</v>
      </c>
    </row>
    <row r="31" spans="1:18" ht="16">
      <c r="A31" s="8">
        <v>30</v>
      </c>
      <c r="B31" s="9">
        <v>22.7</v>
      </c>
      <c r="C31" s="10">
        <f>(30- 0.3)/(31+0.4)*100</f>
        <v>94.585987261146499</v>
      </c>
      <c r="D31" s="10">
        <f t="shared" si="2"/>
        <v>0.68975995138255852</v>
      </c>
      <c r="E31" s="11">
        <f t="shared" si="3"/>
        <v>9.6248887766152452E-2</v>
      </c>
      <c r="F31" s="12">
        <f t="shared" si="0"/>
        <v>-2.9860259619945807E-2</v>
      </c>
      <c r="G31" s="9">
        <f>-0.65-(((-0.65+0.66)/(95-90))*(C31-90))</f>
        <v>-0.65917197452229304</v>
      </c>
      <c r="H31" s="13">
        <f t="shared" si="1"/>
        <v>21.512314077324838</v>
      </c>
      <c r="I31" s="15" t="s">
        <v>14</v>
      </c>
      <c r="P31" s="3">
        <f>(30- 0.3)/(31+0.4)*100</f>
        <v>94.585987261146499</v>
      </c>
      <c r="Q31">
        <v>21.8</v>
      </c>
      <c r="R31">
        <v>21.512314077324838</v>
      </c>
    </row>
    <row r="32" spans="1:18" ht="16">
      <c r="A32" s="8">
        <v>31</v>
      </c>
      <c r="B32" s="9">
        <v>21.5</v>
      </c>
      <c r="C32" s="10">
        <f>(31- 0.3)/(31+0.4)*100</f>
        <v>97.770700636942678</v>
      </c>
      <c r="D32" s="10">
        <f t="shared" si="2"/>
        <v>0.65329687025220307</v>
      </c>
      <c r="E32" s="11">
        <f t="shared" si="3"/>
        <v>0.12020306017691772</v>
      </c>
      <c r="F32" s="12">
        <f t="shared" si="0"/>
        <v>-4.1674777168600144E-2</v>
      </c>
      <c r="G32" s="9">
        <f>-0.66-(((-0.66+0.67)/(97-99))*(C32-97))</f>
        <v>-0.65614649681528658</v>
      </c>
      <c r="H32" s="13">
        <f t="shared" si="1"/>
        <v>21.564627352165605</v>
      </c>
      <c r="I32" s="15" t="s">
        <v>14</v>
      </c>
      <c r="P32" s="3">
        <f>(31- 0.3)/(31+0.4)*100</f>
        <v>97.770700636942678</v>
      </c>
      <c r="Q32">
        <v>21.5</v>
      </c>
      <c r="R32">
        <v>21.564627352165605</v>
      </c>
    </row>
    <row r="33" spans="1:2">
      <c r="B33" s="1">
        <f>AVERAGE(B2:B32)</f>
        <v>32.912903225806453</v>
      </c>
    </row>
    <row r="36" spans="1:2">
      <c r="A36" t="s">
        <v>2</v>
      </c>
      <c r="B36">
        <v>0.52539999999999998</v>
      </c>
    </row>
    <row r="37" spans="1:2">
      <c r="A37" t="s">
        <v>1</v>
      </c>
      <c r="B37" s="2">
        <f>SUM(F2:F32)/(30*B36*B36*B36)</f>
        <v>3.0742655956407656</v>
      </c>
    </row>
  </sheetData>
  <sortState ref="Q2:Q32">
    <sortCondition descending="1" ref="Q2"/>
  </sortState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2012-12-03T14:03:02Z</dcterms:created>
  <dcterms:modified xsi:type="dcterms:W3CDTF">2012-11-12T14:36:36Z</dcterms:modified>
</cp:coreProperties>
</file>