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T32" i="1"/>
  <c r="S32"/>
  <c r="R32"/>
  <c r="Q32"/>
  <c r="U32" s="1"/>
  <c r="V32" s="1"/>
  <c r="R31"/>
  <c r="S31" s="1"/>
  <c r="Q31"/>
  <c r="U31" s="1"/>
  <c r="V31" s="1"/>
  <c r="T30"/>
  <c r="S30"/>
  <c r="R30"/>
  <c r="Q30"/>
  <c r="U30" s="1"/>
  <c r="V30" s="1"/>
  <c r="R29"/>
  <c r="S29" s="1"/>
  <c r="Q29"/>
  <c r="U29" s="1"/>
  <c r="V29" s="1"/>
  <c r="T28"/>
  <c r="S28"/>
  <c r="R28"/>
  <c r="Q28"/>
  <c r="U28" s="1"/>
  <c r="V28" s="1"/>
  <c r="R27"/>
  <c r="S27" s="1"/>
  <c r="Q27"/>
  <c r="U27" s="1"/>
  <c r="V27" s="1"/>
  <c r="T26"/>
  <c r="S26"/>
  <c r="R26"/>
  <c r="Q26"/>
  <c r="U26" s="1"/>
  <c r="V26" s="1"/>
  <c r="R25"/>
  <c r="S25" s="1"/>
  <c r="Q25"/>
  <c r="U25" s="1"/>
  <c r="V25" s="1"/>
  <c r="T24"/>
  <c r="S24"/>
  <c r="R24"/>
  <c r="Q24"/>
  <c r="U24" s="1"/>
  <c r="V24" s="1"/>
  <c r="R23"/>
  <c r="S23" s="1"/>
  <c r="Q23"/>
  <c r="U23" s="1"/>
  <c r="V23" s="1"/>
  <c r="T22"/>
  <c r="S22"/>
  <c r="R22"/>
  <c r="Q22"/>
  <c r="U22" s="1"/>
  <c r="V22" s="1"/>
  <c r="R21"/>
  <c r="S21" s="1"/>
  <c r="Q21"/>
  <c r="U21" s="1"/>
  <c r="V21" s="1"/>
  <c r="T20"/>
  <c r="S20"/>
  <c r="R20"/>
  <c r="Q20"/>
  <c r="U20" s="1"/>
  <c r="V20" s="1"/>
  <c r="R19"/>
  <c r="S19" s="1"/>
  <c r="Q19"/>
  <c r="U19" s="1"/>
  <c r="V19" s="1"/>
  <c r="T18"/>
  <c r="S18"/>
  <c r="R18"/>
  <c r="Q18"/>
  <c r="U18" s="1"/>
  <c r="V18" s="1"/>
  <c r="R17"/>
  <c r="S17" s="1"/>
  <c r="Q17"/>
  <c r="U17" s="1"/>
  <c r="V17" s="1"/>
  <c r="T16"/>
  <c r="S16"/>
  <c r="R16"/>
  <c r="Q16"/>
  <c r="U16" s="1"/>
  <c r="V16" s="1"/>
  <c r="R15"/>
  <c r="S15" s="1"/>
  <c r="Q15"/>
  <c r="U15" s="1"/>
  <c r="V15" s="1"/>
  <c r="T14"/>
  <c r="S14"/>
  <c r="R14"/>
  <c r="Q14"/>
  <c r="U14" s="1"/>
  <c r="V14" s="1"/>
  <c r="R13"/>
  <c r="S13" s="1"/>
  <c r="Q13"/>
  <c r="U13" s="1"/>
  <c r="V13" s="1"/>
  <c r="T12"/>
  <c r="S12"/>
  <c r="R12"/>
  <c r="Q12"/>
  <c r="U12" s="1"/>
  <c r="V12" s="1"/>
  <c r="R11"/>
  <c r="S11" s="1"/>
  <c r="Q11"/>
  <c r="U11" s="1"/>
  <c r="V11" s="1"/>
  <c r="T10"/>
  <c r="S10"/>
  <c r="R10"/>
  <c r="Q10"/>
  <c r="U10" s="1"/>
  <c r="V10" s="1"/>
  <c r="R9"/>
  <c r="S9" s="1"/>
  <c r="Q9"/>
  <c r="U9" s="1"/>
  <c r="V9" s="1"/>
  <c r="T8"/>
  <c r="S8"/>
  <c r="R8"/>
  <c r="Q8"/>
  <c r="U8" s="1"/>
  <c r="V8" s="1"/>
  <c r="R7"/>
  <c r="S7" s="1"/>
  <c r="Q7"/>
  <c r="U7" s="1"/>
  <c r="V7" s="1"/>
  <c r="T6"/>
  <c r="S6"/>
  <c r="R6"/>
  <c r="Q6"/>
  <c r="U6" s="1"/>
  <c r="V6" s="1"/>
  <c r="R5"/>
  <c r="S5" s="1"/>
  <c r="Q5"/>
  <c r="U5" s="1"/>
  <c r="V5" s="1"/>
  <c r="T4"/>
  <c r="S4"/>
  <c r="R4"/>
  <c r="Q4"/>
  <c r="U4" s="1"/>
  <c r="V4" s="1"/>
  <c r="R3"/>
  <c r="S3" s="1"/>
  <c r="Q3"/>
  <c r="U3" s="1"/>
  <c r="V3" s="1"/>
  <c r="H27"/>
  <c r="I27"/>
  <c r="H33"/>
  <c r="H32"/>
  <c r="I32" s="1"/>
  <c r="H31"/>
  <c r="H30"/>
  <c r="H29"/>
  <c r="I29" s="1"/>
  <c r="H28"/>
  <c r="I28" s="1"/>
  <c r="H26"/>
  <c r="H25"/>
  <c r="H24"/>
  <c r="H23"/>
  <c r="H22"/>
  <c r="I22" s="1"/>
  <c r="H21"/>
  <c r="I21" s="1"/>
  <c r="H20"/>
  <c r="H19"/>
  <c r="H18"/>
  <c r="I18" s="1"/>
  <c r="H17"/>
  <c r="H16"/>
  <c r="H15"/>
  <c r="H14"/>
  <c r="I14" s="1"/>
  <c r="H13"/>
  <c r="I13" s="1"/>
  <c r="H12"/>
  <c r="I12" s="1"/>
  <c r="H11"/>
  <c r="H10"/>
  <c r="H9"/>
  <c r="H7"/>
  <c r="I7" s="1"/>
  <c r="H5"/>
  <c r="I5" s="1"/>
  <c r="H4"/>
  <c r="I4" s="1"/>
  <c r="I6"/>
  <c r="I8"/>
  <c r="I9"/>
  <c r="I10"/>
  <c r="I11"/>
  <c r="I15"/>
  <c r="I16"/>
  <c r="I17"/>
  <c r="I19"/>
  <c r="I20"/>
  <c r="I23"/>
  <c r="I24"/>
  <c r="I25"/>
  <c r="I26"/>
  <c r="I30"/>
  <c r="I31"/>
  <c r="I33"/>
  <c r="H6"/>
  <c r="H8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5"/>
  <c r="G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4"/>
  <c r="C36"/>
  <c r="D5"/>
  <c r="D6"/>
  <c r="D7"/>
  <c r="D8"/>
  <c r="D15"/>
  <c r="D14"/>
  <c r="D13"/>
  <c r="D12"/>
  <c r="D11"/>
  <c r="D10"/>
  <c r="D9"/>
  <c r="D4"/>
  <c r="D26"/>
  <c r="D25"/>
  <c r="D24"/>
  <c r="D22"/>
  <c r="D23"/>
  <c r="D21"/>
  <c r="D20"/>
  <c r="D19"/>
  <c r="D18"/>
  <c r="D17"/>
  <c r="D16"/>
  <c r="D30"/>
  <c r="D31"/>
  <c r="D29"/>
  <c r="D28"/>
  <c r="D27"/>
  <c r="D32"/>
  <c r="D33"/>
  <c r="T3" l="1"/>
  <c r="T5"/>
  <c r="T7"/>
  <c r="T9"/>
  <c r="T11"/>
  <c r="T13"/>
  <c r="T15"/>
  <c r="T17"/>
  <c r="T19"/>
  <c r="T21"/>
  <c r="T23"/>
  <c r="T25"/>
  <c r="T27"/>
  <c r="T29"/>
  <c r="T31"/>
  <c r="C38"/>
  <c r="C37" l="1"/>
</calcChain>
</file>

<file path=xl/sharedStrings.xml><?xml version="1.0" encoding="utf-8"?>
<sst xmlns="http://schemas.openxmlformats.org/spreadsheetml/2006/main" count="53" uniqueCount="20">
  <si>
    <t>den</t>
  </si>
  <si>
    <t>n</t>
  </si>
  <si>
    <t>cs</t>
  </si>
  <si>
    <t>cv</t>
  </si>
  <si>
    <t>teorie p</t>
  </si>
  <si>
    <t>xprum</t>
  </si>
  <si>
    <t>hodnota</t>
  </si>
  <si>
    <r>
      <t>(ki-1)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</si>
  <si>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Φ</t>
    </r>
    <r>
      <rPr>
        <b/>
        <vertAlign val="subscript"/>
        <sz val="11"/>
        <color theme="1"/>
        <rFont val="Calibri"/>
        <family val="2"/>
        <charset val="238"/>
        <scheme val="minor"/>
      </rPr>
      <t>s,p</t>
    </r>
  </si>
  <si>
    <r>
      <t>(k</t>
    </r>
    <r>
      <rPr>
        <b/>
        <vertAlign val="subscript"/>
        <sz val="11"/>
        <color theme="1"/>
        <rFont val="Calibri"/>
        <family val="2"/>
        <charset val="238"/>
        <scheme val="minor"/>
      </rPr>
      <t>i</t>
    </r>
    <r>
      <rPr>
        <b/>
        <sz val="11"/>
        <color theme="1"/>
        <rFont val="Calibri"/>
        <family val="2"/>
        <charset val="238"/>
        <scheme val="minor"/>
      </rPr>
      <t>-1)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</si>
  <si>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k</t>
    </r>
    <r>
      <rPr>
        <b/>
        <vertAlign val="subscript"/>
        <sz val="11"/>
        <color theme="1"/>
        <rFont val="Calibri"/>
        <family val="2"/>
        <charset val="238"/>
        <scheme val="minor"/>
      </rPr>
      <t>i</t>
    </r>
  </si>
  <si>
    <r>
      <t>Q</t>
    </r>
    <r>
      <rPr>
        <b/>
        <vertAlign val="subscript"/>
        <sz val="11"/>
        <color theme="1"/>
        <rFont val="Calibri"/>
        <family val="2"/>
        <charset val="238"/>
        <scheme val="minor"/>
      </rPr>
      <t>i</t>
    </r>
    <r>
      <rPr>
        <b/>
        <sz val="11"/>
        <color theme="1"/>
        <rFont val="Calibri"/>
        <family val="2"/>
        <charset val="238"/>
        <scheme val="minor"/>
      </rPr>
      <t xml:space="preserve"> [m3/s]</t>
    </r>
  </si>
  <si>
    <t>p [%]</t>
  </si>
  <si>
    <r>
      <t>Q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p </t>
    </r>
    <r>
      <rPr>
        <b/>
        <sz val="11"/>
        <color theme="1"/>
        <rFont val="Calibri"/>
        <family val="2"/>
        <charset val="238"/>
        <scheme val="minor"/>
      </rPr>
      <t>[m3/s]</t>
    </r>
  </si>
  <si>
    <t>Vodnost</t>
  </si>
  <si>
    <t>MV</t>
  </si>
  <si>
    <t>V</t>
  </si>
  <si>
    <t>P</t>
  </si>
  <si>
    <t>S</t>
  </si>
  <si>
    <t>MS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</si>
</sst>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omic Sans MS"/>
      <family val="4"/>
      <charset val="238"/>
    </font>
    <font>
      <b/>
      <sz val="11"/>
      <color theme="1"/>
      <name val="Comic Sans MS"/>
      <family val="4"/>
      <charset val="238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165" fontId="0" fillId="4" borderId="15" xfId="0" applyNumberFormat="1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164" fontId="0" fillId="4" borderId="9" xfId="0" applyNumberFormat="1" applyFont="1" applyFill="1" applyBorder="1" applyAlignment="1">
      <alignment horizontal="center" vertical="center"/>
    </xf>
    <xf numFmtId="165" fontId="0" fillId="4" borderId="10" xfId="0" applyNumberFormat="1" applyFont="1" applyFill="1" applyBorder="1" applyAlignment="1">
      <alignment horizontal="center" vertical="center"/>
    </xf>
    <xf numFmtId="165" fontId="0" fillId="4" borderId="16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164" fontId="0" fillId="4" borderId="2" xfId="0" applyNumberFormat="1" applyFont="1" applyFill="1" applyBorder="1" applyAlignment="1">
      <alignment horizontal="center" vertical="center"/>
    </xf>
    <xf numFmtId="165" fontId="0" fillId="4" borderId="4" xfId="0" applyNumberFormat="1" applyFont="1" applyFill="1" applyBorder="1" applyAlignment="1">
      <alignment horizontal="center" vertical="center"/>
    </xf>
    <xf numFmtId="165" fontId="0" fillId="4" borderId="17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164" fontId="0" fillId="4" borderId="6" xfId="0" applyNumberFormat="1" applyFont="1" applyFill="1" applyBorder="1" applyAlignment="1">
      <alignment horizontal="center" vertical="center"/>
    </xf>
    <xf numFmtId="165" fontId="0" fillId="4" borderId="7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165" fontId="0" fillId="4" borderId="2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165" fontId="0" fillId="4" borderId="6" xfId="0" applyNumberFormat="1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165" fontId="0" fillId="4" borderId="9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9.9696850393700812E-2"/>
          <c:y val="0.16901027277545361"/>
          <c:w val="0.67379276846951341"/>
          <c:h val="0.63146055254530375"/>
        </c:manualLayout>
      </c:layout>
      <c:scatterChart>
        <c:scatterStyle val="lineMarker"/>
        <c:ser>
          <c:idx val="0"/>
          <c:order val="0"/>
          <c:tx>
            <c:v>teoretické hodnoty</c:v>
          </c:tx>
          <c:spPr>
            <a:ln>
              <a:solidFill>
                <a:srgbClr val="FF0000"/>
              </a:solidFill>
            </a:ln>
          </c:spPr>
          <c:marker>
            <c:symbol val="x"/>
            <c:size val="5"/>
          </c:marker>
          <c:xVal>
            <c:numRef>
              <c:f>List1!$D$4:$D$33</c:f>
              <c:numCache>
                <c:formatCode>General</c:formatCode>
                <c:ptCount val="30"/>
                <c:pt idx="0">
                  <c:v>2.3026315789473681</c:v>
                </c:pt>
                <c:pt idx="1">
                  <c:v>5.5921052631578947</c:v>
                </c:pt>
                <c:pt idx="2">
                  <c:v>8.881578947368423</c:v>
                </c:pt>
                <c:pt idx="3">
                  <c:v>12.171052631578949</c:v>
                </c:pt>
                <c:pt idx="4">
                  <c:v>15.460526315789474</c:v>
                </c:pt>
                <c:pt idx="5">
                  <c:v>18.750000000000004</c:v>
                </c:pt>
                <c:pt idx="6">
                  <c:v>22.039473684210527</c:v>
                </c:pt>
                <c:pt idx="7">
                  <c:v>25.328947368421055</c:v>
                </c:pt>
                <c:pt idx="8">
                  <c:v>28.618421052631575</c:v>
                </c:pt>
                <c:pt idx="9">
                  <c:v>31.907894736842103</c:v>
                </c:pt>
                <c:pt idx="10">
                  <c:v>35.19736842105263</c:v>
                </c:pt>
                <c:pt idx="11">
                  <c:v>38.486842105263158</c:v>
                </c:pt>
                <c:pt idx="12">
                  <c:v>41.776315789473685</c:v>
                </c:pt>
                <c:pt idx="13">
                  <c:v>45.065789473684212</c:v>
                </c:pt>
                <c:pt idx="14">
                  <c:v>48.355263157894733</c:v>
                </c:pt>
                <c:pt idx="15">
                  <c:v>51.644736842105267</c:v>
                </c:pt>
                <c:pt idx="16">
                  <c:v>54.934210526315788</c:v>
                </c:pt>
                <c:pt idx="17">
                  <c:v>58.223684210526315</c:v>
                </c:pt>
                <c:pt idx="18">
                  <c:v>61.51315789473685</c:v>
                </c:pt>
                <c:pt idx="19">
                  <c:v>64.80263157894737</c:v>
                </c:pt>
                <c:pt idx="20">
                  <c:v>68.092105263157904</c:v>
                </c:pt>
                <c:pt idx="21">
                  <c:v>71.381578947368425</c:v>
                </c:pt>
                <c:pt idx="22">
                  <c:v>74.671052631578945</c:v>
                </c:pt>
                <c:pt idx="23">
                  <c:v>77.96052631578948</c:v>
                </c:pt>
                <c:pt idx="24">
                  <c:v>81.25</c:v>
                </c:pt>
                <c:pt idx="25">
                  <c:v>84.539473684210535</c:v>
                </c:pt>
                <c:pt idx="26">
                  <c:v>87.828947368421055</c:v>
                </c:pt>
                <c:pt idx="27">
                  <c:v>91.118421052631575</c:v>
                </c:pt>
                <c:pt idx="28">
                  <c:v>94.40789473684211</c:v>
                </c:pt>
                <c:pt idx="29">
                  <c:v>97.69736842105263</c:v>
                </c:pt>
              </c:numCache>
            </c:numRef>
          </c:xVal>
          <c:yVal>
            <c:numRef>
              <c:f>List1!$I$4:$I$33</c:f>
              <c:numCache>
                <c:formatCode>0.0</c:formatCode>
                <c:ptCount val="30"/>
                <c:pt idx="0">
                  <c:v>272.49382754034764</c:v>
                </c:pt>
                <c:pt idx="1">
                  <c:v>245.90587747767771</c:v>
                </c:pt>
                <c:pt idx="2">
                  <c:v>232.02183044756279</c:v>
                </c:pt>
                <c:pt idx="3">
                  <c:v>222.09473682103066</c:v>
                </c:pt>
                <c:pt idx="4">
                  <c:v>214.20607373573816</c:v>
                </c:pt>
                <c:pt idx="5">
                  <c:v>206.31741065044559</c:v>
                </c:pt>
                <c:pt idx="6">
                  <c:v>199.40694178772935</c:v>
                </c:pt>
                <c:pt idx="7">
                  <c:v>193.22222992886</c:v>
                </c:pt>
                <c:pt idx="8">
                  <c:v>188.17348555427279</c:v>
                </c:pt>
                <c:pt idx="9">
                  <c:v>183.49077514684313</c:v>
                </c:pt>
                <c:pt idx="10">
                  <c:v>179.07312381907931</c:v>
                </c:pt>
                <c:pt idx="11">
                  <c:v>174.65547249131549</c:v>
                </c:pt>
                <c:pt idx="12">
                  <c:v>170.408216286194</c:v>
                </c:pt>
                <c:pt idx="13">
                  <c:v>166.30611148184187</c:v>
                </c:pt>
                <c:pt idx="14">
                  <c:v>162.20400667748976</c:v>
                </c:pt>
                <c:pt idx="15">
                  <c:v>158.25967513484346</c:v>
                </c:pt>
                <c:pt idx="16">
                  <c:v>154.47311685390306</c:v>
                </c:pt>
                <c:pt idx="17">
                  <c:v>150.68655857296264</c:v>
                </c:pt>
                <c:pt idx="18">
                  <c:v>146.75484889125283</c:v>
                </c:pt>
                <c:pt idx="19">
                  <c:v>142.65274408690073</c:v>
                </c:pt>
                <c:pt idx="20">
                  <c:v>138.55063928254859</c:v>
                </c:pt>
                <c:pt idx="21">
                  <c:v>134.44853447819648</c:v>
                </c:pt>
                <c:pt idx="22">
                  <c:v>130.3464296738444</c:v>
                </c:pt>
                <c:pt idx="23">
                  <c:v>125.96033299842171</c:v>
                </c:pt>
                <c:pt idx="24">
                  <c:v>121.0030971156239</c:v>
                </c:pt>
                <c:pt idx="25">
                  <c:v>115.16548643250741</c:v>
                </c:pt>
                <c:pt idx="26">
                  <c:v>109.32787574939094</c:v>
                </c:pt>
                <c:pt idx="27">
                  <c:v>102.3637639776947</c:v>
                </c:pt>
                <c:pt idx="28">
                  <c:v>93.212914798755321</c:v>
                </c:pt>
                <c:pt idx="29">
                  <c:v>78.060370744525471</c:v>
                </c:pt>
              </c:numCache>
            </c:numRef>
          </c:yVal>
        </c:ser>
        <c:ser>
          <c:idx val="1"/>
          <c:order val="1"/>
          <c:tx>
            <c:v>empirické hodnoty</c:v>
          </c:tx>
          <c:spPr>
            <a:ln w="28575">
              <a:solidFill>
                <a:srgbClr val="4F81BD"/>
              </a:solidFill>
            </a:ln>
          </c:spPr>
          <c:marker>
            <c:symbol val="x"/>
            <c:size val="7"/>
          </c:marker>
          <c:xVal>
            <c:numRef>
              <c:f>List1!$D$4:$D$33</c:f>
              <c:numCache>
                <c:formatCode>General</c:formatCode>
                <c:ptCount val="30"/>
                <c:pt idx="0">
                  <c:v>2.3026315789473681</c:v>
                </c:pt>
                <c:pt idx="1">
                  <c:v>5.5921052631578947</c:v>
                </c:pt>
                <c:pt idx="2">
                  <c:v>8.881578947368423</c:v>
                </c:pt>
                <c:pt idx="3">
                  <c:v>12.171052631578949</c:v>
                </c:pt>
                <c:pt idx="4">
                  <c:v>15.460526315789474</c:v>
                </c:pt>
                <c:pt idx="5">
                  <c:v>18.750000000000004</c:v>
                </c:pt>
                <c:pt idx="6">
                  <c:v>22.039473684210527</c:v>
                </c:pt>
                <c:pt idx="7">
                  <c:v>25.328947368421055</c:v>
                </c:pt>
                <c:pt idx="8">
                  <c:v>28.618421052631575</c:v>
                </c:pt>
                <c:pt idx="9">
                  <c:v>31.907894736842103</c:v>
                </c:pt>
                <c:pt idx="10">
                  <c:v>35.19736842105263</c:v>
                </c:pt>
                <c:pt idx="11">
                  <c:v>38.486842105263158</c:v>
                </c:pt>
                <c:pt idx="12">
                  <c:v>41.776315789473685</c:v>
                </c:pt>
                <c:pt idx="13">
                  <c:v>45.065789473684212</c:v>
                </c:pt>
                <c:pt idx="14">
                  <c:v>48.355263157894733</c:v>
                </c:pt>
                <c:pt idx="15">
                  <c:v>51.644736842105267</c:v>
                </c:pt>
                <c:pt idx="16">
                  <c:v>54.934210526315788</c:v>
                </c:pt>
                <c:pt idx="17">
                  <c:v>58.223684210526315</c:v>
                </c:pt>
                <c:pt idx="18">
                  <c:v>61.51315789473685</c:v>
                </c:pt>
                <c:pt idx="19">
                  <c:v>64.80263157894737</c:v>
                </c:pt>
                <c:pt idx="20">
                  <c:v>68.092105263157904</c:v>
                </c:pt>
                <c:pt idx="21">
                  <c:v>71.381578947368425</c:v>
                </c:pt>
                <c:pt idx="22">
                  <c:v>74.671052631578945</c:v>
                </c:pt>
                <c:pt idx="23">
                  <c:v>77.96052631578948</c:v>
                </c:pt>
                <c:pt idx="24">
                  <c:v>81.25</c:v>
                </c:pt>
                <c:pt idx="25">
                  <c:v>84.539473684210535</c:v>
                </c:pt>
                <c:pt idx="26">
                  <c:v>87.828947368421055</c:v>
                </c:pt>
                <c:pt idx="27">
                  <c:v>91.118421052631575</c:v>
                </c:pt>
                <c:pt idx="28">
                  <c:v>94.40789473684211</c:v>
                </c:pt>
                <c:pt idx="29">
                  <c:v>97.69736842105263</c:v>
                </c:pt>
              </c:numCache>
            </c:numRef>
          </c:xVal>
          <c:yVal>
            <c:numRef>
              <c:f>List1!$C$4:$C$33</c:f>
              <c:numCache>
                <c:formatCode>0.0</c:formatCode>
                <c:ptCount val="30"/>
                <c:pt idx="0">
                  <c:v>274</c:v>
                </c:pt>
                <c:pt idx="1">
                  <c:v>261</c:v>
                </c:pt>
                <c:pt idx="2">
                  <c:v>230</c:v>
                </c:pt>
                <c:pt idx="3">
                  <c:v>228</c:v>
                </c:pt>
                <c:pt idx="4">
                  <c:v>210</c:v>
                </c:pt>
                <c:pt idx="5">
                  <c:v>207</c:v>
                </c:pt>
                <c:pt idx="6">
                  <c:v>201</c:v>
                </c:pt>
                <c:pt idx="7">
                  <c:v>200</c:v>
                </c:pt>
                <c:pt idx="8">
                  <c:v>194</c:v>
                </c:pt>
                <c:pt idx="9">
                  <c:v>193</c:v>
                </c:pt>
                <c:pt idx="10">
                  <c:v>184</c:v>
                </c:pt>
                <c:pt idx="11">
                  <c:v>177</c:v>
                </c:pt>
                <c:pt idx="12">
                  <c:v>171</c:v>
                </c:pt>
                <c:pt idx="13">
                  <c:v>167</c:v>
                </c:pt>
                <c:pt idx="14">
                  <c:v>158</c:v>
                </c:pt>
                <c:pt idx="15">
                  <c:v>157</c:v>
                </c:pt>
                <c:pt idx="16">
                  <c:v>151</c:v>
                </c:pt>
                <c:pt idx="17">
                  <c:v>148</c:v>
                </c:pt>
                <c:pt idx="18">
                  <c:v>147</c:v>
                </c:pt>
                <c:pt idx="19">
                  <c:v>147</c:v>
                </c:pt>
                <c:pt idx="20">
                  <c:v>137</c:v>
                </c:pt>
                <c:pt idx="21">
                  <c:v>121</c:v>
                </c:pt>
                <c:pt idx="22">
                  <c:v>119</c:v>
                </c:pt>
                <c:pt idx="23">
                  <c:v>117</c:v>
                </c:pt>
                <c:pt idx="24">
                  <c:v>111</c:v>
                </c:pt>
                <c:pt idx="25">
                  <c:v>110</c:v>
                </c:pt>
                <c:pt idx="26">
                  <c:v>101</c:v>
                </c:pt>
                <c:pt idx="27">
                  <c:v>101</c:v>
                </c:pt>
                <c:pt idx="28">
                  <c:v>100</c:v>
                </c:pt>
                <c:pt idx="29">
                  <c:v>97.7</c:v>
                </c:pt>
              </c:numCache>
            </c:numRef>
          </c:yVal>
        </c:ser>
        <c:axId val="71296128"/>
        <c:axId val="71297664"/>
      </c:scatterChart>
      <c:valAx>
        <c:axId val="71296128"/>
        <c:scaling>
          <c:orientation val="minMax"/>
          <c:max val="100"/>
        </c:scaling>
        <c:axPos val="b"/>
        <c:numFmt formatCode="0.0" sourceLinked="0"/>
        <c:tickLblPos val="nextTo"/>
        <c:crossAx val="71297664"/>
        <c:crosses val="autoZero"/>
        <c:crossBetween val="midCat"/>
      </c:valAx>
      <c:valAx>
        <c:axId val="71297664"/>
        <c:scaling>
          <c:orientation val="minMax"/>
          <c:min val="50"/>
        </c:scaling>
        <c:axPos val="l"/>
        <c:majorGridlines/>
        <c:numFmt formatCode="0.0" sourceLinked="0"/>
        <c:tickLblPos val="nextTo"/>
        <c:crossAx val="712961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738237960174272"/>
          <c:y val="0.45829450837937996"/>
          <c:w val="0.22261762039825725"/>
          <c:h val="8.3410801639428517E-2"/>
        </c:manualLayout>
      </c:layout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391581</xdr:colOff>
      <xdr:row>32</xdr:row>
      <xdr:rowOff>187281</xdr:rowOff>
    </xdr:from>
    <xdr:to>
      <xdr:col>20</xdr:col>
      <xdr:colOff>229151</xdr:colOff>
      <xdr:row>59</xdr:row>
      <xdr:rowOff>10584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38"/>
  <sheetViews>
    <sheetView tabSelected="1" topLeftCell="C16" zoomScale="90" zoomScaleNormal="90" workbookViewId="0">
      <selection activeCell="O2" sqref="O2:W32"/>
    </sheetView>
  </sheetViews>
  <sheetFormatPr defaultRowHeight="15"/>
  <cols>
    <col min="3" max="3" width="11.85546875" bestFit="1" customWidth="1"/>
    <col min="7" max="7" width="15.140625" customWidth="1"/>
    <col min="8" max="8" width="10.28515625" bestFit="1" customWidth="1"/>
    <col min="16" max="16" width="11.85546875" bestFit="1" customWidth="1"/>
  </cols>
  <sheetData>
    <row r="1" spans="2:23" ht="15.75" thickBot="1"/>
    <row r="2" spans="2:23" ht="18.75" thickBot="1">
      <c r="B2" s="2"/>
      <c r="C2" s="2"/>
      <c r="D2" s="2"/>
      <c r="E2" s="2"/>
      <c r="F2" s="2"/>
      <c r="G2" s="2"/>
      <c r="H2" s="2"/>
      <c r="I2" s="2"/>
      <c r="O2" s="32" t="s">
        <v>0</v>
      </c>
      <c r="P2" s="21" t="s">
        <v>11</v>
      </c>
      <c r="Q2" s="21" t="s">
        <v>12</v>
      </c>
      <c r="R2" s="21" t="s">
        <v>10</v>
      </c>
      <c r="S2" s="21" t="s">
        <v>9</v>
      </c>
      <c r="T2" s="21" t="s">
        <v>7</v>
      </c>
      <c r="U2" s="21" t="s">
        <v>8</v>
      </c>
      <c r="V2" s="21" t="s">
        <v>13</v>
      </c>
      <c r="W2" s="22" t="s">
        <v>14</v>
      </c>
    </row>
    <row r="3" spans="2:23" ht="18.75" thickBot="1">
      <c r="B3" s="19" t="s">
        <v>0</v>
      </c>
      <c r="C3" s="20" t="s">
        <v>11</v>
      </c>
      <c r="D3" s="21" t="s">
        <v>12</v>
      </c>
      <c r="E3" s="21" t="s">
        <v>10</v>
      </c>
      <c r="F3" s="21" t="s">
        <v>9</v>
      </c>
      <c r="G3" s="21" t="s">
        <v>7</v>
      </c>
      <c r="H3" s="21" t="s">
        <v>8</v>
      </c>
      <c r="I3" s="22" t="s">
        <v>13</v>
      </c>
      <c r="K3" s="3" t="s">
        <v>4</v>
      </c>
      <c r="L3" s="3" t="s">
        <v>6</v>
      </c>
      <c r="M3" s="5"/>
      <c r="O3" s="30">
        <v>1</v>
      </c>
      <c r="P3" s="31">
        <v>274</v>
      </c>
      <c r="Q3" s="8">
        <f>(O3-0.3)/(30+0.4)*100</f>
        <v>2.3026315789473681</v>
      </c>
      <c r="R3" s="8">
        <f>P3/$C$36</f>
        <v>1.6708335874138669</v>
      </c>
      <c r="S3" s="8">
        <f>POWER((R3-1),2)</f>
        <v>0.4500177020025582</v>
      </c>
      <c r="T3" s="9">
        <f>POWER((R3-1),3)</f>
        <v>0.30188698943412062</v>
      </c>
      <c r="U3" s="8">
        <f>2.64-((2.64-2.06)/(3-1))*(Q3-1)</f>
        <v>2.2622368421052634</v>
      </c>
      <c r="V3" s="31">
        <f>$C$36*(1+$C$38*U3)</f>
        <v>272.49382754034764</v>
      </c>
      <c r="W3" s="33" t="s">
        <v>15</v>
      </c>
    </row>
    <row r="4" spans="2:23">
      <c r="B4" s="23">
        <v>1</v>
      </c>
      <c r="C4" s="7">
        <v>274</v>
      </c>
      <c r="D4" s="8">
        <f>(B4-0.3)/(30+0.4)*100</f>
        <v>2.3026315789473681</v>
      </c>
      <c r="E4" s="8">
        <f>C4/$C$36</f>
        <v>1.6708335874138669</v>
      </c>
      <c r="F4" s="8">
        <f>POWER((E4-1),2)</f>
        <v>0.4500177020025582</v>
      </c>
      <c r="G4" s="9">
        <f>POWER((E4-1),3)</f>
        <v>0.30188698943412062</v>
      </c>
      <c r="H4" s="8">
        <f>2.64-((2.64-2.06)/(3-1))*(D4-1)</f>
        <v>2.2622368421052634</v>
      </c>
      <c r="I4" s="10">
        <f>$C$36*(1+$C$38*H4)</f>
        <v>272.49382754034764</v>
      </c>
      <c r="J4">
        <v>1</v>
      </c>
      <c r="K4" s="4">
        <v>0.01</v>
      </c>
      <c r="L4" s="4">
        <v>4.72</v>
      </c>
      <c r="M4" s="6"/>
      <c r="O4" s="27">
        <v>2</v>
      </c>
      <c r="P4" s="26">
        <v>261</v>
      </c>
      <c r="Q4" s="12">
        <f t="shared" ref="Q4:Q32" si="0">(O4-0.3)/(30+0.4)*100</f>
        <v>5.5921052631578947</v>
      </c>
      <c r="R4" s="12">
        <f t="shared" ref="R4:R32" si="1">P4/$C$36</f>
        <v>1.59156046100372</v>
      </c>
      <c r="S4" s="12">
        <f t="shared" ref="S4:S32" si="2">POWER((R4-1),2)</f>
        <v>0.34994377902293367</v>
      </c>
      <c r="T4" s="13">
        <f>POWER((R4-1),3)</f>
        <v>0.20701290324419055</v>
      </c>
      <c r="U4" s="12">
        <f>1.76-((1.76-1.32)/(10-5))*(Q4-5)</f>
        <v>1.7078947368421054</v>
      </c>
      <c r="V4" s="26">
        <f t="shared" ref="V4:V32" si="3">$C$36*(1+$C$38*U4)</f>
        <v>245.90587747767771</v>
      </c>
      <c r="W4" s="34" t="s">
        <v>15</v>
      </c>
    </row>
    <row r="5" spans="2:23">
      <c r="B5" s="24">
        <v>2</v>
      </c>
      <c r="C5" s="11">
        <v>261</v>
      </c>
      <c r="D5" s="12">
        <f t="shared" ref="D5:D8" si="4">(B5-0.3)/(30+0.4)*100</f>
        <v>5.5921052631578947</v>
      </c>
      <c r="E5" s="12">
        <f t="shared" ref="E5:E33" si="5">C5/$C$36</f>
        <v>1.59156046100372</v>
      </c>
      <c r="F5" s="12">
        <f t="shared" ref="F5:F33" si="6">POWER((E5-1),2)</f>
        <v>0.34994377902293367</v>
      </c>
      <c r="G5" s="13">
        <f>POWER((E5-1),3)</f>
        <v>0.20701290324419055</v>
      </c>
      <c r="H5" s="12">
        <f>1.76-((1.76-1.32)/(10-5))*(D5-5)</f>
        <v>1.7078947368421054</v>
      </c>
      <c r="I5" s="14">
        <f t="shared" ref="I5:I33" si="7">$C$36*(1+$C$38*H5)</f>
        <v>245.90587747767771</v>
      </c>
      <c r="J5">
        <v>5</v>
      </c>
      <c r="K5" s="4">
        <v>0.05</v>
      </c>
      <c r="L5" s="4">
        <v>4.04</v>
      </c>
      <c r="M5" s="6"/>
      <c r="O5" s="27">
        <v>3</v>
      </c>
      <c r="P5" s="26">
        <v>230</v>
      </c>
      <c r="Q5" s="12">
        <f t="shared" si="0"/>
        <v>8.881578947368423</v>
      </c>
      <c r="R5" s="12">
        <f t="shared" si="1"/>
        <v>1.4025245441795233</v>
      </c>
      <c r="S5" s="12">
        <f t="shared" si="2"/>
        <v>0.16202600866693304</v>
      </c>
      <c r="T5" s="13">
        <f t="shared" ref="T5:T32" si="8">POWER((R5-1),3)</f>
        <v>6.5219445283884722E-2</v>
      </c>
      <c r="U5" s="12">
        <f>1.76-((1.76-1.32)/(10-5))*(Q5-5)</f>
        <v>1.4184210526315788</v>
      </c>
      <c r="V5" s="26">
        <f t="shared" si="3"/>
        <v>232.02183044756279</v>
      </c>
      <c r="W5" s="34" t="s">
        <v>15</v>
      </c>
    </row>
    <row r="6" spans="2:23">
      <c r="B6" s="24">
        <v>3</v>
      </c>
      <c r="C6" s="11">
        <v>230</v>
      </c>
      <c r="D6" s="12">
        <f t="shared" si="4"/>
        <v>8.881578947368423</v>
      </c>
      <c r="E6" s="12">
        <f t="shared" si="5"/>
        <v>1.4025245441795233</v>
      </c>
      <c r="F6" s="12">
        <f t="shared" si="6"/>
        <v>0.16202600866693304</v>
      </c>
      <c r="G6" s="13">
        <f t="shared" ref="G6:G33" si="9">POWER((E6-1),3)</f>
        <v>6.5219445283884722E-2</v>
      </c>
      <c r="H6" s="12">
        <f>1.76-((1.76-1.32)/(10-5))*(D6-5)</f>
        <v>1.4184210526315788</v>
      </c>
      <c r="I6" s="14">
        <f t="shared" si="7"/>
        <v>232.02183044756279</v>
      </c>
      <c r="J6">
        <v>5</v>
      </c>
      <c r="K6" s="4">
        <v>0.1</v>
      </c>
      <c r="L6" s="4">
        <v>3.74</v>
      </c>
      <c r="M6" s="6"/>
      <c r="O6" s="27">
        <v>4</v>
      </c>
      <c r="P6" s="26">
        <v>228</v>
      </c>
      <c r="Q6" s="12">
        <f t="shared" si="0"/>
        <v>12.171052631578949</v>
      </c>
      <c r="R6" s="12">
        <f t="shared" si="1"/>
        <v>1.3903286785779623</v>
      </c>
      <c r="S6" s="12">
        <f t="shared" si="2"/>
        <v>0.15235647732041818</v>
      </c>
      <c r="T6" s="13">
        <f t="shared" si="8"/>
        <v>5.9469102465272108E-2</v>
      </c>
      <c r="U6" s="12">
        <f>1.32-((1.32-0.82)/(20-10))*(Q6-10)</f>
        <v>1.2114473684210525</v>
      </c>
      <c r="V6" s="26">
        <f t="shared" si="3"/>
        <v>222.09473682103066</v>
      </c>
      <c r="W6" s="34" t="s">
        <v>16</v>
      </c>
    </row>
    <row r="7" spans="2:23">
      <c r="B7" s="24">
        <v>4</v>
      </c>
      <c r="C7" s="11">
        <v>228</v>
      </c>
      <c r="D7" s="12">
        <f t="shared" si="4"/>
        <v>12.171052631578949</v>
      </c>
      <c r="E7" s="12">
        <f t="shared" si="5"/>
        <v>1.3903286785779623</v>
      </c>
      <c r="F7" s="12">
        <f t="shared" si="6"/>
        <v>0.15235647732041818</v>
      </c>
      <c r="G7" s="13">
        <f t="shared" si="9"/>
        <v>5.9469102465272108E-2</v>
      </c>
      <c r="H7" s="12">
        <f>1.32-((1.32-0.82)/(20-10))*(D7-10)</f>
        <v>1.2114473684210525</v>
      </c>
      <c r="I7" s="14">
        <f t="shared" si="7"/>
        <v>222.09473682103066</v>
      </c>
      <c r="J7">
        <v>10</v>
      </c>
      <c r="K7" s="4">
        <v>1</v>
      </c>
      <c r="L7" s="4">
        <v>2.64</v>
      </c>
      <c r="M7" s="6"/>
      <c r="O7" s="27">
        <v>5</v>
      </c>
      <c r="P7" s="26">
        <v>210</v>
      </c>
      <c r="Q7" s="12">
        <f t="shared" si="0"/>
        <v>15.460526315789474</v>
      </c>
      <c r="R7" s="12">
        <f t="shared" si="1"/>
        <v>1.2805658881639126</v>
      </c>
      <c r="S7" s="12">
        <f t="shared" si="2"/>
        <v>7.8717217601205106E-2</v>
      </c>
      <c r="T7" s="13">
        <f t="shared" si="8"/>
        <v>2.2085366070074084E-2</v>
      </c>
      <c r="U7" s="12">
        <f>1.32-((1.32-0.82)/(20-10))*(Q7-10)</f>
        <v>1.0469736842105264</v>
      </c>
      <c r="V7" s="26">
        <f t="shared" si="3"/>
        <v>214.20607373573816</v>
      </c>
      <c r="W7" s="34" t="s">
        <v>16</v>
      </c>
    </row>
    <row r="8" spans="2:23">
      <c r="B8" s="24">
        <v>5</v>
      </c>
      <c r="C8" s="11">
        <v>210</v>
      </c>
      <c r="D8" s="12">
        <f t="shared" si="4"/>
        <v>15.460526315789474</v>
      </c>
      <c r="E8" s="12">
        <f t="shared" si="5"/>
        <v>1.2805658881639126</v>
      </c>
      <c r="F8" s="12">
        <f t="shared" si="6"/>
        <v>7.8717217601205106E-2</v>
      </c>
      <c r="G8" s="13">
        <f t="shared" si="9"/>
        <v>2.2085366070074084E-2</v>
      </c>
      <c r="H8" s="12">
        <f>1.32-((1.32-0.82)/(20-10))*(D8-10)</f>
        <v>1.0469736842105264</v>
      </c>
      <c r="I8" s="14">
        <f t="shared" si="7"/>
        <v>214.20607373573816</v>
      </c>
      <c r="J8">
        <v>10</v>
      </c>
      <c r="K8" s="4">
        <v>3</v>
      </c>
      <c r="L8" s="4">
        <v>2.06</v>
      </c>
      <c r="M8" s="6"/>
      <c r="O8" s="27">
        <v>6</v>
      </c>
      <c r="P8" s="26">
        <v>207</v>
      </c>
      <c r="Q8" s="12">
        <f t="shared" si="0"/>
        <v>18.750000000000004</v>
      </c>
      <c r="R8" s="12">
        <f t="shared" si="1"/>
        <v>1.2622720897615709</v>
      </c>
      <c r="S8" s="12">
        <f t="shared" si="2"/>
        <v>6.8786649067901509E-2</v>
      </c>
      <c r="T8" s="13">
        <f t="shared" si="8"/>
        <v>1.8040818198734342E-2</v>
      </c>
      <c r="U8" s="12">
        <f>1.32-((1.32-0.82)/(20-10))*(Q8-10)</f>
        <v>0.88249999999999984</v>
      </c>
      <c r="V8" s="26">
        <f t="shared" si="3"/>
        <v>206.31741065044559</v>
      </c>
      <c r="W8" s="34" t="s">
        <v>16</v>
      </c>
    </row>
    <row r="9" spans="2:23">
      <c r="B9" s="24">
        <v>6</v>
      </c>
      <c r="C9" s="11">
        <v>207</v>
      </c>
      <c r="D9" s="12">
        <f t="shared" ref="D9:D33" si="10">(B9-0.3)/(30+0.4)*100</f>
        <v>18.750000000000004</v>
      </c>
      <c r="E9" s="12">
        <f t="shared" si="5"/>
        <v>1.2622720897615709</v>
      </c>
      <c r="F9" s="12">
        <f t="shared" si="6"/>
        <v>6.8786649067901509E-2</v>
      </c>
      <c r="G9" s="13">
        <f t="shared" si="9"/>
        <v>1.8040818198734342E-2</v>
      </c>
      <c r="H9" s="12">
        <f>1.32-((1.32-0.82)/(20-10))*(D9-10)</f>
        <v>0.88249999999999984</v>
      </c>
      <c r="I9" s="14">
        <f t="shared" si="7"/>
        <v>206.31741065044559</v>
      </c>
      <c r="J9">
        <v>10</v>
      </c>
      <c r="K9" s="4">
        <v>5</v>
      </c>
      <c r="L9" s="4">
        <v>1.76</v>
      </c>
      <c r="M9" s="6"/>
      <c r="O9" s="27">
        <v>7</v>
      </c>
      <c r="P9" s="26">
        <v>201</v>
      </c>
      <c r="Q9" s="12">
        <f t="shared" si="0"/>
        <v>22.039473684210527</v>
      </c>
      <c r="R9" s="12">
        <f t="shared" si="1"/>
        <v>1.2256844929568878</v>
      </c>
      <c r="S9" s="12">
        <f t="shared" si="2"/>
        <v>5.0933490361207513E-2</v>
      </c>
      <c r="T9" s="13">
        <f t="shared" si="8"/>
        <v>1.1494898946693647E-2</v>
      </c>
      <c r="U9" s="12">
        <f>0.82-((0.82-0.62)/(25-20))*(Q9-20)</f>
        <v>0.73842105263157887</v>
      </c>
      <c r="V9" s="26">
        <f t="shared" si="3"/>
        <v>199.40694178772935</v>
      </c>
      <c r="W9" s="34" t="s">
        <v>16</v>
      </c>
    </row>
    <row r="10" spans="2:23">
      <c r="B10" s="24">
        <v>7</v>
      </c>
      <c r="C10" s="11">
        <v>201</v>
      </c>
      <c r="D10" s="12">
        <f t="shared" si="10"/>
        <v>22.039473684210527</v>
      </c>
      <c r="E10" s="12">
        <f t="shared" si="5"/>
        <v>1.2256844929568878</v>
      </c>
      <c r="F10" s="12">
        <f t="shared" si="6"/>
        <v>5.0933490361207513E-2</v>
      </c>
      <c r="G10" s="13">
        <f t="shared" si="9"/>
        <v>1.1494898946693647E-2</v>
      </c>
      <c r="H10" s="12">
        <f>0.82-((0.82-0.62)/(25-20))*(D10-20)</f>
        <v>0.73842105263157887</v>
      </c>
      <c r="I10" s="14">
        <f t="shared" si="7"/>
        <v>199.40694178772935</v>
      </c>
      <c r="J10">
        <v>20</v>
      </c>
      <c r="K10" s="4">
        <v>10</v>
      </c>
      <c r="L10" s="4">
        <v>1.32</v>
      </c>
      <c r="M10" s="6"/>
      <c r="O10" s="27">
        <v>8</v>
      </c>
      <c r="P10" s="26">
        <v>200</v>
      </c>
      <c r="Q10" s="12">
        <f t="shared" si="0"/>
        <v>25.328947368421055</v>
      </c>
      <c r="R10" s="12">
        <f t="shared" si="1"/>
        <v>1.2195865601561071</v>
      </c>
      <c r="S10" s="12">
        <f t="shared" si="2"/>
        <v>4.821825740119165E-2</v>
      </c>
      <c r="T10" s="13">
        <f t="shared" si="8"/>
        <v>1.0588081279449428E-2</v>
      </c>
      <c r="U10" s="12">
        <f>0.62-((0.62-0.46)/(30-25))*(Q10-25)</f>
        <v>0.60947368421052628</v>
      </c>
      <c r="V10" s="26">
        <f t="shared" si="3"/>
        <v>193.22222992886</v>
      </c>
      <c r="W10" s="34" t="s">
        <v>16</v>
      </c>
    </row>
    <row r="11" spans="2:23">
      <c r="B11" s="24">
        <v>8</v>
      </c>
      <c r="C11" s="11">
        <v>200</v>
      </c>
      <c r="D11" s="12">
        <f t="shared" si="10"/>
        <v>25.328947368421055</v>
      </c>
      <c r="E11" s="12">
        <f t="shared" si="5"/>
        <v>1.2195865601561071</v>
      </c>
      <c r="F11" s="12">
        <f t="shared" si="6"/>
        <v>4.821825740119165E-2</v>
      </c>
      <c r="G11" s="13">
        <f t="shared" si="9"/>
        <v>1.0588081279449428E-2</v>
      </c>
      <c r="H11" s="12">
        <f>0.62-((0.62-0.46)/(30-25))*(D11-25)</f>
        <v>0.60947368421052628</v>
      </c>
      <c r="I11" s="14">
        <f t="shared" si="7"/>
        <v>193.22222992886</v>
      </c>
      <c r="J11">
        <v>25</v>
      </c>
      <c r="K11" s="4">
        <v>20</v>
      </c>
      <c r="L11" s="4">
        <v>0.82</v>
      </c>
      <c r="M11" s="6"/>
      <c r="O11" s="27">
        <v>9</v>
      </c>
      <c r="P11" s="26">
        <v>194</v>
      </c>
      <c r="Q11" s="12">
        <f t="shared" si="0"/>
        <v>28.618421052631575</v>
      </c>
      <c r="R11" s="12">
        <f t="shared" si="1"/>
        <v>1.182998963351424</v>
      </c>
      <c r="S11" s="12">
        <f t="shared" si="2"/>
        <v>3.3488620587695812E-2</v>
      </c>
      <c r="T11" s="13">
        <f t="shared" si="8"/>
        <v>6.1283828516174883E-3</v>
      </c>
      <c r="U11" s="12">
        <f>0.62-((0.62-0.46)/(30-25))*(Q11-25)</f>
        <v>0.50421052631578966</v>
      </c>
      <c r="V11" s="26">
        <f t="shared" si="3"/>
        <v>188.17348555427279</v>
      </c>
      <c r="W11" s="34" t="s">
        <v>16</v>
      </c>
    </row>
    <row r="12" spans="2:23">
      <c r="B12" s="24">
        <v>9</v>
      </c>
      <c r="C12" s="11">
        <v>194</v>
      </c>
      <c r="D12" s="12">
        <f t="shared" si="10"/>
        <v>28.618421052631575</v>
      </c>
      <c r="E12" s="12">
        <f t="shared" si="5"/>
        <v>1.182998963351424</v>
      </c>
      <c r="F12" s="12">
        <f t="shared" si="6"/>
        <v>3.3488620587695812E-2</v>
      </c>
      <c r="G12" s="13">
        <f t="shared" si="9"/>
        <v>6.1283828516174883E-3</v>
      </c>
      <c r="H12" s="12">
        <f>0.62-((0.62-0.46)/(30-25))*(D12-25)</f>
        <v>0.50421052631578966</v>
      </c>
      <c r="I12" s="14">
        <f t="shared" si="7"/>
        <v>188.17348555427279</v>
      </c>
      <c r="J12">
        <v>25</v>
      </c>
      <c r="K12" s="4">
        <v>25</v>
      </c>
      <c r="L12" s="4">
        <v>0.62</v>
      </c>
      <c r="M12" s="6"/>
      <c r="O12" s="27">
        <v>10</v>
      </c>
      <c r="P12" s="26">
        <v>193</v>
      </c>
      <c r="Q12" s="12">
        <f t="shared" si="0"/>
        <v>31.907894736842103</v>
      </c>
      <c r="R12" s="12">
        <f t="shared" si="1"/>
        <v>1.1769010305506435</v>
      </c>
      <c r="S12" s="12">
        <f t="shared" si="2"/>
        <v>3.1293974609879718E-2</v>
      </c>
      <c r="T12" s="13">
        <f t="shared" si="8"/>
        <v>5.5359363585133952E-3</v>
      </c>
      <c r="U12" s="12">
        <f>0.46-((0.46-0.18)/(40-30))*(Q12-30)</f>
        <v>0.40657894736842115</v>
      </c>
      <c r="V12" s="26">
        <f t="shared" si="3"/>
        <v>183.49077514684313</v>
      </c>
      <c r="W12" s="34" t="s">
        <v>16</v>
      </c>
    </row>
    <row r="13" spans="2:23">
      <c r="B13" s="24">
        <v>10</v>
      </c>
      <c r="C13" s="11">
        <v>193</v>
      </c>
      <c r="D13" s="12">
        <f t="shared" si="10"/>
        <v>31.907894736842103</v>
      </c>
      <c r="E13" s="12">
        <f t="shared" si="5"/>
        <v>1.1769010305506435</v>
      </c>
      <c r="F13" s="12">
        <f t="shared" si="6"/>
        <v>3.1293974609879718E-2</v>
      </c>
      <c r="G13" s="13">
        <f t="shared" si="9"/>
        <v>5.5359363585133952E-3</v>
      </c>
      <c r="H13" s="12">
        <f>0.46-((0.46-0.18)/(40-30))*(D13-30)</f>
        <v>0.40657894736842115</v>
      </c>
      <c r="I13" s="14">
        <f t="shared" si="7"/>
        <v>183.49077514684313</v>
      </c>
      <c r="J13">
        <v>30</v>
      </c>
      <c r="K13" s="4">
        <v>30</v>
      </c>
      <c r="L13" s="4">
        <v>0.46</v>
      </c>
      <c r="M13" s="6"/>
      <c r="O13" s="27">
        <v>11</v>
      </c>
      <c r="P13" s="26">
        <v>184</v>
      </c>
      <c r="Q13" s="12">
        <f t="shared" si="0"/>
        <v>35.19736842105263</v>
      </c>
      <c r="R13" s="12">
        <f t="shared" si="1"/>
        <v>1.1220196353436187</v>
      </c>
      <c r="S13" s="12">
        <f t="shared" si="2"/>
        <v>1.4888791409389682E-2</v>
      </c>
      <c r="T13" s="13">
        <f t="shared" si="8"/>
        <v>1.8167248984809318E-3</v>
      </c>
      <c r="U13" s="12">
        <f>0.46-((0.46-0.18)/(40-30))*(Q13-30)</f>
        <v>0.31447368421052635</v>
      </c>
      <c r="V13" s="26">
        <f t="shared" si="3"/>
        <v>179.07312381907931</v>
      </c>
      <c r="W13" s="34" t="s">
        <v>16</v>
      </c>
    </row>
    <row r="14" spans="2:23">
      <c r="B14" s="24">
        <v>11</v>
      </c>
      <c r="C14" s="11">
        <v>184</v>
      </c>
      <c r="D14" s="12">
        <f t="shared" si="10"/>
        <v>35.19736842105263</v>
      </c>
      <c r="E14" s="12">
        <f t="shared" si="5"/>
        <v>1.1220196353436187</v>
      </c>
      <c r="F14" s="12">
        <f t="shared" si="6"/>
        <v>1.4888791409389682E-2</v>
      </c>
      <c r="G14" s="13">
        <f t="shared" si="9"/>
        <v>1.8167248984809318E-3</v>
      </c>
      <c r="H14" s="12">
        <f>0.46-((0.46-0.18)/(40-30))*(D14-30)</f>
        <v>0.31447368421052635</v>
      </c>
      <c r="I14" s="14">
        <f t="shared" si="7"/>
        <v>179.07312381907931</v>
      </c>
      <c r="J14">
        <v>30</v>
      </c>
      <c r="K14" s="4">
        <v>40</v>
      </c>
      <c r="L14" s="4">
        <v>0.18</v>
      </c>
      <c r="M14" s="6"/>
      <c r="O14" s="27">
        <v>12</v>
      </c>
      <c r="P14" s="26">
        <v>177</v>
      </c>
      <c r="Q14" s="12">
        <f t="shared" si="0"/>
        <v>38.486842105263158</v>
      </c>
      <c r="R14" s="12">
        <f t="shared" si="1"/>
        <v>1.0793341057381549</v>
      </c>
      <c r="S14" s="12">
        <f t="shared" si="2"/>
        <v>6.2939003332727443E-3</v>
      </c>
      <c r="T14" s="13">
        <f t="shared" si="8"/>
        <v>4.9932095454526839E-4</v>
      </c>
      <c r="U14" s="12">
        <f>0.46-((0.46-0.18)/(40-30))*(Q14-30)</f>
        <v>0.22236842105263158</v>
      </c>
      <c r="V14" s="26">
        <f t="shared" si="3"/>
        <v>174.65547249131549</v>
      </c>
      <c r="W14" s="34" t="s">
        <v>16</v>
      </c>
    </row>
    <row r="15" spans="2:23">
      <c r="B15" s="24">
        <v>12</v>
      </c>
      <c r="C15" s="11">
        <v>177</v>
      </c>
      <c r="D15" s="12">
        <f t="shared" si="10"/>
        <v>38.486842105263158</v>
      </c>
      <c r="E15" s="12">
        <f t="shared" si="5"/>
        <v>1.0793341057381549</v>
      </c>
      <c r="F15" s="12">
        <f t="shared" si="6"/>
        <v>6.2939003332727443E-3</v>
      </c>
      <c r="G15" s="13">
        <f t="shared" si="9"/>
        <v>4.9932095454526839E-4</v>
      </c>
      <c r="H15" s="12">
        <f>0.46-((0.46-0.18)/(40-30))*(D15-30)</f>
        <v>0.22236842105263158</v>
      </c>
      <c r="I15" s="14">
        <f t="shared" si="7"/>
        <v>174.65547249131549</v>
      </c>
      <c r="J15">
        <v>30</v>
      </c>
      <c r="K15" s="4">
        <v>50</v>
      </c>
      <c r="L15" s="4">
        <v>-0.08</v>
      </c>
      <c r="M15" s="6"/>
      <c r="O15" s="27">
        <v>13</v>
      </c>
      <c r="P15" s="26">
        <v>171</v>
      </c>
      <c r="Q15" s="12">
        <f t="shared" si="0"/>
        <v>41.776315789473685</v>
      </c>
      <c r="R15" s="12">
        <f t="shared" si="1"/>
        <v>1.0427465089334718</v>
      </c>
      <c r="S15" s="12">
        <f t="shared" si="2"/>
        <v>1.8272640259993811E-3</v>
      </c>
      <c r="T15" s="13">
        <f t="shared" si="8"/>
        <v>7.8109158011194116E-5</v>
      </c>
      <c r="U15" s="12">
        <f>0.18-((0.18--0.08)/(50-40))*(Q15-40)</f>
        <v>0.13381578947368417</v>
      </c>
      <c r="V15" s="26">
        <f t="shared" si="3"/>
        <v>170.408216286194</v>
      </c>
      <c r="W15" s="34" t="s">
        <v>17</v>
      </c>
    </row>
    <row r="16" spans="2:23">
      <c r="B16" s="24">
        <v>13</v>
      </c>
      <c r="C16" s="11">
        <v>171</v>
      </c>
      <c r="D16" s="12">
        <f t="shared" si="10"/>
        <v>41.776315789473685</v>
      </c>
      <c r="E16" s="12">
        <f t="shared" si="5"/>
        <v>1.0427465089334718</v>
      </c>
      <c r="F16" s="12">
        <f t="shared" si="6"/>
        <v>1.8272640259993811E-3</v>
      </c>
      <c r="G16" s="13">
        <f t="shared" si="9"/>
        <v>7.8109158011194116E-5</v>
      </c>
      <c r="H16" s="12">
        <f>0.18-((0.18--0.08)/(50-40))*(D16-40)</f>
        <v>0.13381578947368417</v>
      </c>
      <c r="I16" s="14">
        <f t="shared" si="7"/>
        <v>170.408216286194</v>
      </c>
      <c r="J16">
        <v>40</v>
      </c>
      <c r="K16" s="4">
        <v>60</v>
      </c>
      <c r="L16" s="4">
        <v>-0.32</v>
      </c>
      <c r="M16" s="6"/>
      <c r="O16" s="27">
        <v>14</v>
      </c>
      <c r="P16" s="26">
        <v>167</v>
      </c>
      <c r="Q16" s="12">
        <f t="shared" si="0"/>
        <v>45.065789473684212</v>
      </c>
      <c r="R16" s="12">
        <f t="shared" si="1"/>
        <v>1.0183547777303494</v>
      </c>
      <c r="S16" s="12">
        <f t="shared" si="2"/>
        <v>3.3689786553053159E-4</v>
      </c>
      <c r="T16" s="13">
        <f t="shared" si="8"/>
        <v>6.1836854396420603E-6</v>
      </c>
      <c r="U16" s="12">
        <f>0.18-((0.18--0.08)/(50-40))*(Q16-40)</f>
        <v>4.8289473684210465E-2</v>
      </c>
      <c r="V16" s="26">
        <f t="shared" si="3"/>
        <v>166.30611148184187</v>
      </c>
      <c r="W16" s="34" t="s">
        <v>17</v>
      </c>
    </row>
    <row r="17" spans="2:23">
      <c r="B17" s="24">
        <v>14</v>
      </c>
      <c r="C17" s="11">
        <v>167</v>
      </c>
      <c r="D17" s="12">
        <f t="shared" si="10"/>
        <v>45.065789473684212</v>
      </c>
      <c r="E17" s="12">
        <f t="shared" si="5"/>
        <v>1.0183547777303494</v>
      </c>
      <c r="F17" s="12">
        <f t="shared" si="6"/>
        <v>3.3689786553053159E-4</v>
      </c>
      <c r="G17" s="13">
        <f t="shared" si="9"/>
        <v>6.1836854396420603E-6</v>
      </c>
      <c r="H17" s="12">
        <f>0.18-((0.18--0.08)/(50-40))*(D17-40)</f>
        <v>4.8289473684210465E-2</v>
      </c>
      <c r="I17" s="14">
        <f t="shared" si="7"/>
        <v>166.30611148184187</v>
      </c>
      <c r="J17">
        <v>40</v>
      </c>
      <c r="K17" s="4">
        <v>70</v>
      </c>
      <c r="L17" s="4">
        <v>-0.57999999999999996</v>
      </c>
      <c r="M17" s="6"/>
      <c r="O17" s="27">
        <v>15</v>
      </c>
      <c r="P17" s="26">
        <v>158</v>
      </c>
      <c r="Q17" s="12">
        <f t="shared" si="0"/>
        <v>48.355263157894733</v>
      </c>
      <c r="R17" s="12">
        <f t="shared" si="1"/>
        <v>0.96347338252332471</v>
      </c>
      <c r="S17" s="12">
        <f t="shared" si="2"/>
        <v>1.334193784287361E-3</v>
      </c>
      <c r="T17" s="13">
        <f t="shared" si="8"/>
        <v>-4.8733585998422268E-5</v>
      </c>
      <c r="U17" s="12">
        <f>0.18-((0.18--0.08)/(50-40))*(Q17-40)</f>
        <v>-3.7236842105263068E-2</v>
      </c>
      <c r="V17" s="26">
        <f t="shared" si="3"/>
        <v>162.20400667748976</v>
      </c>
      <c r="W17" s="34" t="s">
        <v>17</v>
      </c>
    </row>
    <row r="18" spans="2:23">
      <c r="B18" s="24">
        <v>15</v>
      </c>
      <c r="C18" s="11">
        <v>158</v>
      </c>
      <c r="D18" s="12">
        <f t="shared" si="10"/>
        <v>48.355263157894733</v>
      </c>
      <c r="E18" s="12">
        <f t="shared" si="5"/>
        <v>0.96347338252332471</v>
      </c>
      <c r="F18" s="12">
        <f t="shared" si="6"/>
        <v>1.334193784287361E-3</v>
      </c>
      <c r="G18" s="13">
        <f t="shared" si="9"/>
        <v>-4.8733585998422268E-5</v>
      </c>
      <c r="H18" s="12">
        <f>0.18-((0.18--0.08)/(50-40))*(D18-40)</f>
        <v>-3.7236842105263068E-2</v>
      </c>
      <c r="I18" s="14">
        <f t="shared" si="7"/>
        <v>162.20400667748976</v>
      </c>
      <c r="J18">
        <v>40</v>
      </c>
      <c r="K18" s="4">
        <v>75</v>
      </c>
      <c r="L18" s="4">
        <v>-0.71</v>
      </c>
      <c r="M18" s="6"/>
      <c r="O18" s="27">
        <v>16</v>
      </c>
      <c r="P18" s="26">
        <v>157</v>
      </c>
      <c r="Q18" s="12">
        <f t="shared" si="0"/>
        <v>51.644736842105267</v>
      </c>
      <c r="R18" s="12">
        <f t="shared" si="1"/>
        <v>0.95737544972254418</v>
      </c>
      <c r="S18" s="12">
        <f t="shared" si="2"/>
        <v>1.816852286355359E-3</v>
      </c>
      <c r="T18" s="13">
        <f t="shared" si="8"/>
        <v>-7.7442511626464564E-5</v>
      </c>
      <c r="U18" s="12">
        <f>-0.08-((-0.08--0.32)/(60-50))*(Q18-50)</f>
        <v>-0.11947368421052643</v>
      </c>
      <c r="V18" s="26">
        <f t="shared" si="3"/>
        <v>158.25967513484346</v>
      </c>
      <c r="W18" s="34" t="s">
        <v>17</v>
      </c>
    </row>
    <row r="19" spans="2:23">
      <c r="B19" s="24">
        <v>16</v>
      </c>
      <c r="C19" s="11">
        <v>157</v>
      </c>
      <c r="D19" s="12">
        <f t="shared" si="10"/>
        <v>51.644736842105267</v>
      </c>
      <c r="E19" s="12">
        <f t="shared" si="5"/>
        <v>0.95737544972254418</v>
      </c>
      <c r="F19" s="12">
        <f t="shared" si="6"/>
        <v>1.816852286355359E-3</v>
      </c>
      <c r="G19" s="13">
        <f t="shared" si="9"/>
        <v>-7.7442511626464564E-5</v>
      </c>
      <c r="H19" s="12">
        <f>-0.08-((-0.08--0.32)/(60-50))*(D19-50)</f>
        <v>-0.11947368421052643</v>
      </c>
      <c r="I19" s="14">
        <f t="shared" si="7"/>
        <v>158.25967513484346</v>
      </c>
      <c r="J19">
        <v>50</v>
      </c>
      <c r="K19" s="4">
        <v>80</v>
      </c>
      <c r="L19" s="4">
        <v>-0.85</v>
      </c>
      <c r="M19" s="6"/>
      <c r="O19" s="27">
        <v>17</v>
      </c>
      <c r="P19" s="26">
        <v>151</v>
      </c>
      <c r="Q19" s="12">
        <f t="shared" si="0"/>
        <v>54.934210526315788</v>
      </c>
      <c r="R19" s="12">
        <f t="shared" si="1"/>
        <v>0.92078785291786092</v>
      </c>
      <c r="S19" s="12">
        <f t="shared" si="2"/>
        <v>6.2745642453624351E-3</v>
      </c>
      <c r="T19" s="13">
        <f t="shared" si="8"/>
        <v>-4.9702170587998028E-4</v>
      </c>
      <c r="U19" s="12">
        <f>-0.08-((-0.08--0.32)/(60-50))*(Q19-50)</f>
        <v>-0.19842105263157889</v>
      </c>
      <c r="V19" s="26">
        <f t="shared" si="3"/>
        <v>154.47311685390306</v>
      </c>
      <c r="W19" s="34" t="s">
        <v>17</v>
      </c>
    </row>
    <row r="20" spans="2:23">
      <c r="B20" s="24">
        <v>17</v>
      </c>
      <c r="C20" s="11">
        <v>151</v>
      </c>
      <c r="D20" s="12">
        <f t="shared" si="10"/>
        <v>54.934210526315788</v>
      </c>
      <c r="E20" s="12">
        <f t="shared" si="5"/>
        <v>0.92078785291786092</v>
      </c>
      <c r="F20" s="12">
        <f t="shared" si="6"/>
        <v>6.2745642453624351E-3</v>
      </c>
      <c r="G20" s="13">
        <f t="shared" si="9"/>
        <v>-4.9702170587998028E-4</v>
      </c>
      <c r="H20" s="12">
        <f>-0.08-((-0.08--0.32)/(60-50))*(D20-50)</f>
        <v>-0.19842105263157889</v>
      </c>
      <c r="I20" s="14">
        <f t="shared" si="7"/>
        <v>154.47311685390306</v>
      </c>
      <c r="J20">
        <v>50</v>
      </c>
      <c r="K20" s="4">
        <v>90</v>
      </c>
      <c r="L20" s="4">
        <v>-1.22</v>
      </c>
      <c r="M20" s="6"/>
      <c r="O20" s="27">
        <v>18</v>
      </c>
      <c r="P20" s="26">
        <v>148</v>
      </c>
      <c r="Q20" s="12">
        <f t="shared" si="0"/>
        <v>58.223684210526315</v>
      </c>
      <c r="R20" s="12">
        <f t="shared" si="1"/>
        <v>0.90249405451551934</v>
      </c>
      <c r="S20" s="12">
        <f t="shared" si="2"/>
        <v>9.5074094048225137E-3</v>
      </c>
      <c r="T20" s="13">
        <f t="shared" si="8"/>
        <v>-9.2702894312526277E-4</v>
      </c>
      <c r="U20" s="12">
        <f>-0.08-((-0.08--0.32)/(60-50))*(Q20-50)</f>
        <v>-0.27736842105263154</v>
      </c>
      <c r="V20" s="26">
        <f t="shared" si="3"/>
        <v>150.68655857296264</v>
      </c>
      <c r="W20" s="34" t="s">
        <v>17</v>
      </c>
    </row>
    <row r="21" spans="2:23">
      <c r="B21" s="24">
        <v>18</v>
      </c>
      <c r="C21" s="11">
        <v>148</v>
      </c>
      <c r="D21" s="12">
        <f t="shared" si="10"/>
        <v>58.223684210526315</v>
      </c>
      <c r="E21" s="12">
        <f t="shared" si="5"/>
        <v>0.90249405451551934</v>
      </c>
      <c r="F21" s="12">
        <f t="shared" si="6"/>
        <v>9.5074094048225137E-3</v>
      </c>
      <c r="G21" s="13">
        <f t="shared" si="9"/>
        <v>-9.2702894312526277E-4</v>
      </c>
      <c r="H21" s="12">
        <f>-0.08-((-0.08--0.32)/(60-50))*(D21-50)</f>
        <v>-0.27736842105263154</v>
      </c>
      <c r="I21" s="14">
        <f t="shared" si="7"/>
        <v>150.68655857296264</v>
      </c>
      <c r="J21">
        <v>50</v>
      </c>
      <c r="K21" s="4">
        <v>95</v>
      </c>
      <c r="L21" s="4">
        <v>-1.51</v>
      </c>
      <c r="M21" s="6"/>
      <c r="O21" s="27">
        <v>19</v>
      </c>
      <c r="P21" s="26">
        <v>147</v>
      </c>
      <c r="Q21" s="12">
        <f t="shared" si="0"/>
        <v>61.51315789473685</v>
      </c>
      <c r="R21" s="12">
        <f t="shared" si="1"/>
        <v>0.89639612171473881</v>
      </c>
      <c r="S21" s="12">
        <f t="shared" si="2"/>
        <v>1.0733763595747214E-2</v>
      </c>
      <c r="T21" s="13">
        <f t="shared" si="8"/>
        <v>-1.1120595371165618E-3</v>
      </c>
      <c r="U21" s="12">
        <f>-0.32-((-0.32--0.58)/(70-60))*(Q21-60)</f>
        <v>-0.35934210526315807</v>
      </c>
      <c r="V21" s="26">
        <f t="shared" si="3"/>
        <v>146.75484889125283</v>
      </c>
      <c r="W21" s="34" t="s">
        <v>18</v>
      </c>
    </row>
    <row r="22" spans="2:23">
      <c r="B22" s="24">
        <v>19</v>
      </c>
      <c r="C22" s="11">
        <v>147</v>
      </c>
      <c r="D22" s="12">
        <f t="shared" si="10"/>
        <v>61.51315789473685</v>
      </c>
      <c r="E22" s="12">
        <f t="shared" si="5"/>
        <v>0.89639612171473881</v>
      </c>
      <c r="F22" s="12">
        <f t="shared" si="6"/>
        <v>1.0733763595747214E-2</v>
      </c>
      <c r="G22" s="13">
        <f t="shared" si="9"/>
        <v>-1.1120595371165618E-3</v>
      </c>
      <c r="H22" s="12">
        <f>-0.32-((-0.32--0.58)/(70-60))*(D22-60)</f>
        <v>-0.35934210526315807</v>
      </c>
      <c r="I22" s="14">
        <f t="shared" si="7"/>
        <v>146.75484889125283</v>
      </c>
      <c r="J22">
        <v>60</v>
      </c>
      <c r="K22" s="4">
        <v>97</v>
      </c>
      <c r="L22" s="4">
        <v>-1.68</v>
      </c>
      <c r="M22" s="6"/>
      <c r="O22" s="27">
        <v>20</v>
      </c>
      <c r="P22" s="26">
        <v>147</v>
      </c>
      <c r="Q22" s="12">
        <f t="shared" si="0"/>
        <v>64.80263157894737</v>
      </c>
      <c r="R22" s="12">
        <f t="shared" si="1"/>
        <v>0.89639612171473881</v>
      </c>
      <c r="S22" s="12">
        <f t="shared" si="2"/>
        <v>1.0733763595747214E-2</v>
      </c>
      <c r="T22" s="13">
        <f t="shared" si="8"/>
        <v>-1.1120595371165618E-3</v>
      </c>
      <c r="U22" s="12">
        <f>-0.32-((-0.32--0.58)/(70-60))*(Q22-60)</f>
        <v>-0.44486842105263158</v>
      </c>
      <c r="V22" s="26">
        <f t="shared" si="3"/>
        <v>142.65274408690073</v>
      </c>
      <c r="W22" s="34" t="s">
        <v>18</v>
      </c>
    </row>
    <row r="23" spans="2:23">
      <c r="B23" s="24">
        <v>20</v>
      </c>
      <c r="C23" s="11">
        <v>147</v>
      </c>
      <c r="D23" s="12">
        <f t="shared" si="10"/>
        <v>64.80263157894737</v>
      </c>
      <c r="E23" s="12">
        <f t="shared" si="5"/>
        <v>0.89639612171473881</v>
      </c>
      <c r="F23" s="12">
        <f t="shared" si="6"/>
        <v>1.0733763595747214E-2</v>
      </c>
      <c r="G23" s="13">
        <f t="shared" si="9"/>
        <v>-1.1120595371165618E-3</v>
      </c>
      <c r="H23" s="12">
        <f>-0.32-((-0.32--0.58)/(70-60))*(D23-60)</f>
        <v>-0.44486842105263158</v>
      </c>
      <c r="I23" s="14">
        <f t="shared" si="7"/>
        <v>142.65274408690073</v>
      </c>
      <c r="J23">
        <v>60</v>
      </c>
      <c r="K23" s="4">
        <v>99</v>
      </c>
      <c r="L23" s="4">
        <v>-2</v>
      </c>
      <c r="M23" s="6"/>
      <c r="O23" s="27">
        <v>21</v>
      </c>
      <c r="P23" s="26">
        <v>137</v>
      </c>
      <c r="Q23" s="12">
        <f t="shared" si="0"/>
        <v>68.092105263157904</v>
      </c>
      <c r="R23" s="12">
        <f t="shared" si="1"/>
        <v>0.83541679370693345</v>
      </c>
      <c r="S23" s="12">
        <f t="shared" si="2"/>
        <v>2.7087631793706102E-2</v>
      </c>
      <c r="T23" s="13">
        <f t="shared" si="8"/>
        <v>-4.4581692914941601E-3</v>
      </c>
      <c r="U23" s="12">
        <f>-0.32-((-0.32--0.58)/(70-60))*(Q23-60)</f>
        <v>-0.53039473684210547</v>
      </c>
      <c r="V23" s="26">
        <f t="shared" si="3"/>
        <v>138.55063928254859</v>
      </c>
      <c r="W23" s="34" t="s">
        <v>18</v>
      </c>
    </row>
    <row r="24" spans="2:23">
      <c r="B24" s="24">
        <v>21</v>
      </c>
      <c r="C24" s="11">
        <v>137</v>
      </c>
      <c r="D24" s="12">
        <f t="shared" si="10"/>
        <v>68.092105263157904</v>
      </c>
      <c r="E24" s="12">
        <f t="shared" si="5"/>
        <v>0.83541679370693345</v>
      </c>
      <c r="F24" s="12">
        <f t="shared" si="6"/>
        <v>2.7087631793706102E-2</v>
      </c>
      <c r="G24" s="13">
        <f t="shared" si="9"/>
        <v>-4.4581692914941601E-3</v>
      </c>
      <c r="H24" s="12">
        <f>-0.32-((-0.32--0.58)/(70-60))*(D24-60)</f>
        <v>-0.53039473684210547</v>
      </c>
      <c r="I24" s="14">
        <f t="shared" si="7"/>
        <v>138.55063928254859</v>
      </c>
      <c r="J24">
        <v>60</v>
      </c>
      <c r="K24" s="4">
        <v>99.9</v>
      </c>
      <c r="L24" s="4">
        <v>-2.4700000000000002</v>
      </c>
      <c r="M24" s="6"/>
      <c r="O24" s="27">
        <v>22</v>
      </c>
      <c r="P24" s="26">
        <v>121</v>
      </c>
      <c r="Q24" s="12">
        <f t="shared" si="0"/>
        <v>71.381578947368425</v>
      </c>
      <c r="R24" s="12">
        <f t="shared" si="1"/>
        <v>0.73784986889444482</v>
      </c>
      <c r="S24" s="12">
        <f t="shared" si="2"/>
        <v>6.8722691238659775E-2</v>
      </c>
      <c r="T24" s="13">
        <f t="shared" si="8"/>
        <v>-1.8015662518141247E-2</v>
      </c>
      <c r="U24" s="12">
        <f>-0.58-((-0.58--0.71)/(75-70))*(Q24-70)</f>
        <v>-0.61592105263157904</v>
      </c>
      <c r="V24" s="26">
        <f t="shared" si="3"/>
        <v>134.44853447819648</v>
      </c>
      <c r="W24" s="34" t="s">
        <v>18</v>
      </c>
    </row>
    <row r="25" spans="2:23">
      <c r="B25" s="24">
        <v>22</v>
      </c>
      <c r="C25" s="11">
        <v>121</v>
      </c>
      <c r="D25" s="12">
        <f t="shared" si="10"/>
        <v>71.381578947368425</v>
      </c>
      <c r="E25" s="12">
        <f t="shared" si="5"/>
        <v>0.73784986889444482</v>
      </c>
      <c r="F25" s="12">
        <f t="shared" si="6"/>
        <v>6.8722691238659775E-2</v>
      </c>
      <c r="G25" s="13">
        <f t="shared" si="9"/>
        <v>-1.8015662518141247E-2</v>
      </c>
      <c r="H25" s="12">
        <f>-0.58-((-0.58--0.71)/(75-70))*(D25-70)</f>
        <v>-0.61592105263157904</v>
      </c>
      <c r="I25" s="14">
        <f t="shared" si="7"/>
        <v>134.44853447819648</v>
      </c>
      <c r="J25">
        <v>70</v>
      </c>
      <c r="O25" s="27">
        <v>23</v>
      </c>
      <c r="P25" s="26">
        <v>119</v>
      </c>
      <c r="Q25" s="12">
        <f t="shared" si="0"/>
        <v>74.671052631578945</v>
      </c>
      <c r="R25" s="12">
        <f t="shared" si="1"/>
        <v>0.72565400329288376</v>
      </c>
      <c r="S25" s="12">
        <f t="shared" si="2"/>
        <v>7.5265725909221037E-2</v>
      </c>
      <c r="T25" s="13">
        <f t="shared" si="8"/>
        <v>-2.0648850592449867E-2</v>
      </c>
      <c r="U25" s="12">
        <f>-0.58-((-0.58--0.71)/(75-70))*(Q25-70)</f>
        <v>-0.70144736842105249</v>
      </c>
      <c r="V25" s="26">
        <f t="shared" si="3"/>
        <v>130.3464296738444</v>
      </c>
      <c r="W25" s="34" t="s">
        <v>18</v>
      </c>
    </row>
    <row r="26" spans="2:23">
      <c r="B26" s="24">
        <v>23</v>
      </c>
      <c r="C26" s="11">
        <v>119</v>
      </c>
      <c r="D26" s="12">
        <f t="shared" si="10"/>
        <v>74.671052631578945</v>
      </c>
      <c r="E26" s="12">
        <f t="shared" si="5"/>
        <v>0.72565400329288376</v>
      </c>
      <c r="F26" s="12">
        <f t="shared" si="6"/>
        <v>7.5265725909221037E-2</v>
      </c>
      <c r="G26" s="13">
        <f t="shared" si="9"/>
        <v>-2.0648850592449867E-2</v>
      </c>
      <c r="H26" s="12">
        <f>-0.58-((-0.58--0.71)/(75-70))*(D26-70)</f>
        <v>-0.70144736842105249</v>
      </c>
      <c r="I26" s="14">
        <f t="shared" si="7"/>
        <v>130.3464296738444</v>
      </c>
      <c r="J26">
        <v>70</v>
      </c>
      <c r="O26" s="27">
        <v>24</v>
      </c>
      <c r="P26" s="26">
        <v>117</v>
      </c>
      <c r="Q26" s="12">
        <f t="shared" si="0"/>
        <v>77.96052631578948</v>
      </c>
      <c r="R26" s="12">
        <f t="shared" si="1"/>
        <v>0.71345813769132271</v>
      </c>
      <c r="S26" s="12">
        <f t="shared" si="2"/>
        <v>8.2106238855324976E-2</v>
      </c>
      <c r="T26" s="13">
        <f t="shared" si="8"/>
        <v>-2.3526874588765897E-2</v>
      </c>
      <c r="U26" s="12">
        <f>-0.71-((-0.71--0.85)/(80-75)*(Q26-75))</f>
        <v>-0.79289473684210543</v>
      </c>
      <c r="V26" s="26">
        <f t="shared" si="3"/>
        <v>125.96033299842171</v>
      </c>
      <c r="W26" s="34" t="s">
        <v>18</v>
      </c>
    </row>
    <row r="27" spans="2:23">
      <c r="B27" s="24">
        <v>24</v>
      </c>
      <c r="C27" s="11">
        <v>117</v>
      </c>
      <c r="D27" s="12">
        <f t="shared" si="10"/>
        <v>77.96052631578948</v>
      </c>
      <c r="E27" s="12">
        <f t="shared" si="5"/>
        <v>0.71345813769132271</v>
      </c>
      <c r="F27" s="12">
        <f t="shared" si="6"/>
        <v>8.2106238855324976E-2</v>
      </c>
      <c r="G27" s="13">
        <f t="shared" si="9"/>
        <v>-2.3526874588765897E-2</v>
      </c>
      <c r="H27" s="12">
        <f>-0.71-((-0.71--0.85)/(80-75)*(D27-75))</f>
        <v>-0.79289473684210543</v>
      </c>
      <c r="I27" s="14">
        <f t="shared" si="7"/>
        <v>125.96033299842171</v>
      </c>
      <c r="J27">
        <v>75</v>
      </c>
      <c r="O27" s="27">
        <v>25</v>
      </c>
      <c r="P27" s="26">
        <v>111</v>
      </c>
      <c r="Q27" s="12">
        <f t="shared" si="0"/>
        <v>81.25</v>
      </c>
      <c r="R27" s="12">
        <f t="shared" si="1"/>
        <v>0.67687054088663956</v>
      </c>
      <c r="S27" s="12">
        <f t="shared" si="2"/>
        <v>0.10441264734689287</v>
      </c>
      <c r="T27" s="13">
        <f t="shared" si="8"/>
        <v>-3.3738802261795542E-2</v>
      </c>
      <c r="U27" s="12">
        <f>-0.85-((-0.85--1.22)/(90-80))*(Q27-80)</f>
        <v>-0.89624999999999999</v>
      </c>
      <c r="V27" s="26">
        <f t="shared" si="3"/>
        <v>121.0030971156239</v>
      </c>
      <c r="W27" s="34" t="s">
        <v>18</v>
      </c>
    </row>
    <row r="28" spans="2:23">
      <c r="B28" s="24">
        <v>25</v>
      </c>
      <c r="C28" s="11">
        <v>111</v>
      </c>
      <c r="D28" s="12">
        <f t="shared" si="10"/>
        <v>81.25</v>
      </c>
      <c r="E28" s="12">
        <f t="shared" si="5"/>
        <v>0.67687054088663956</v>
      </c>
      <c r="F28" s="12">
        <f t="shared" si="6"/>
        <v>0.10441264734689287</v>
      </c>
      <c r="G28" s="13">
        <f t="shared" si="9"/>
        <v>-3.3738802261795542E-2</v>
      </c>
      <c r="H28" s="12">
        <f>-0.85-((-0.85--1.22)/(90-80))*(D28-80)</f>
        <v>-0.89624999999999999</v>
      </c>
      <c r="I28" s="14">
        <f t="shared" si="7"/>
        <v>121.0030971156239</v>
      </c>
      <c r="J28">
        <v>80</v>
      </c>
      <c r="O28" s="27">
        <v>26</v>
      </c>
      <c r="P28" s="26">
        <v>110</v>
      </c>
      <c r="Q28" s="12">
        <f t="shared" si="0"/>
        <v>84.539473684210535</v>
      </c>
      <c r="R28" s="12">
        <f t="shared" si="1"/>
        <v>0.67077260808585892</v>
      </c>
      <c r="S28" s="12">
        <f t="shared" si="2"/>
        <v>0.10839067558658745</v>
      </c>
      <c r="T28" s="13">
        <f t="shared" si="8"/>
        <v>-3.5685179431183947E-2</v>
      </c>
      <c r="U28" s="12">
        <f>-0.85-((-0.85--1.22)/(90-80))*(Q28-80)</f>
        <v>-1.0179605263157898</v>
      </c>
      <c r="V28" s="26">
        <f t="shared" si="3"/>
        <v>115.16548643250741</v>
      </c>
      <c r="W28" s="34" t="s">
        <v>18</v>
      </c>
    </row>
    <row r="29" spans="2:23">
      <c r="B29" s="24">
        <v>26</v>
      </c>
      <c r="C29" s="11">
        <v>110</v>
      </c>
      <c r="D29" s="12">
        <f t="shared" si="10"/>
        <v>84.539473684210535</v>
      </c>
      <c r="E29" s="12">
        <f t="shared" si="5"/>
        <v>0.67077260808585892</v>
      </c>
      <c r="F29" s="12">
        <f t="shared" si="6"/>
        <v>0.10839067558658745</v>
      </c>
      <c r="G29" s="13">
        <f t="shared" si="9"/>
        <v>-3.5685179431183947E-2</v>
      </c>
      <c r="H29" s="12">
        <f>-0.85-((-0.85--1.22)/(90-80))*(D29-80)</f>
        <v>-1.0179605263157898</v>
      </c>
      <c r="I29" s="14">
        <f t="shared" si="7"/>
        <v>115.16548643250741</v>
      </c>
      <c r="J29">
        <v>80</v>
      </c>
      <c r="O29" s="27">
        <v>27</v>
      </c>
      <c r="P29" s="26">
        <v>101</v>
      </c>
      <c r="Q29" s="12">
        <f t="shared" si="0"/>
        <v>87.828947368421055</v>
      </c>
      <c r="R29" s="12">
        <f t="shared" si="1"/>
        <v>0.61589121287883419</v>
      </c>
      <c r="S29" s="12">
        <f t="shared" si="2"/>
        <v>0.14753956034369306</v>
      </c>
      <c r="T29" s="13">
        <f t="shared" si="8"/>
        <v>-5.6671241576005997E-2</v>
      </c>
      <c r="U29" s="12">
        <f>-0.85-((-0.85--1.22)/(90-80))*(Q29-80)</f>
        <v>-1.139671052631579</v>
      </c>
      <c r="V29" s="26">
        <f t="shared" si="3"/>
        <v>109.32787574939094</v>
      </c>
      <c r="W29" s="34" t="s">
        <v>18</v>
      </c>
    </row>
    <row r="30" spans="2:23">
      <c r="B30" s="24">
        <v>27</v>
      </c>
      <c r="C30" s="11">
        <v>101</v>
      </c>
      <c r="D30" s="12">
        <f t="shared" si="10"/>
        <v>87.828947368421055</v>
      </c>
      <c r="E30" s="12">
        <f t="shared" si="5"/>
        <v>0.61589121287883419</v>
      </c>
      <c r="F30" s="12">
        <f t="shared" si="6"/>
        <v>0.14753956034369306</v>
      </c>
      <c r="G30" s="13">
        <f t="shared" si="9"/>
        <v>-5.6671241576005997E-2</v>
      </c>
      <c r="H30" s="12">
        <f>-0.85-((-0.85--1.22)/(90-80))*(D30-80)</f>
        <v>-1.139671052631579</v>
      </c>
      <c r="I30" s="14">
        <f t="shared" si="7"/>
        <v>109.32787574939094</v>
      </c>
      <c r="J30">
        <v>80</v>
      </c>
      <c r="O30" s="27">
        <v>28</v>
      </c>
      <c r="P30" s="26">
        <v>101</v>
      </c>
      <c r="Q30" s="12">
        <f t="shared" si="0"/>
        <v>91.118421052631575</v>
      </c>
      <c r="R30" s="12">
        <f t="shared" si="1"/>
        <v>0.61589121287883419</v>
      </c>
      <c r="S30" s="12">
        <f t="shared" si="2"/>
        <v>0.14753956034369306</v>
      </c>
      <c r="T30" s="13">
        <f t="shared" si="8"/>
        <v>-5.6671241576005997E-2</v>
      </c>
      <c r="U30" s="12">
        <f>-1.22-((-1.22--1.51)/(95-90))*(Q30-90)</f>
        <v>-1.2848684210526313</v>
      </c>
      <c r="V30" s="26">
        <f t="shared" si="3"/>
        <v>102.3637639776947</v>
      </c>
      <c r="W30" s="34" t="s">
        <v>19</v>
      </c>
    </row>
    <row r="31" spans="2:23">
      <c r="B31" s="24">
        <v>28</v>
      </c>
      <c r="C31" s="11">
        <v>101</v>
      </c>
      <c r="D31" s="12">
        <f t="shared" si="10"/>
        <v>91.118421052631575</v>
      </c>
      <c r="E31" s="12">
        <f t="shared" si="5"/>
        <v>0.61589121287883419</v>
      </c>
      <c r="F31" s="12">
        <f t="shared" si="6"/>
        <v>0.14753956034369306</v>
      </c>
      <c r="G31" s="13">
        <f t="shared" si="9"/>
        <v>-5.6671241576005997E-2</v>
      </c>
      <c r="H31" s="12">
        <f>-1.22-((-1.22--1.51)/(95-90))*(D31-90)</f>
        <v>-1.2848684210526313</v>
      </c>
      <c r="I31" s="14">
        <f t="shared" si="7"/>
        <v>102.3637639776947</v>
      </c>
      <c r="J31">
        <v>90</v>
      </c>
      <c r="O31" s="27">
        <v>29</v>
      </c>
      <c r="P31" s="26">
        <v>100</v>
      </c>
      <c r="Q31" s="12">
        <f t="shared" si="0"/>
        <v>94.40789473684211</v>
      </c>
      <c r="R31" s="12">
        <f t="shared" si="1"/>
        <v>0.60979328007805356</v>
      </c>
      <c r="S31" s="12">
        <f t="shared" si="2"/>
        <v>0.15226128427224436</v>
      </c>
      <c r="T31" s="13">
        <f t="shared" si="8"/>
        <v>-5.9413376306975525E-2</v>
      </c>
      <c r="U31" s="12">
        <f>-1.22-((-1.22--1.51)/(95-90))*(Q31-90)</f>
        <v>-1.4756578947368424</v>
      </c>
      <c r="V31" s="26">
        <f t="shared" si="3"/>
        <v>93.212914798755321</v>
      </c>
      <c r="W31" s="34" t="s">
        <v>19</v>
      </c>
    </row>
    <row r="32" spans="2:23" ht="15.75" thickBot="1">
      <c r="B32" s="24">
        <v>29</v>
      </c>
      <c r="C32" s="11">
        <v>100</v>
      </c>
      <c r="D32" s="12">
        <f t="shared" si="10"/>
        <v>94.40789473684211</v>
      </c>
      <c r="E32" s="12">
        <f t="shared" si="5"/>
        <v>0.60979328007805356</v>
      </c>
      <c r="F32" s="12">
        <f t="shared" si="6"/>
        <v>0.15226128427224436</v>
      </c>
      <c r="G32" s="13">
        <f t="shared" si="9"/>
        <v>-5.9413376306975525E-2</v>
      </c>
      <c r="H32" s="12">
        <f>-1.22-((-1.22--1.51)/(95-90))*(D32-90)</f>
        <v>-1.4756578947368424</v>
      </c>
      <c r="I32" s="14">
        <f t="shared" si="7"/>
        <v>93.212914798755321</v>
      </c>
      <c r="J32">
        <v>90</v>
      </c>
      <c r="O32" s="28">
        <v>30</v>
      </c>
      <c r="P32" s="29">
        <v>97.7</v>
      </c>
      <c r="Q32" s="16">
        <f t="shared" si="0"/>
        <v>97.69736842105263</v>
      </c>
      <c r="R32" s="16">
        <f t="shared" si="1"/>
        <v>0.59576803463625838</v>
      </c>
      <c r="S32" s="16">
        <f t="shared" si="2"/>
        <v>0.1634034818218332</v>
      </c>
      <c r="T32" s="17">
        <f t="shared" si="8"/>
        <v>-6.6052910604118067E-2</v>
      </c>
      <c r="U32" s="16">
        <f>-1.68-((-1.68--2)/(99-97))*(Q32-97)</f>
        <v>-1.7915789473684207</v>
      </c>
      <c r="V32" s="29">
        <f t="shared" si="3"/>
        <v>78.060370744525471</v>
      </c>
      <c r="W32" s="35" t="s">
        <v>19</v>
      </c>
    </row>
    <row r="33" spans="2:10" ht="15.75" thickBot="1">
      <c r="B33" s="25">
        <v>30</v>
      </c>
      <c r="C33" s="15">
        <v>97.7</v>
      </c>
      <c r="D33" s="16">
        <f t="shared" si="10"/>
        <v>97.69736842105263</v>
      </c>
      <c r="E33" s="16">
        <f t="shared" si="5"/>
        <v>0.59576803463625838</v>
      </c>
      <c r="F33" s="16">
        <f t="shared" si="6"/>
        <v>0.1634034818218332</v>
      </c>
      <c r="G33" s="17">
        <f t="shared" si="9"/>
        <v>-6.6052910604118067E-2</v>
      </c>
      <c r="H33" s="16">
        <f>-1.68-((-1.68--2)/(99-97))*(D33-97)</f>
        <v>-1.7915789473684207</v>
      </c>
      <c r="I33" s="18">
        <f t="shared" si="7"/>
        <v>78.060370744525471</v>
      </c>
      <c r="J33">
        <v>97</v>
      </c>
    </row>
    <row r="35" spans="2:10">
      <c r="B35" s="1" t="s">
        <v>1</v>
      </c>
      <c r="C35" s="1">
        <v>30</v>
      </c>
    </row>
    <row r="36" spans="2:10">
      <c r="B36" s="1" t="s">
        <v>5</v>
      </c>
      <c r="C36" s="1">
        <f>SUM(C4:C33)/30</f>
        <v>163.98999999999998</v>
      </c>
    </row>
    <row r="37" spans="2:10">
      <c r="B37" s="1" t="s">
        <v>2</v>
      </c>
      <c r="C37" s="1">
        <f>SUM(G4:G33)/(29*POWER(C38,3))</f>
        <v>0.45648952788269431</v>
      </c>
    </row>
    <row r="38" spans="2:10">
      <c r="B38" s="1" t="s">
        <v>3</v>
      </c>
      <c r="C38" s="1">
        <f>POWER(SUM(F4:F33)/30,0.5)</f>
        <v>0.29247558728324058</v>
      </c>
    </row>
  </sheetData>
  <sortState ref="B4:D33">
    <sortCondition descending="1" ref="C4"/>
  </sortState>
  <pageMargins left="0.7" right="0.7" top="0.78740157499999996" bottom="0.78740157499999996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Marek</cp:lastModifiedBy>
  <dcterms:created xsi:type="dcterms:W3CDTF">2012-11-14T15:48:15Z</dcterms:created>
  <dcterms:modified xsi:type="dcterms:W3CDTF">2012-11-24T17:49:33Z</dcterms:modified>
</cp:coreProperties>
</file>