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https://ucnmuni.sharepoint.com/teams/mu-SCI-rcxsinice/Sdilene dokumenty/Biantox Core/cvičení 2022/221123_odevzdane ukoly/databáze/"/>
    </mc:Choice>
  </mc:AlternateContent>
  <xr:revisionPtr revIDLastSave="0" documentId="8_{31426E19-AD64-4FC5-A482-4CCC60089079}" xr6:coauthVersionLast="47" xr6:coauthVersionMax="47" xr10:uidLastSave="{00000000-0000-0000-0000-000000000000}"/>
  <bookViews>
    <workbookView xWindow="-120" yWindow="-120" windowWidth="29040" windowHeight="17640" activeTab="1" xr2:uid="{00000000-000D-0000-FFFF-FFFF00000000}"/>
  </bookViews>
  <sheets>
    <sheet name="Aquatic-Export" sheetId="1" r:id="rId1"/>
    <sheet name="výsledky Dú" sheetId="4" r:id="rId2"/>
    <sheet name="References" sheetId="2" r:id="rId3"/>
    <sheet name="Search_Parameters" sheetId="3" r:id="rId4"/>
  </sheets>
  <definedNames>
    <definedName name="_xlnm._FilterDatabase" localSheetId="0" hidden="1">'Aquatic-Export'!$A$1:$CH$2144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A2149" i="1" l="1"/>
  <c r="AA2154" i="1"/>
  <c r="AA2155" i="1"/>
  <c r="AA2147" i="1"/>
  <c r="AA2146" i="1"/>
  <c r="AA2150" i="1"/>
  <c r="H280" i="2"/>
  <c r="H279" i="2"/>
  <c r="H278" i="2"/>
  <c r="H277" i="2"/>
  <c r="H276" i="2"/>
  <c r="H275" i="2"/>
  <c r="H274" i="2"/>
  <c r="H273" i="2"/>
  <c r="H272" i="2"/>
  <c r="H271" i="2"/>
  <c r="H270" i="2"/>
  <c r="H269" i="2"/>
  <c r="H268" i="2"/>
  <c r="H267" i="2"/>
  <c r="H266" i="2"/>
  <c r="H265" i="2"/>
  <c r="H264" i="2"/>
  <c r="H263" i="2"/>
  <c r="H262" i="2"/>
  <c r="H261" i="2"/>
  <c r="H260" i="2"/>
  <c r="H259" i="2"/>
  <c r="H258" i="2"/>
  <c r="H257" i="2"/>
  <c r="H256" i="2"/>
  <c r="H255" i="2"/>
  <c r="H254" i="2"/>
  <c r="H253" i="2"/>
  <c r="H252" i="2"/>
  <c r="H251" i="2"/>
  <c r="H250" i="2"/>
  <c r="H249" i="2"/>
  <c r="H248" i="2"/>
  <c r="H247" i="2"/>
  <c r="H246" i="2"/>
  <c r="H245" i="2"/>
  <c r="H244" i="2"/>
  <c r="H243" i="2"/>
  <c r="H242" i="2"/>
  <c r="H241" i="2"/>
  <c r="H240" i="2"/>
  <c r="H239" i="2"/>
  <c r="H238" i="2"/>
  <c r="H237" i="2"/>
  <c r="H236" i="2"/>
  <c r="H235" i="2"/>
  <c r="H234" i="2"/>
  <c r="H233" i="2"/>
  <c r="H232" i="2"/>
  <c r="H231" i="2"/>
  <c r="H230" i="2"/>
  <c r="H229" i="2"/>
  <c r="H228" i="2"/>
  <c r="H227" i="2"/>
  <c r="H226" i="2"/>
  <c r="H225" i="2"/>
  <c r="H224" i="2"/>
  <c r="H223" i="2"/>
  <c r="H222" i="2"/>
  <c r="H221" i="2"/>
  <c r="H220" i="2"/>
  <c r="H219" i="2"/>
  <c r="H218" i="2"/>
  <c r="H217" i="2"/>
  <c r="H216" i="2"/>
  <c r="H215" i="2"/>
  <c r="H214" i="2"/>
  <c r="H213" i="2"/>
  <c r="H212" i="2"/>
  <c r="H211" i="2"/>
  <c r="H210" i="2"/>
  <c r="H209" i="2"/>
  <c r="H208" i="2"/>
  <c r="H207" i="2"/>
  <c r="H206" i="2"/>
  <c r="H205" i="2"/>
  <c r="H204" i="2"/>
  <c r="H203" i="2"/>
  <c r="H202" i="2"/>
  <c r="H201" i="2"/>
  <c r="H200" i="2"/>
  <c r="H199" i="2"/>
  <c r="H198" i="2"/>
  <c r="H197" i="2"/>
  <c r="H196" i="2"/>
  <c r="H195" i="2"/>
  <c r="H194" i="2"/>
  <c r="H193" i="2"/>
  <c r="H192" i="2"/>
  <c r="H191" i="2"/>
  <c r="H190" i="2"/>
  <c r="H189" i="2"/>
  <c r="H188" i="2"/>
  <c r="H187" i="2"/>
  <c r="H186" i="2"/>
  <c r="H185" i="2"/>
  <c r="H184" i="2"/>
  <c r="H183" i="2"/>
  <c r="H182" i="2"/>
  <c r="H181" i="2"/>
  <c r="H180" i="2"/>
  <c r="H179" i="2"/>
  <c r="H178" i="2"/>
  <c r="H177" i="2"/>
  <c r="H176" i="2"/>
  <c r="H175" i="2"/>
  <c r="H174" i="2"/>
  <c r="H173" i="2"/>
  <c r="H172" i="2"/>
  <c r="H171" i="2"/>
  <c r="H170" i="2"/>
  <c r="H169" i="2"/>
  <c r="H168" i="2"/>
  <c r="H167" i="2"/>
  <c r="H166" i="2"/>
  <c r="H165" i="2"/>
  <c r="H164" i="2"/>
  <c r="H163" i="2"/>
  <c r="H162" i="2"/>
  <c r="H161" i="2"/>
  <c r="H160" i="2"/>
  <c r="H159" i="2"/>
  <c r="H158" i="2"/>
  <c r="H157" i="2"/>
  <c r="H156" i="2"/>
  <c r="H155" i="2"/>
  <c r="H154" i="2"/>
  <c r="H153" i="2"/>
  <c r="H152" i="2"/>
  <c r="H151" i="2"/>
  <c r="H150" i="2"/>
  <c r="H149" i="2"/>
  <c r="H148" i="2"/>
  <c r="H147" i="2"/>
  <c r="H146" i="2"/>
  <c r="H145" i="2"/>
  <c r="H144" i="2"/>
  <c r="H143" i="2"/>
  <c r="H142" i="2"/>
  <c r="H141" i="2"/>
  <c r="H140" i="2"/>
  <c r="H139" i="2"/>
  <c r="H138" i="2"/>
  <c r="H137" i="2"/>
  <c r="H136" i="2"/>
  <c r="H135" i="2"/>
  <c r="H134" i="2"/>
  <c r="H133" i="2"/>
  <c r="H132" i="2"/>
  <c r="H131" i="2"/>
  <c r="H130" i="2"/>
  <c r="H129" i="2"/>
  <c r="H128" i="2"/>
  <c r="H127" i="2"/>
  <c r="H126" i="2"/>
  <c r="H125" i="2"/>
  <c r="H124" i="2"/>
  <c r="H123" i="2"/>
  <c r="H122" i="2"/>
  <c r="H121" i="2"/>
  <c r="H120" i="2"/>
  <c r="H119" i="2"/>
  <c r="H118" i="2"/>
  <c r="H117" i="2"/>
  <c r="H116" i="2"/>
  <c r="H115" i="2"/>
  <c r="H114" i="2"/>
  <c r="H113" i="2"/>
  <c r="H112" i="2"/>
  <c r="H111" i="2"/>
  <c r="H110" i="2"/>
  <c r="H109" i="2"/>
  <c r="H108" i="2"/>
  <c r="H107" i="2"/>
  <c r="H106" i="2"/>
  <c r="H105" i="2"/>
  <c r="H104" i="2"/>
  <c r="H103" i="2"/>
  <c r="H102" i="2"/>
  <c r="H101" i="2"/>
  <c r="H100" i="2"/>
  <c r="H99" i="2"/>
  <c r="H98" i="2"/>
  <c r="H97" i="2"/>
  <c r="H96" i="2"/>
  <c r="H95" i="2"/>
  <c r="H94" i="2"/>
  <c r="H93" i="2"/>
  <c r="H92" i="2"/>
  <c r="H91" i="2"/>
  <c r="H90" i="2"/>
  <c r="H89" i="2"/>
  <c r="H88" i="2"/>
  <c r="H87" i="2"/>
  <c r="H86" i="2"/>
  <c r="H85" i="2"/>
  <c r="H84" i="2"/>
  <c r="H83" i="2"/>
  <c r="H82" i="2"/>
  <c r="H81" i="2"/>
  <c r="H80" i="2"/>
  <c r="H79" i="2"/>
  <c r="H78" i="2"/>
  <c r="H77" i="2"/>
  <c r="H76" i="2"/>
  <c r="H75" i="2"/>
  <c r="H74" i="2"/>
  <c r="H73" i="2"/>
  <c r="H72" i="2"/>
  <c r="H71" i="2"/>
  <c r="H70" i="2"/>
  <c r="H69" i="2"/>
  <c r="H68" i="2"/>
  <c r="H67" i="2"/>
  <c r="H66" i="2"/>
  <c r="H65" i="2"/>
  <c r="H64" i="2"/>
  <c r="H63" i="2"/>
  <c r="H62" i="2"/>
  <c r="H61" i="2"/>
  <c r="H60" i="2"/>
  <c r="H59" i="2"/>
  <c r="H58" i="2"/>
  <c r="H57" i="2"/>
  <c r="H56" i="2"/>
  <c r="H55" i="2"/>
  <c r="H54" i="2"/>
  <c r="H53" i="2"/>
  <c r="H52" i="2"/>
  <c r="H51" i="2"/>
  <c r="H50" i="2"/>
  <c r="H49" i="2"/>
  <c r="H48" i="2"/>
  <c r="H47" i="2"/>
  <c r="H46" i="2"/>
  <c r="H45" i="2"/>
  <c r="H44" i="2"/>
  <c r="H43" i="2"/>
  <c r="H42" i="2"/>
  <c r="H41" i="2"/>
  <c r="H40" i="2"/>
  <c r="H39" i="2"/>
  <c r="H38" i="2"/>
  <c r="H37" i="2"/>
  <c r="H36" i="2"/>
  <c r="H35" i="2"/>
  <c r="H34" i="2"/>
  <c r="H33" i="2"/>
  <c r="H32" i="2"/>
  <c r="H31" i="2"/>
  <c r="H30" i="2"/>
  <c r="H29" i="2"/>
  <c r="H28" i="2"/>
  <c r="H27" i="2"/>
  <c r="H26" i="2"/>
  <c r="H25" i="2"/>
  <c r="H24" i="2"/>
  <c r="H23" i="2"/>
  <c r="H22" i="2"/>
  <c r="H21" i="2"/>
  <c r="H20" i="2"/>
  <c r="H19" i="2"/>
  <c r="H18" i="2"/>
  <c r="H17" i="2"/>
  <c r="H16" i="2"/>
  <c r="H15" i="2"/>
  <c r="H14" i="2"/>
  <c r="H13" i="2"/>
  <c r="H12" i="2"/>
  <c r="H11" i="2"/>
  <c r="H10" i="2"/>
  <c r="H9" i="2"/>
  <c r="H8" i="2"/>
  <c r="H7" i="2"/>
  <c r="H6" i="2"/>
  <c r="H5" i="2"/>
  <c r="H4" i="2"/>
  <c r="H3" i="2"/>
  <c r="H2"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tc={6307C36D-80FD-4D6B-99A9-4F2A59F21580}</author>
    <author>tc={50ACD3F2-16E0-48AC-B612-9E29018D5E44}</author>
  </authors>
  <commentList>
    <comment ref="B7" authorId="0" shapeId="0" xr:uid="{6307C36D-80FD-4D6B-99A9-4F2A59F21580}">
      <text>
        <t>[Komentář ve vlákně]
Vaše verze aplikace Excel vám umožňuje číst tento komentář ve vlákně, ale jakékoli jeho úpravy se odeberou, pokud se soubor otevře v novější verzi aplikace Excel. Další informace: https://go.microsoft.com/fwlink/?linkid=870924
Komentář:
    pozor na effect measurement</t>
      </text>
    </comment>
    <comment ref="A19" authorId="1" shapeId="0" xr:uid="{50ACD3F2-16E0-48AC-B612-9E29018D5E44}">
      <text>
        <t>[Komentář ve vlákně]
Vaše verze aplikace Excel vám umožňuje číst tento komentář ve vlákně, ale jakékoli jeho úpravy se odeberou, pokud se soubor otevře v novější verzi aplikace Excel. Další informace: https://go.microsoft.com/fwlink/?linkid=870924
Komentář:
    Okomentovat výsledky - srovnání ECOSAR a ECOTOX databáze</t>
      </text>
    </comment>
  </commentList>
</comments>
</file>

<file path=xl/sharedStrings.xml><?xml version="1.0" encoding="utf-8"?>
<sst xmlns="http://schemas.openxmlformats.org/spreadsheetml/2006/main" count="42217" uniqueCount="2020">
  <si>
    <t>CAS Number</t>
  </si>
  <si>
    <t>Chemical Name</t>
  </si>
  <si>
    <t>Chemical Grade</t>
  </si>
  <si>
    <t>Chemical Analysis</t>
  </si>
  <si>
    <t>Chemical Purity Mean Op</t>
  </si>
  <si>
    <t>Chemical Purity Mean(%)</t>
  </si>
  <si>
    <t>Chemical Purity Min Op</t>
  </si>
  <si>
    <t>Chemical Purity Min(%)</t>
  </si>
  <si>
    <t>Chemical Purity Max Op</t>
  </si>
  <si>
    <t>Chemical Purity Max(%)</t>
  </si>
  <si>
    <t>Species Scientific Name</t>
  </si>
  <si>
    <t>Species Common Name</t>
  </si>
  <si>
    <t>Species Group</t>
  </si>
  <si>
    <t>Organism Lifestage</t>
  </si>
  <si>
    <t>Organism Age Mean Op</t>
  </si>
  <si>
    <t>Organism Age Mean</t>
  </si>
  <si>
    <t>Organism Age Min Op</t>
  </si>
  <si>
    <t>Organism Age Min</t>
  </si>
  <si>
    <t>Organism Age Max Op</t>
  </si>
  <si>
    <t>Organism Age Max</t>
  </si>
  <si>
    <t>Age Units</t>
  </si>
  <si>
    <t>Exposure Type</t>
  </si>
  <si>
    <t>Media Type</t>
  </si>
  <si>
    <t>Test Location</t>
  </si>
  <si>
    <t>Number of Doses</t>
  </si>
  <si>
    <t>Conc 1 Type (Standardized)</t>
  </si>
  <si>
    <t>Conc 1 Mean Op (Standardized)</t>
  </si>
  <si>
    <t>Conc 1 Mean (Standardized)</t>
  </si>
  <si>
    <t>Conc 1 Min Op (Standardized)</t>
  </si>
  <si>
    <t>Conc Min 1 (Standardized)</t>
  </si>
  <si>
    <t>Conc 1 Max Op (Standardized)</t>
  </si>
  <si>
    <t>Conc 1 Max (Standardized)</t>
  </si>
  <si>
    <t>Conc 1 Units (Standardized)</t>
  </si>
  <si>
    <t>Conc 2 Type (Standardized)</t>
  </si>
  <si>
    <t>Conc 2 Mean Op (Standardized)</t>
  </si>
  <si>
    <t>Conc 2 Mean (Standardized)</t>
  </si>
  <si>
    <t>Conc 2 Min Op (Standardized)</t>
  </si>
  <si>
    <t>Conc Min 2 (Standardized)</t>
  </si>
  <si>
    <t>Conc 2 Max Op (Standardized)</t>
  </si>
  <si>
    <t>Conc 2 Max (Standardized)</t>
  </si>
  <si>
    <t>Conc 2 Units (Standardized)</t>
  </si>
  <si>
    <t>Conc 3 Type (Standardized)</t>
  </si>
  <si>
    <t>Conc 3 Mean Op (Standardized)</t>
  </si>
  <si>
    <t>Conc 3 Mean (Standardized)</t>
  </si>
  <si>
    <t>Conc 3 Min Op (Standardized)</t>
  </si>
  <si>
    <t>Conc Min 3 (Standardized)</t>
  </si>
  <si>
    <t>Conc 3 Max Op (Standardized)</t>
  </si>
  <si>
    <t>Conc 3 Max (Standardized)</t>
  </si>
  <si>
    <t>Conc 3 Units (Standardized)</t>
  </si>
  <si>
    <t>Effect</t>
  </si>
  <si>
    <t>Effect Measurement</t>
  </si>
  <si>
    <t>Endpoint</t>
  </si>
  <si>
    <t>Response Site</t>
  </si>
  <si>
    <t>Observed Duration Mean Op (Days)</t>
  </si>
  <si>
    <t>Observed Duration Mean (Days)</t>
  </si>
  <si>
    <t>Observed Duration Min Op (Days)</t>
  </si>
  <si>
    <t>Observed Duration Min (Days)</t>
  </si>
  <si>
    <t>Observed Duration Max Op (Days)</t>
  </si>
  <si>
    <t>Observed Duration Max (Days)</t>
  </si>
  <si>
    <t>Observed Duration Units (Days)</t>
  </si>
  <si>
    <t>BCF 1 Value Op</t>
  </si>
  <si>
    <t>BCF 1 Value</t>
  </si>
  <si>
    <t>BCF 1 Min Op</t>
  </si>
  <si>
    <t>BCF 1 Min</t>
  </si>
  <si>
    <t>BCF 1 Max Op</t>
  </si>
  <si>
    <t>BCF 1 Max</t>
  </si>
  <si>
    <t>BCF 1 Unit</t>
  </si>
  <si>
    <t>BCF 2 Value Op</t>
  </si>
  <si>
    <t>BCF 2 Value</t>
  </si>
  <si>
    <t>BCF 2 Min Op</t>
  </si>
  <si>
    <t>BCF 2 Min</t>
  </si>
  <si>
    <t>BCF 2 Max Op</t>
  </si>
  <si>
    <t>BCF 2 Max</t>
  </si>
  <si>
    <t>BCF 2 Unit</t>
  </si>
  <si>
    <t>BCF 3 Value Op</t>
  </si>
  <si>
    <t>BCF 3 Value</t>
  </si>
  <si>
    <t>BCF 3 Min Op</t>
  </si>
  <si>
    <t>BCF 3 Min</t>
  </si>
  <si>
    <t>BCF 3 Max Op</t>
  </si>
  <si>
    <t>BCF 3 Max</t>
  </si>
  <si>
    <t>BCF 3 Unit</t>
  </si>
  <si>
    <t>Author</t>
  </si>
  <si>
    <t>Reference Number</t>
  </si>
  <si>
    <t>Title</t>
  </si>
  <si>
    <t>Source</t>
  </si>
  <si>
    <t>Publication Year</t>
  </si>
  <si>
    <t>N'-(3,4-Dichlorophenyl)-N,N-dimethylurea</t>
  </si>
  <si>
    <t>Measured</t>
  </si>
  <si>
    <t>Oedogonium cardiacum</t>
  </si>
  <si>
    <t>Green Algae</t>
  </si>
  <si>
    <t>Algae</t>
  </si>
  <si>
    <t>Static</t>
  </si>
  <si>
    <t>Fresh water</t>
  </si>
  <si>
    <t>Lab</t>
  </si>
  <si>
    <t>Active ingredient</t>
  </si>
  <si>
    <t>AI mg/L</t>
  </si>
  <si>
    <t>Accumulation</t>
  </si>
  <si>
    <t>Residue</t>
  </si>
  <si>
    <t>BCF</t>
  </si>
  <si>
    <t>Day(s)</t>
  </si>
  <si>
    <t>L/kg</t>
  </si>
  <si>
    <t>Isensee,A.R.</t>
  </si>
  <si>
    <t>Variability of Aquatic Model Ecosystem-Derived Data</t>
  </si>
  <si>
    <t>Int. J. Environ. Stud.10:35-41</t>
  </si>
  <si>
    <t>Pestanal grade</t>
  </si>
  <si>
    <t>Chemical analysis reported</t>
  </si>
  <si>
    <t>&gt;</t>
  </si>
  <si>
    <t>Salt water</t>
  </si>
  <si>
    <t>Population</t>
  </si>
  <si>
    <t>Photosynthesis</t>
  </si>
  <si>
    <t>EC01</t>
  </si>
  <si>
    <t>--</t>
  </si>
  <si>
    <t>Arrhenius,A., F. Gronvall, M. Scholze, T. Backhaus, and H. Blanck</t>
  </si>
  <si>
    <t>Predictability of the Mixture Toxicity of 12 Similarly Acting Congeneric Inhibitors of Photosystem II in Marine Periphyton and Epipsammon Communities</t>
  </si>
  <si>
    <t>Aquat. Toxicol.68(4): 351-367</t>
  </si>
  <si>
    <t>Unmeasured</t>
  </si>
  <si>
    <t>Fragilaria capucina ssp. rumpens</t>
  </si>
  <si>
    <t>Diatom</t>
  </si>
  <si>
    <t>Exponential growth phase (log)</t>
  </si>
  <si>
    <t>7-10</t>
  </si>
  <si>
    <t>Chlorophyll A concentration</t>
  </si>
  <si>
    <t>EC05</t>
  </si>
  <si>
    <t>Larras,F., A. Bouchez, F. Rimet, and B. Montuelle</t>
  </si>
  <si>
    <t>Using Bioassays and Species Sensitivity Distributions to Assess Herbicide Toxicity Towards Benthic Diatoms</t>
  </si>
  <si>
    <t>PLoS One7(8): 1-9</t>
  </si>
  <si>
    <t>Cyclotella meneghiniana</t>
  </si>
  <si>
    <t>Ulnaria ulna</t>
  </si>
  <si>
    <t>Encyonema silesiacum</t>
  </si>
  <si>
    <t>Nitzschia palea</t>
  </si>
  <si>
    <t>Eolimna minima</t>
  </si>
  <si>
    <t>Achnanthidium minutissimum</t>
  </si>
  <si>
    <t>Mayamaea fossalis</t>
  </si>
  <si>
    <t>Fragilaria capucina var. vaucheriae</t>
  </si>
  <si>
    <t>Craticula accomoda</t>
  </si>
  <si>
    <t>Pennate Diatom</t>
  </si>
  <si>
    <t>Gomphonema parvulum</t>
  </si>
  <si>
    <t>8-11</t>
  </si>
  <si>
    <t>Formulation</t>
  </si>
  <si>
    <t>EC10</t>
  </si>
  <si>
    <t>Larras,F., B. Montuelle, and A. Bouchez</t>
  </si>
  <si>
    <t>Assessment of Toxicity Thresholds in Aquatic Environments: Does Benthic Growth of Diatoms Affect Their Exposure and Sensitivity to Herbicides?</t>
  </si>
  <si>
    <t>Sci. Total Environ.463/464:469-477</t>
  </si>
  <si>
    <t>Anabaena sp.</t>
  </si>
  <si>
    <t>Blue-Green Algae</t>
  </si>
  <si>
    <t>Physiology</t>
  </si>
  <si>
    <t>Bioluminescence</t>
  </si>
  <si>
    <t>Rodea-Palomares,I., M. Makowski, G. Suarez, M. Gonzalez-Pleiter, F. Leganes, and F. Fernandez-Pinas</t>
  </si>
  <si>
    <t>Effect of PFOA/PFOS Pre-Exposure on the Toxicity of the Herbicides 2,4-D, Atrazine, Diuron and Paraquat to a Model Aquatic Photosynthetic Microorganism</t>
  </si>
  <si>
    <t>Chemosphere139:65-72</t>
  </si>
  <si>
    <t>&gt;=</t>
  </si>
  <si>
    <t>Abundance</t>
  </si>
  <si>
    <t>Wood,R.J., S.M. Mitrovic, R.P. Lim, and B.J. Kefford</t>
  </si>
  <si>
    <t>How Benthic Diatoms Within Natural Communities Respond to Eight Common Herbicides with Different Modes of Action</t>
  </si>
  <si>
    <t>Sci. Total Environ.557-558:636-643</t>
  </si>
  <si>
    <t>Fragilaria crotonensis</t>
  </si>
  <si>
    <t>Larras,F., F. Keck, B. Montuelle, F. Rimet, and A. Bouchez</t>
  </si>
  <si>
    <t>Linking Diatom Sensitivity to Herbicides to Phylogeny:  A Step Forward for Biomonitoring?</t>
  </si>
  <si>
    <t>Environ. Sci. Technol.48(3): 1921-1930</t>
  </si>
  <si>
    <t>Analytical grade</t>
  </si>
  <si>
    <t>Nephroselmis pyriformis</t>
  </si>
  <si>
    <t>Population growth rate</t>
  </si>
  <si>
    <t>Magnusson,M., K. Heimann, and A.P. Negri</t>
  </si>
  <si>
    <t>Comparative Effects of Herbicides on Photosynthesis and Growth of Tropical Estuarine Microalgae</t>
  </si>
  <si>
    <t>Mar. Pollut. Bull.56(9): 1545-1552</t>
  </si>
  <si>
    <t>Fistulifera saprophila</t>
  </si>
  <si>
    <t>Encyonema gracile</t>
  </si>
  <si>
    <t>Fragilaria capucina</t>
  </si>
  <si>
    <t>Chroococcus minor</t>
  </si>
  <si>
    <t>Aquatic - not reported</t>
  </si>
  <si>
    <t>Bao,V.W.W., K.M.Y. Leung, J.W. Qiu, and M.H.W. Lam</t>
  </si>
  <si>
    <t>Acute Toxicities of Five Commonly Used Antifouling Booster Biocides to Selected Subtropical and Cosmopolitan Marine Species</t>
  </si>
  <si>
    <t>Mar. Pollut. Bull.62(5): 1147-1151</t>
  </si>
  <si>
    <t>Sellaphora minima</t>
  </si>
  <si>
    <t>Navicula sp.</t>
  </si>
  <si>
    <t>Biomass</t>
  </si>
  <si>
    <t>Gomphonema sp.</t>
  </si>
  <si>
    <t>Gomphonema clavatum</t>
  </si>
  <si>
    <t>Pyrocystis lunula</t>
  </si>
  <si>
    <t>Dinoflagellate</t>
  </si>
  <si>
    <t>Whole organism</t>
  </si>
  <si>
    <t>Gomphonema gracile</t>
  </si>
  <si>
    <t>Cymbella sp.</t>
  </si>
  <si>
    <t>Navicula cryptotenella</t>
  </si>
  <si>
    <t>Technical grade, technical product, technical formulation</t>
  </si>
  <si>
    <t>Selenastrum capricornutum</t>
  </si>
  <si>
    <t>EC100</t>
  </si>
  <si>
    <t>Schrader,K.K., M.Q. De Regt, P.D. Tidwell, C.S. Tucker, and S.O. Duke</t>
  </si>
  <si>
    <t>Compounds with Selective Toxicity Towards the Off-Flavor Metabolite-Producing Cyanobacterium Oscillatoria cf. chalybea</t>
  </si>
  <si>
    <t>Aquaculture163(1-2): 85-99</t>
  </si>
  <si>
    <t>Isochrysis galbana</t>
  </si>
  <si>
    <t>Haptophyte</t>
  </si>
  <si>
    <t>Walsh,G.E.</t>
  </si>
  <si>
    <t>Effects of Herbicides on Photosynthesis and Growth of Marine Unicellular Algae</t>
  </si>
  <si>
    <t>Hyacinth Control J.10:45-48</t>
  </si>
  <si>
    <t>Oscillatoria chalybea</t>
  </si>
  <si>
    <t>Chlorococcum sp.</t>
  </si>
  <si>
    <t>Growth</t>
  </si>
  <si>
    <t>Growth, general</t>
  </si>
  <si>
    <t>Blanck,H., G. Wallin, and S.A. Wangberg</t>
  </si>
  <si>
    <t>Species-Dependent Variation in Algal Sensitivity to Chemical Compounds</t>
  </si>
  <si>
    <t>Ecotoxicol. Environ. Saf.8:339-351</t>
  </si>
  <si>
    <t>Biochemistry</t>
  </si>
  <si>
    <t>Fluorescence</t>
  </si>
  <si>
    <t>EC25</t>
  </si>
  <si>
    <t>Jones,R.J., and A.P. Kerswell</t>
  </si>
  <si>
    <t>Phytotoxicity of Photosystem II (PSII) Herbicides to Coral</t>
  </si>
  <si>
    <t>Mar. Ecol. Prog. Ser.261:149-159</t>
  </si>
  <si>
    <t>EC40</t>
  </si>
  <si>
    <t>Knauert,S., B. Escher, H. Singer, J. Hollender, and K. Knauer</t>
  </si>
  <si>
    <t>Mixture Toxicity of Three Photosystem II Inhibitors (Atrazine, Isoproturon, and Diuron) Toward Photosynthesis of Freshwater Phytoplankton Studied in Outdoor Mesocosms</t>
  </si>
  <si>
    <t>Environ. Sci. Technol.42(17): 6424-6430</t>
  </si>
  <si>
    <t>Porphyridium aerugineum</t>
  </si>
  <si>
    <t>Red Algae</t>
  </si>
  <si>
    <t>Hour(s)</t>
  </si>
  <si>
    <t>EC50</t>
  </si>
  <si>
    <t>Boura-Halfon,S., M. Rise, S.M. Arad, and A. Sivan</t>
  </si>
  <si>
    <t>Characterization of Mutants of the Red Microalga Porphyridium aerugineum (Rhodophyceae) Resistant to DCMU and Atrazine</t>
  </si>
  <si>
    <t>Phycologia36(6): 479-487</t>
  </si>
  <si>
    <t>Chlorella pyrenoidosa</t>
  </si>
  <si>
    <t>Week(s)</t>
  </si>
  <si>
    <t>Culture</t>
  </si>
  <si>
    <t>Cullimore,D.R.</t>
  </si>
  <si>
    <t>The In Vitro Sensitivity of Some Species of Chlorophyceae to a Selected Range of Herbicides</t>
  </si>
  <si>
    <t>Weed Res.15:401-406</t>
  </si>
  <si>
    <t>Raphidocelis subcapitata</t>
  </si>
  <si>
    <t>Podola,B., and M. Melkonian</t>
  </si>
  <si>
    <t>Selective Real-Time Herbicide Monitoring by an Array Chip Biosensor Employing Diverse Microalgae</t>
  </si>
  <si>
    <t>J. Appl. Phycol.17(3): 261-271</t>
  </si>
  <si>
    <t>Stauroneis amphoroides</t>
  </si>
  <si>
    <t>Hollister,T.A., and G.E. Walsh</t>
  </si>
  <si>
    <t>Differential Responses of Marine Phytoplankton to Herbicides:  Oxygen Evolution</t>
  </si>
  <si>
    <t>Bull. Environ. Contam. Toxicol.9(5): 291-295</t>
  </si>
  <si>
    <t>Chlamydomonas sp.</t>
  </si>
  <si>
    <t>Neonate</t>
  </si>
  <si>
    <t>&lt;</t>
  </si>
  <si>
    <t>Malato,S., J. Caceres, A.R. Fernandez-Alba, L. Piedra, M.D. Hernando, A. Aguera, and J. Vial</t>
  </si>
  <si>
    <t>Photocatalytic Treatment of Diuron by Solar Photocatalysis:  Evaluation of Main Intermediates and Toxicity</t>
  </si>
  <si>
    <t>Environ. Sci. Technol.37(11): 2516-2524</t>
  </si>
  <si>
    <t>Chlorella sp.</t>
  </si>
  <si>
    <t>Scenedesmus acutus var. acutus</t>
  </si>
  <si>
    <t>Liu,W., Y.B. Zhang, X. Quan, Y.H. Jin, and S. Chen</t>
  </si>
  <si>
    <t>Effect of Perfluorooctane Sulfonate on Toxicity and Cell Uptake of Other Compounds with Different Hydrophobicity in Green Alga</t>
  </si>
  <si>
    <t>Chemosphere75(3): 405-409</t>
  </si>
  <si>
    <t>Chlorella fusca var. vacuolata</t>
  </si>
  <si>
    <t>Neuwoehner,J., and B.I. Escher</t>
  </si>
  <si>
    <t>The pH-Dependent Toxicity of Basic Pharmaceuticals in the Green Algae Scenedesmus vacuolatus can be Explained with a Toxicokinetic Ion-Trapping Model</t>
  </si>
  <si>
    <t>Aquat. Toxicol.101(1): 266-275</t>
  </si>
  <si>
    <t>Hormidium flaccidum</t>
  </si>
  <si>
    <t>Navicula lanceolata</t>
  </si>
  <si>
    <t>Roubeix,V., S. Pesce, N. Mazzella, M. Coste, and F. Delmas</t>
  </si>
  <si>
    <t>Variations in Periphytic Diatom Tolerance to Agricultural Pesticides in a Contaminated River: An Analysis from Community to Population Level</t>
  </si>
  <si>
    <t>In: Proceedings of the International Conference on Environmental Management, Engineering, Planning and Economics and SECOTOX Conference:343-347</t>
  </si>
  <si>
    <t>Nitzschia linearis</t>
  </si>
  <si>
    <t>Navicula forcipata</t>
  </si>
  <si>
    <t>Gatidou,G., and N.S. Thomaidis</t>
  </si>
  <si>
    <t>Evaluation of Single and Joint Toxic Effects of Two Antifouling Biocides, Their Main Metabolites and Copper Using Phytoplankton Bioassays</t>
  </si>
  <si>
    <t>Aquat. Toxicol.85(3): 184-191</t>
  </si>
  <si>
    <t>Flow-through</t>
  </si>
  <si>
    <t>Molander,S., B. Dahl, H. Blanck, J. Jonsson, and M. Sjostrom</t>
  </si>
  <si>
    <t>Combined Effects of Tri-n-butyl Tin (TBT) and Diuron on Marine Periphyton Communities Detected as Pollution-Induced Community Tolerance</t>
  </si>
  <si>
    <t>Arch. Environ. Contam. Toxicol.22(4): 419-427</t>
  </si>
  <si>
    <t>Fernandez-Alba,A.R., L. Piedra, M. Mezcua, and M.D. Hernando</t>
  </si>
  <si>
    <t>Toxicity of Single and Mixed Contaminants in Seawater Measured with Acute Toxicity Bioassays</t>
  </si>
  <si>
    <t>Sci. World J.2:1115-1120</t>
  </si>
  <si>
    <t>Porphyridium cruentum</t>
  </si>
  <si>
    <t>Chlamydomonas agloeformis</t>
  </si>
  <si>
    <t>Thalassiosira weissflogii</t>
  </si>
  <si>
    <t>Molander,S., and H. Blanck</t>
  </si>
  <si>
    <t>Detection of Pollution-Induced Community Tolerance (PICT) in Marine Periphyton Communities Established Under Diuron Exposure</t>
  </si>
  <si>
    <t>Aquat. Toxicol.22(2): 129-144</t>
  </si>
  <si>
    <t>Saccharina latissima</t>
  </si>
  <si>
    <t>Brown Algae</t>
  </si>
  <si>
    <t>In Vitro</t>
  </si>
  <si>
    <t>Johansson,P., K.M. Eriksson, L. Axelsson, and H. Blanck</t>
  </si>
  <si>
    <t>Effects of Seven Antifouling Compounds on Photosynthesis and Inorganic Carbon Use in Sugar Kelp Saccharina latissima (Linnaeus)</t>
  </si>
  <si>
    <t>Arch. Environ. Contam. Toxicol.63(3): 365-377</t>
  </si>
  <si>
    <t>Ma,J., L. Xu, and S. Wang</t>
  </si>
  <si>
    <t>A Quick, Simple, and Accurate Method of Screening Herbicide Activity Using Green Algae Cell Suspension Cultures</t>
  </si>
  <si>
    <t>Weed Sci.50(5): 555-559</t>
  </si>
  <si>
    <t>Tetraselmis cordiformis</t>
  </si>
  <si>
    <t>Green Flagellate</t>
  </si>
  <si>
    <t>Anabaena inaequalis</t>
  </si>
  <si>
    <t>Enzyme(s)</t>
  </si>
  <si>
    <t>Nitrogenase</t>
  </si>
  <si>
    <t>Stratton,G.W., A.L. Huber, and C.T. Corke</t>
  </si>
  <si>
    <t>The Effect of Pesticides and Their Metabolites, Alone and in Combination, on Algal Processes</t>
  </si>
  <si>
    <t>Can. Tech. Rep. Fish. Aquat. Sci.975:131-139</t>
  </si>
  <si>
    <t>Eudorina elegans</t>
  </si>
  <si>
    <t>Achnanthes brevipes</t>
  </si>
  <si>
    <t>Encyonema neomesianum</t>
  </si>
  <si>
    <t>Haematococcus lacustris</t>
  </si>
  <si>
    <t>Nitzschia pungens</t>
  </si>
  <si>
    <t>Jung,S.M., J.S. Bae, S.G. Kang, J.S. Son, J.H. Jeon, H.J. Lee, J.Y. Jeon, M. Sidharthan, S.H. Ryu, and H.W. Shin</t>
  </si>
  <si>
    <t>Acute Toxicity of Organic Antifouling Biocides to Phytoplankton Nitzschia pungens and Zooplankton Artemia Larvae</t>
  </si>
  <si>
    <t>Mar. Pollut. Bull.124(2): 811-818</t>
  </si>
  <si>
    <t>Gracilaria tenuistipitata</t>
  </si>
  <si>
    <t>Haglund,K., M. Bjorklund, S. Gunnare, A. Sandberg, U. Olander, and M. Pedersen</t>
  </si>
  <si>
    <t>New Method for Toxicity Assessment in Marine and Brackish Environments Using the Macroalga Gracilaria tenuistipitata (Gracilariales, Rhodophyta)</t>
  </si>
  <si>
    <t>Hydrobiologia326/327:317-325</t>
  </si>
  <si>
    <t>Katsumata,M., T. Koike, K. Kazumura, A. Takeuchi, and Y. Sugaya</t>
  </si>
  <si>
    <t>Utility of Delayed Fluorescence as Endpoint for Rapid Estimation of Effect Concentration on the Green Alga Pseudokirchneriella subcapitata</t>
  </si>
  <si>
    <t>Bull. Environ. Contam. Toxicol.83(4): 484-487</t>
  </si>
  <si>
    <t>Zhang,L.J., G.G. Ying, F. Chen, J.L. Zhao, L. Wang, and Y.X. Fang</t>
  </si>
  <si>
    <t>Development and Application of Whole-Sediment Toxicity Test Using Immobilized Freshwater Microalgae Pseudokirchneriella subcapitata</t>
  </si>
  <si>
    <t>Environ. Toxicol. Chem.31(2): 377-386</t>
  </si>
  <si>
    <t>Ma,J., S. Wang, P. Wang, L. Ma, X. Chen, and R. Xu</t>
  </si>
  <si>
    <t>Toxicity Assessment of 40 Herbicides to the Green Alga Raphidocelis subcapitata</t>
  </si>
  <si>
    <t>Ecotoxicol. Environ. Saf.63(3): 456-462</t>
  </si>
  <si>
    <t>Population changes, general</t>
  </si>
  <si>
    <t>Coccomyxa subellipsoidea</t>
  </si>
  <si>
    <t>Scherffelia dubia</t>
  </si>
  <si>
    <t>Chlorophyll</t>
  </si>
  <si>
    <t>Pyropia yezoensis</t>
  </si>
  <si>
    <t>Yoshida,T., T. Maruyama, H.I. Kojima, I. Allahpichay, and S. Mori</t>
  </si>
  <si>
    <t>Evaluation of the Effect of Chemicals on Aquatic Ecosystem by Observing the Photosynthetic Activity of a Macrophyte, Porphyra yezoensis</t>
  </si>
  <si>
    <t>Aquat. Toxicol.9(4/5): 207-214</t>
  </si>
  <si>
    <t>Chara vulgaris</t>
  </si>
  <si>
    <t>Stonewort</t>
  </si>
  <si>
    <t>Growth rate</t>
  </si>
  <si>
    <t>Lambert,S.J., K.V. Thomas, and A.J. Davy</t>
  </si>
  <si>
    <t>Assessment of the Risk Posed by the Antifouling Booster Biocides Irgarol 1051 and Diuron to Freshwater Macrophytes</t>
  </si>
  <si>
    <t>Chemosphere63(5): 734-743</t>
  </si>
  <si>
    <t>Platymonas sp.</t>
  </si>
  <si>
    <t>Pro analysis grade, pro analysis quality, p.a. grade</t>
  </si>
  <si>
    <t>Blanck,H., and B. Dahl</t>
  </si>
  <si>
    <t>Pollution-Induced Community Tolerance (PICT) in Marine Periphyton in a Gradient of Tri-n-butyltin (TBT) Contamination</t>
  </si>
  <si>
    <t>Aquat. Toxicol.35(1): 59-77</t>
  </si>
  <si>
    <t>8-10</t>
  </si>
  <si>
    <t>Stauber,J.L., M.T. Binet, V.W.W. Bao, J. Boge, A.Q. Zhang, K.M.Y. Leung, and M.S. Adams</t>
  </si>
  <si>
    <t>Comparison of the QwikLite Algal Bioluminescence Test with Marine Algal Growth Rate Inhibition Bioassays</t>
  </si>
  <si>
    <t>Environ. Toxicol.23(5): 617-625</t>
  </si>
  <si>
    <t>Chlamydomonas terricola</t>
  </si>
  <si>
    <t>Staurodesmus convergens</t>
  </si>
  <si>
    <t>Copin,P.J., and N. Chevre</t>
  </si>
  <si>
    <t>Modelling the Effects of Pulse Exposure of Several PSII Inhibitors on Two Algae</t>
  </si>
  <si>
    <t>Chemosphere137:70-77</t>
  </si>
  <si>
    <t>Ulothrix fimbriata</t>
  </si>
  <si>
    <t>Maule,A., and S.J.L. Wright</t>
  </si>
  <si>
    <t>Herbicide Effects on the Population Growth of Some Green Algae and Cyanobacteria</t>
  </si>
  <si>
    <t>J. Appl. Bacteriol.57(2): 369-379</t>
  </si>
  <si>
    <t>Hormidium sp.</t>
  </si>
  <si>
    <t>Mesotaenium caldariorum</t>
  </si>
  <si>
    <t>Navicula incerta</t>
  </si>
  <si>
    <t>Mezcua,M., M.D. Hernando, L. Piedra, A. Aguera, and A.R. Fernandez-Alba</t>
  </si>
  <si>
    <t>Chromatography-Mass Spectrometry and Toxicity Evaluation of Selected Contaminants in Seawater</t>
  </si>
  <si>
    <t>Chromatographia (Wiesb.)56(3/4): 199-206</t>
  </si>
  <si>
    <t>Coccolithus huxleyi</t>
  </si>
  <si>
    <t>Coccolithophorid</t>
  </si>
  <si>
    <t>Devilla,R.A., M.T. Brown, M. Donkin, G.A. Tarran, J. Aiken, and J.W. Readman</t>
  </si>
  <si>
    <t>Impact of Antifouling Booster Biocides on Single Microalgal Species and on a Natural Marine Phytoplankton Community</t>
  </si>
  <si>
    <t>Mar. Ecol. Prog. Ser.286:1-12</t>
  </si>
  <si>
    <t>Cryptomonas sp.</t>
  </si>
  <si>
    <t>Cryptomonad</t>
  </si>
  <si>
    <t>Surirella angusta</t>
  </si>
  <si>
    <t>Neochloris sp.</t>
  </si>
  <si>
    <t>Amphora exigua</t>
  </si>
  <si>
    <t>Ma,J.</t>
  </si>
  <si>
    <t>Differential Sensitivity to 30 Herbicides Among Populations of Two Green Algae Scenedesmus obliquus and Chlorella pyrenoidosa</t>
  </si>
  <si>
    <t>Bull. Environ. Contam. Toxicol.68(2): 275-281</t>
  </si>
  <si>
    <t>Stichococcus bacillaris</t>
  </si>
  <si>
    <t>Ma,J., W. Liang, L. Xu, S. Wang, Y. Wei, and J. Lu</t>
  </si>
  <si>
    <t>Acute Toxicity of 33 Herbicides to the Green Alga Chlorella pyrenoidosa</t>
  </si>
  <si>
    <t>Bull. Environ. Contam. Toxicol.66(4): 536-541</t>
  </si>
  <si>
    <t>Hernando,M.D., A.R. Fernandez-Alba, R. Tauler, and D. Barcelo</t>
  </si>
  <si>
    <t>Toxicity Assays Applied to Wastewater Treatment</t>
  </si>
  <si>
    <t>Talanta65(2): 358-366</t>
  </si>
  <si>
    <t>U.S. Environmental Protection Agency</t>
  </si>
  <si>
    <t>Pesticide Ecotoxicity Database (Formerly: Environmental Effects Database (EEDB))</t>
  </si>
  <si>
    <t>Environmental Fate and Effects Division, U.S.EPA, Washington, D.C.:</t>
  </si>
  <si>
    <t>Pavlova lutheri</t>
  </si>
  <si>
    <t>Chrysophyte</t>
  </si>
  <si>
    <t>Chlorococcum hypnosporum</t>
  </si>
  <si>
    <t>Synechocystis sp.</t>
  </si>
  <si>
    <t>EC90</t>
  </si>
  <si>
    <t>Oedogonium sp.</t>
  </si>
  <si>
    <t>Filamentous Green Algae</t>
  </si>
  <si>
    <t>ED50</t>
  </si>
  <si>
    <t>Bulcke,R.A.J., and J.M.T. Stryckers</t>
  </si>
  <si>
    <t>Bioassays for the Detection of Herbicides and Algicides in Water</t>
  </si>
  <si>
    <t>Meded. Fac. Landbouwwet. Rijksuniv. Gent42(2): 1625-1634</t>
  </si>
  <si>
    <t>A.R. grade (Analytical Reagent grade)</t>
  </si>
  <si>
    <t>&gt;=6</t>
  </si>
  <si>
    <t>IC05</t>
  </si>
  <si>
    <t>Strom,D., P.J. Ralph, and J.L. Stauber</t>
  </si>
  <si>
    <t>Development of a Toxicity Identification Evaluation Protocol Using Chlorophyll-a Fluorescence in a Marine Microalga</t>
  </si>
  <si>
    <t>Arch. Environ. Contam. Toxicol.56(1): 30-38</t>
  </si>
  <si>
    <t>Dunaliella sp.</t>
  </si>
  <si>
    <t>IC10</t>
  </si>
  <si>
    <t>Mercurio,P., G. Eaglesham, S. Parks, M. Kenway, V. Beltran, F. Flores, J.F. Mueller, and A.P. Negri</t>
  </si>
  <si>
    <t>Contribution of Transformation Products Towards the Total Herbicide Toxicity to Tropical Marine Organisms</t>
  </si>
  <si>
    <t>Sci. Rep.8(4808): 20 p.</t>
  </si>
  <si>
    <t>Symbiodinium sp.</t>
  </si>
  <si>
    <t>Negri,A.P., F. Flores, T. Rothig, and S. Uthicke</t>
  </si>
  <si>
    <t>Herbicides Increase the Vulnerability of Corals to Rising Sea Surface Temperature</t>
  </si>
  <si>
    <t>Limnol. Oceanogr.56(2): 471-485</t>
  </si>
  <si>
    <t>Bengtson Nash,S.M., P.A. Quayle, U. Schreiber, and J.F. Muller</t>
  </si>
  <si>
    <t>The Selection of a Model Microalgal Species as Biomaterial for a Novel Aquatic Phytotoxicity Assay</t>
  </si>
  <si>
    <t>Aquat. Toxicol.72(4): 315-326</t>
  </si>
  <si>
    <t>Magnusson,M., K. Heimann, P. Quayle, and A.P. Negri</t>
  </si>
  <si>
    <t>Additive Toxicity of Herbicide Mixtures and Comparative Sensitivity of Tropical Benthic Microalgae</t>
  </si>
  <si>
    <t>Mar. Pollut. Bull.60(11): 1978-1987</t>
  </si>
  <si>
    <t>Monoraphidium arcuatum</t>
  </si>
  <si>
    <t>Neogoniolithon fosliei</t>
  </si>
  <si>
    <t>Ankistrodesmus falcatus</t>
  </si>
  <si>
    <t>Nitzschia closterium</t>
  </si>
  <si>
    <t>Geoffroy,L., H. Teisseire, M. Couderchet, and G. Vernet</t>
  </si>
  <si>
    <t>Effect of Oxyfluorfen and Diuron Alone and in Mixture on Antioxidative Enzymes of Scenedesmus obliquus</t>
  </si>
  <si>
    <t>Pestic. Biochem. Physiol.72(3): 178-185</t>
  </si>
  <si>
    <t>Cylindrotheca closterium</t>
  </si>
  <si>
    <t>Geoffroy,L., M. Couderchet, and G. Vernet</t>
  </si>
  <si>
    <t>Catalase Activity of Scenedesmus obliquus as a Biomarker of Environmental Pollution by Herbicides and Copper</t>
  </si>
  <si>
    <t>Meded. Fac. Landbouwwet. Rijksuniv. Gent65(2B): 843-852</t>
  </si>
  <si>
    <t>IC20</t>
  </si>
  <si>
    <t>Choricystis parasitica</t>
  </si>
  <si>
    <t>Moro,L., G. Pezzotti, M. Turemis, J. Sanchis, M. Farre, R. Denaro, M.G. Giacobbe, F. Crisafi, and M.T. Giardi</t>
  </si>
  <si>
    <t>Fast Pesticide Pre-Screening in Marine Environment Using a Green Microalgae-Based Optical Bioassay</t>
  </si>
  <si>
    <t>Mar. Pollut. Bull.129:212-221</t>
  </si>
  <si>
    <t>Chlorella sorokiniana</t>
  </si>
  <si>
    <t>Chromochloris zofingiensis</t>
  </si>
  <si>
    <t>Chloroidium saccharophilum</t>
  </si>
  <si>
    <t>Edaphochlorella mirabilis</t>
  </si>
  <si>
    <t>Attheya sp.</t>
  </si>
  <si>
    <t>IC50</t>
  </si>
  <si>
    <t>Overnell,J.</t>
  </si>
  <si>
    <t>Inhibition of Marine Algal Photosynthesis by Heavy Metals</t>
  </si>
  <si>
    <t>Mar. Biol.38(4): 335-342</t>
  </si>
  <si>
    <t>El Jay,A., J.M. Ducruet, J.C. Duval, and J.P. Pelletier</t>
  </si>
  <si>
    <t>A High-Sensitivity Chlorophyll Fluorescence Assay for Monitoring Herbicide Inhibition of Photosystem II in the Chlorophyte Selenastrum capricornutum: Comparison with Effect on Cell Growth</t>
  </si>
  <si>
    <t>Arch. Hydrobiol.140(2): 273-286</t>
  </si>
  <si>
    <t>Fai,P.B., A. Grant, and B. Reid</t>
  </si>
  <si>
    <t>Chlorophyll a Fluorescence as a Biomarker for Rapid Toxicity Assessment</t>
  </si>
  <si>
    <t>Environ. Toxicol. Chem.26(7): 1520-1531</t>
  </si>
  <si>
    <t>Euglena gracilis</t>
  </si>
  <si>
    <t>Flagellate Euglenoid</t>
  </si>
  <si>
    <t>~</t>
  </si>
  <si>
    <t>Thuillier-Bruston,F., R. Calvayrac, and E. Duval</t>
  </si>
  <si>
    <t>Partial Molecular Analysis of the psbA Gene in Euglena gracilis Mutants Exhibiting Resistance to DCMU and Atrazine</t>
  </si>
  <si>
    <t>Z. Naturforsch. Sect. C J. Biosci.51(9/10): 711-720</t>
  </si>
  <si>
    <t>Photosystem II (PSII) electron transport activity</t>
  </si>
  <si>
    <t>Aoki,M., N. Sato, A. Meguro, and M. Tsuzuki</t>
  </si>
  <si>
    <t>Differing Involvement of Sulfoquinovosyl Diacylglycerol in Photosystem II in Two Species of Unicellular Cyanobacteria</t>
  </si>
  <si>
    <t>Eur. J. Biochem.271(4): 685-693</t>
  </si>
  <si>
    <t>Chlamydomonas moewusii</t>
  </si>
  <si>
    <t>Cain,J.R., and R.K. Cain</t>
  </si>
  <si>
    <t>The Effects of Selected Herbicides on Zygospore Germination and Growth of Chlamydomonas moewusii (Chlorophyceae, Volvocales)</t>
  </si>
  <si>
    <t>J. Phycol.19:301-305</t>
  </si>
  <si>
    <t>Anabaena variabilis</t>
  </si>
  <si>
    <t>Singh,S., P. Datta, and A. Tirkey</t>
  </si>
  <si>
    <t>Response of Multiple Herbicide Resistant Strain of Diazotrophic Cyanobacterium, Anabaena variabilis, Exposed to Atrazine and DCMU</t>
  </si>
  <si>
    <t>Indian J. Exp. Biol.49(4): 298-303</t>
  </si>
  <si>
    <t>Anabaena doliolum</t>
  </si>
  <si>
    <t>Singh,D.P., and K. Kshatriya</t>
  </si>
  <si>
    <t>Characterization of Salinity-Tolerant Mutant of Anabaena doliolum Exhibiting Multiple Stress Tolerance</t>
  </si>
  <si>
    <t>Curr. Microbiol.45(3): 165-170</t>
  </si>
  <si>
    <t>Oscillatoria laetevirens</t>
  </si>
  <si>
    <t>Respiration</t>
  </si>
  <si>
    <t>Shrivastava,R., R. Sarkar, and U.K. Chauhan</t>
  </si>
  <si>
    <t>Effect of Herbicides on Biochemical and Physiological Properties of Oscillatoria laete-virens</t>
  </si>
  <si>
    <t>Asian J. Microbiol. Biotechnol. Environ. Sci.10(3): 563-567</t>
  </si>
  <si>
    <t>Entomoneis punctulata</t>
  </si>
  <si>
    <t>Chlorella fusca</t>
  </si>
  <si>
    <t>Conrad,R., C. Buchel, C. Wilhelm, W. Arsalane, C. Berkaloff, and J.C. Duval</t>
  </si>
  <si>
    <t>Changes in Yield of In-Vivo Fluorescence of Chlorophyll a as a Tool for Selective Herbicide Monitoring</t>
  </si>
  <si>
    <t>J. Appl. Phycol.5(5): 505-516</t>
  </si>
  <si>
    <t>Brachiomonas submarina</t>
  </si>
  <si>
    <t>Total</t>
  </si>
  <si>
    <t>Fai,P.B., A. Grant, and B.J. Reid</t>
  </si>
  <si>
    <t>Compatibility of Hydroxypropyl-beta-Cyclodextrin with Algal Toxicity Bioassays</t>
  </si>
  <si>
    <t>Environ. Pollut.157(1): 135-140</t>
  </si>
  <si>
    <t>Chaetoceros gracilis</t>
  </si>
  <si>
    <t>Koutsaftis,A., and I. Aoyama</t>
  </si>
  <si>
    <t>The Interactive Effects of Binary Mixtures of Three Antifouling Biocides and Three Heavy Metals Against the Marine Algae Chaetoceros gracilis</t>
  </si>
  <si>
    <t>Environ. Toxicol.21(4): 432-439</t>
  </si>
  <si>
    <t>Lifetime;no associated numeric value</t>
  </si>
  <si>
    <t>IC90</t>
  </si>
  <si>
    <t>LC50</t>
  </si>
  <si>
    <t>Oscillatoria sp.</t>
  </si>
  <si>
    <t>Bednarz,T.</t>
  </si>
  <si>
    <t>The Effect of Pesticides on the Growth of Green and Blue-Green Algae Cultures</t>
  </si>
  <si>
    <t>Acta Hydrobiol.23(2): 155-172</t>
  </si>
  <si>
    <t>Dictyosphaerium pulchellum</t>
  </si>
  <si>
    <t>Ankistrodesmus sp.</t>
  </si>
  <si>
    <t>Spirulina platensis</t>
  </si>
  <si>
    <t>Stichococcus sp.</t>
  </si>
  <si>
    <t>Synechococcus elongatus</t>
  </si>
  <si>
    <t>Superoxide dismutase (SOD) enzyme activity</t>
  </si>
  <si>
    <t>LOEC</t>
  </si>
  <si>
    <t>Das,P.K., and S.N. Bagchi</t>
  </si>
  <si>
    <t>Bentazone and Bromoxynil Induce H+ and H2O2 Accumulation, and Inhibit Photosynthetic O2 Evolution in Synechococcous elongatus PCC7942</t>
  </si>
  <si>
    <t>Pestic. Biochem. Physiol.97:256-261</t>
  </si>
  <si>
    <t>Reactive oxygen species</t>
  </si>
  <si>
    <t xml:space="preserve">Lentic </t>
  </si>
  <si>
    <t>Field natural</t>
  </si>
  <si>
    <t>Knauer,K., and U. Hommen</t>
  </si>
  <si>
    <t>Sensitivity, Variability, and Recovery of Functional and Structural Endpoints of an Aquatic Community Exposed to Herbicides</t>
  </si>
  <si>
    <t>Ecotoxicol. Environ. Saf.78:178-183</t>
  </si>
  <si>
    <t>Diatoxanthin</t>
  </si>
  <si>
    <t>Cell</t>
  </si>
  <si>
    <t>Asterionella formosa</t>
  </si>
  <si>
    <t>&lt;=</t>
  </si>
  <si>
    <t>Choi,C.J., J.A. Berges, and E.B. Young</t>
  </si>
  <si>
    <t>Rapid Effects of Diverse Toxic Water Pollutants on Chlorophyll a Fluorescence: Variable Responses Among Freshwater Microalgae</t>
  </si>
  <si>
    <t>Water Res.46(8): 2615-2626</t>
  </si>
  <si>
    <t>Lipid peroxidation</t>
  </si>
  <si>
    <t>Neury-Ormanni,J., J. Vedrenne, and S. Morin</t>
  </si>
  <si>
    <t>Benthic Diatom Growth Kinetics under Combined Pressures of Microalgal Competition, Predation and Chemical Stressors</t>
  </si>
  <si>
    <t>Sci. Total Environ.734:1-9</t>
  </si>
  <si>
    <t>Renewal</t>
  </si>
  <si>
    <t>Davis,D.E., C.G.P. Pillai, and B. Truelove</t>
  </si>
  <si>
    <t>Effects of Prometryn, Diuron, Fluometuron, and MSMA on Chlorella and Two Fungi</t>
  </si>
  <si>
    <t>Weed Sci.24(6): 587-593</t>
  </si>
  <si>
    <t>Mg-2,4-divinyl pheophophyrin a5 monomethyl ester</t>
  </si>
  <si>
    <t>Fernandez-Alba,A.R., M.D. Hernando, L. Piedra, and Y. Chisti</t>
  </si>
  <si>
    <t>Toxicity Evaluation of Single and Mixed Antifouling Biocides Measured with Acute Toxicity Bioassays</t>
  </si>
  <si>
    <t>Anal. Chim. Acta456(2): 303-312</t>
  </si>
  <si>
    <t>Synura petersenii</t>
  </si>
  <si>
    <t>Golden-brown Algae</t>
  </si>
  <si>
    <t>Violaxanthine</t>
  </si>
  <si>
    <t>Knauer,K., A. Leimgruber, U. Hommen, and S. Knauert</t>
  </si>
  <si>
    <t>Co-Tolerance of Phytoplankton Communities to Photosynthesis II Inhibitors</t>
  </si>
  <si>
    <t>Aquat. Toxicol.96(4): 256-263</t>
  </si>
  <si>
    <t>Non-photochemical quenching pigments to light harvesting pigments ratio</t>
  </si>
  <si>
    <t>Net photosynthetic rate</t>
  </si>
  <si>
    <t>Mortality</t>
  </si>
  <si>
    <t>Diversity, Evenness</t>
  </si>
  <si>
    <t>Index to population size; count,  number, abundance</t>
  </si>
  <si>
    <t>Planothidium lanceolatum</t>
  </si>
  <si>
    <t>Cryptomonas erosa</t>
  </si>
  <si>
    <t>Karenia brevis</t>
  </si>
  <si>
    <t>Liu,N., F. Wen, F. Li, X. Zheng, Z. Liang, and H. Zheng</t>
  </si>
  <si>
    <t>Inhibitory Mechanism of Phthalate Esters on Karenia brevis</t>
  </si>
  <si>
    <t>Chemosphere155:498-508</t>
  </si>
  <si>
    <t>Chlorophyll B concentration</t>
  </si>
  <si>
    <t>Oocystis naegelii</t>
  </si>
  <si>
    <t>beta-Carotene</t>
  </si>
  <si>
    <t>Scenedesmus opoliensis</t>
  </si>
  <si>
    <t>Fodorpataki,L., C. Bartha, and Z.G. Keresztes</t>
  </si>
  <si>
    <t>Stress-Physiological Reactions of the Green Alga Scenedesmus opoliensis to Water Pollution with Herbicides</t>
  </si>
  <si>
    <t>An. Univ. Oradea Fasc. Biol.16(1): 51-56</t>
  </si>
  <si>
    <t>Dry Biomass</t>
  </si>
  <si>
    <t>Nannochloropsis oculata</t>
  </si>
  <si>
    <t>Yellow Green Algae</t>
  </si>
  <si>
    <t>Lipid</t>
  </si>
  <si>
    <t>Deng,L.P., S.A. Senseman, T.J. Gentry, D.A. Zuberer, E.R. Camargo, T.L. Weiss, and T.P. Devarenne</t>
  </si>
  <si>
    <t>Effect of Selected Herbicides on Growth and Lipid Content of Nannochloris oculata</t>
  </si>
  <si>
    <t>J. Aquat. Plant Manag.53:28-35</t>
  </si>
  <si>
    <t>Eullaffroy,P., and G. Vernet</t>
  </si>
  <si>
    <t>The F684/F735 Chlorophyll Fluorescence Ratio:  A Potential Tool for Rapid Detection and Determination of Herbicide Phytotoxicity in Algae</t>
  </si>
  <si>
    <t>Water Res.37(9): 1983-1990</t>
  </si>
  <si>
    <t>Lutein</t>
  </si>
  <si>
    <t>Siphonaxanthin</t>
  </si>
  <si>
    <t>Chroomonas acuta</t>
  </si>
  <si>
    <t>Huang,X., S. Fong, L. Deanovic, and T.M. Young</t>
  </si>
  <si>
    <t>Toxicity of Herbicides in Highway Runoff</t>
  </si>
  <si>
    <t>Environ. Toxicol. Chem.24(9): 2336-2340</t>
  </si>
  <si>
    <t>LOEL</t>
  </si>
  <si>
    <t>Owen,R., A. Knap, N. Ostrander, and K. Carbery</t>
  </si>
  <si>
    <t>Comparative Acute Toxicity of Herbicides to Photosynthesis of Coral Zooxanthellae</t>
  </si>
  <si>
    <t>Bull. Environ. Contam. Toxicol.70(3): 541-548</t>
  </si>
  <si>
    <t>Field artificial</t>
  </si>
  <si>
    <t>Laboratory Grade</t>
  </si>
  <si>
    <t xml:space="preserve">Lotic </t>
  </si>
  <si>
    <t>Cantin,N.E., A.P. Negri, and B.L. Willis</t>
  </si>
  <si>
    <t>Photoinhibition from Chronic Herbicide Exposure Reduces Reproductive Output of Reef-Building Corals</t>
  </si>
  <si>
    <t>Mar. Ecol. Prog. Ser.344:81-93</t>
  </si>
  <si>
    <t>Anabaena levanderi</t>
  </si>
  <si>
    <t>Blue Green Algae</t>
  </si>
  <si>
    <t>AI kg/ha</t>
  </si>
  <si>
    <t>Perschbacher,P.W., and G.M. Ludwig</t>
  </si>
  <si>
    <t>Effects of Diuron and Other Aerially Applied Cotton Herbicides and Defoliants on the Plankton Communities of Aquaculture Ponds</t>
  </si>
  <si>
    <t>Aquaculture233(1-4): 197-203</t>
  </si>
  <si>
    <t>Porphyra leucosticta</t>
  </si>
  <si>
    <t>Area</t>
  </si>
  <si>
    <t>Escassi,L., J. Aguilera, F.L. Figueroa, and J.A. Fernandez</t>
  </si>
  <si>
    <t>Potassium Drives Daily Reversible Thallus Enlargement in the Marine Red Alga Porphyra leucosticta (Rhodophyta)</t>
  </si>
  <si>
    <t>Planta214(5): 759-766</t>
  </si>
  <si>
    <t>Dinophyceae</t>
  </si>
  <si>
    <t>Dinoflagellate Class</t>
  </si>
  <si>
    <t>Negri,A., C. Vollhardt, C. Humphrey, A. Heyward, R. Jones, G. Eaglesham, and K. Fabricius</t>
  </si>
  <si>
    <t>Effects of the Herbicide Diuron on the Early Life History Stages of Coral</t>
  </si>
  <si>
    <t>Mar. Pollut. Bull.51(1-4): 370-383</t>
  </si>
  <si>
    <t>Hydrolithon onkodes</t>
  </si>
  <si>
    <t>Harrington,L., K. Fabricius, G. Eaglesham, and A. Negri</t>
  </si>
  <si>
    <t>Synergistic Effects of Diuron and Sedimentation on Photosynthesis and Survival of Crustose Coralline Algae</t>
  </si>
  <si>
    <t>Mar. Pollut. Bull.51(1-4): 415-427</t>
  </si>
  <si>
    <t>MATC</t>
  </si>
  <si>
    <t>NOEC</t>
  </si>
  <si>
    <t>Li,F.M., M. Wu, Y. Yao, X. Zheng, J. Zhao, Z.Y. Wang, and B.S. Xing</t>
  </si>
  <si>
    <t>Inhibitory Effects and Oxidative Target Site of Dibutyl Phthalate on Karenia brevis</t>
  </si>
  <si>
    <t>Chemosphere132:32-39</t>
  </si>
  <si>
    <t>Neoxanthin</t>
  </si>
  <si>
    <t>Thiobarbituric acid reactive substances</t>
  </si>
  <si>
    <t>Ascorbate</t>
  </si>
  <si>
    <t>Catalase</t>
  </si>
  <si>
    <t>Vaucheriaxanthin</t>
  </si>
  <si>
    <t>Diadinoxanthin</t>
  </si>
  <si>
    <t>Chlorophyll C concentration</t>
  </si>
  <si>
    <t>Chlamydomonas eugametos</t>
  </si>
  <si>
    <t>Ensminger,M.P., and F.D. Hess</t>
  </si>
  <si>
    <t>Photosynthesis Involvement in the Mechanism of Action of Diphenyl Ether Herbicides</t>
  </si>
  <si>
    <t>Plant Physiol.78(1): 46-50</t>
  </si>
  <si>
    <t>Zygospore</t>
  </si>
  <si>
    <t>Reproduction</t>
  </si>
  <si>
    <t>Germination</t>
  </si>
  <si>
    <t>Fucoxanthin</t>
  </si>
  <si>
    <t>Hydrogen peroxide</t>
  </si>
  <si>
    <t>Glutathione peroxidase</t>
  </si>
  <si>
    <t>Peroxidase activity</t>
  </si>
  <si>
    <t>Malondialdehyde</t>
  </si>
  <si>
    <t>NOEL</t>
  </si>
  <si>
    <t>Chen,L., M. Xie, Y. Bi, G. Wang, S. Deng, and Y. Liu</t>
  </si>
  <si>
    <t>The Combined Effects of UV-B Radiation and Herbicides on Photosynthesis, Antioxidant Enzymes and DNA Damage in Two Bloom-Forming Cyanobacteria</t>
  </si>
  <si>
    <t>Ecotoxicol. Environ. Saf.80:224-230</t>
  </si>
  <si>
    <t>Eunotia sudetica ssp. incisa</t>
  </si>
  <si>
    <t>Golden Algae</t>
  </si>
  <si>
    <t>Genetics</t>
  </si>
  <si>
    <t>Damage</t>
  </si>
  <si>
    <t>Carotenoid content</t>
  </si>
  <si>
    <t>Microcystis viridis</t>
  </si>
  <si>
    <t>Blue-green Algae</t>
  </si>
  <si>
    <t>Commercial grade</t>
  </si>
  <si>
    <t>Nostoc calcicola</t>
  </si>
  <si>
    <t>Mutation</t>
  </si>
  <si>
    <t>Pandey,A.K.</t>
  </si>
  <si>
    <t>Evaluation of Pesticides for Possible Mutagenesis in the Cyanobacterium Nostoc calcicola</t>
  </si>
  <si>
    <t>Indian J. Environ. Health41(1): 1-5</t>
  </si>
  <si>
    <t>NR-LETH</t>
  </si>
  <si>
    <t>Not reported</t>
  </si>
  <si>
    <t>Kvitko,K.V., B.T. Mukhamadiev, and O.V. Zalenskii</t>
  </si>
  <si>
    <t>Effect of DCMU, an Inhibitor of Photophosphorylation, on the Variability of Chlorella</t>
  </si>
  <si>
    <t>In: Y.S.Nasyrov (Ed.), Genet.Aspektyfotosin., Dushanbe, USSR:255-268</t>
  </si>
  <si>
    <t>Plectonema boryanum</t>
  </si>
  <si>
    <t>Mallison III,S.M., and R.E. Cannon</t>
  </si>
  <si>
    <t>Effects of Pesticides on Cyanobacterium Plectonema boryanum and Cyanophage LPP-1</t>
  </si>
  <si>
    <t>Appl. Environ. Microbiol.47(5): 910-914</t>
  </si>
  <si>
    <t>Ukeles,R.</t>
  </si>
  <si>
    <t>Growth of Pure Cultures of Marine Phytoplankton in the Presence of Toxicants</t>
  </si>
  <si>
    <t>Appl. Microbiol.10:532-537</t>
  </si>
  <si>
    <t>Dunaliella bioculata</t>
  </si>
  <si>
    <t>Felix,H.R., R. Chollet, and J. Harr</t>
  </si>
  <si>
    <t>Use of the Cell Wall-Less Alga Dunaliella bioculata in Herbicide Screening Tests</t>
  </si>
  <si>
    <t>Ann. Appl. Biol.113(1): 55-60</t>
  </si>
  <si>
    <t>Virmani,M., J.O. Evans, and R.I. Lynn</t>
  </si>
  <si>
    <t>Preliminary Studies of the Effects of S-Triazine, Carbamate, Urea, and Karbutilate Herbicides on Growth of Fresh Water Algae</t>
  </si>
  <si>
    <t>Chemosphere4(2): 65-71</t>
  </si>
  <si>
    <t>Nannochloris sp.</t>
  </si>
  <si>
    <t>General biochemical effect</t>
  </si>
  <si>
    <t>Walsh,G.E., and T.E. Grow</t>
  </si>
  <si>
    <t>Depression of Carbohydrate in Marine Algae by Urea Herbicides</t>
  </si>
  <si>
    <t>Weed Sci.19(5): 568-570</t>
  </si>
  <si>
    <t>Spongiochloris excentrica</t>
  </si>
  <si>
    <t>Nostoc sp.</t>
  </si>
  <si>
    <t>Venkataraman,G.S., and B. Rajyalakshmi</t>
  </si>
  <si>
    <t>Relative Tolerance of Nitrogen-Fixing Blue-Green Algae to Pesticides</t>
  </si>
  <si>
    <t>Indian J. Agric. Sci.42(2): 119-121</t>
  </si>
  <si>
    <t>Chlorophyceae</t>
  </si>
  <si>
    <t>Green Algae Class</t>
  </si>
  <si>
    <t>Gadkari,D.</t>
  </si>
  <si>
    <t>Assessment of the Effects of the Photosynthesis-Inhibiting Herbicides Diuron, DCMU, Metamitron and Metribuzin on Growth and Nitrogenase Activity of Nostoc muscorum and a New Cyanobacterial Isolate, Strain G4</t>
  </si>
  <si>
    <t>Biol. Fertil. Soils6:50-54</t>
  </si>
  <si>
    <t>Gloeotaenium loitlesbergerianum</t>
  </si>
  <si>
    <t>Physiology, general</t>
  </si>
  <si>
    <t>Prasad,P.V.D., and Y.B.K. Chowdary</t>
  </si>
  <si>
    <t>Effects of Metabolic Inhibitors on the Calcification of a Freshwater Green Alga, Gloeotaenium ioitlesbergarianum Hansgirg.  1.  Effects of Some Photosynthetic and Respiratory Inhibitors</t>
  </si>
  <si>
    <t>Ann. Bot.47(4): 451-459</t>
  </si>
  <si>
    <t>Jordan,L.S., B.E. Day, and R.T. Hendrixson</t>
  </si>
  <si>
    <t>Chemical Control of Filamentous Green Algae</t>
  </si>
  <si>
    <t>Hilgardia32(9): 433-441</t>
  </si>
  <si>
    <t>Nitella flexilis</t>
  </si>
  <si>
    <t>Stonewart</t>
  </si>
  <si>
    <t>Foissner,I.</t>
  </si>
  <si>
    <t>Effect of 3-(3,4-Dichlorophenyl)-1,1-Dimethylurea (DCMU) on Photosynthesis and Respiration of Nitella dactyl Cells</t>
  </si>
  <si>
    <t>Pestic. Biochem. Physiol.22(3): 346-348</t>
  </si>
  <si>
    <t>Aulosira fertilissima</t>
  </si>
  <si>
    <t>kg/ha</t>
  </si>
  <si>
    <t>Tolerance of Blue-Green Algae to Pesticides</t>
  </si>
  <si>
    <t>Curr. Sci. (Bangalore)40(6): 143-144</t>
  </si>
  <si>
    <t>Dunaliella salina</t>
  </si>
  <si>
    <t>Gonen-Zurgil,Y., Y. Carmeli-Schwartz, and A. Sukenik</t>
  </si>
  <si>
    <t>Selective Effect of the Herbicide DCMU on Unicellular Algae - A Potential Tool to Maintain Monoalgal Mass Culture of Nannochloropsis</t>
  </si>
  <si>
    <t>J. Appl. Phycol.8(4-5): 415-419</t>
  </si>
  <si>
    <t>Carbon fixation</t>
  </si>
  <si>
    <t>Butler,P.A.</t>
  </si>
  <si>
    <t>Effects of Herbicides on Estuarine Fauna</t>
  </si>
  <si>
    <t>Proc. South. Weed Conf.18:576-580</t>
  </si>
  <si>
    <t>Anacystis nidulans</t>
  </si>
  <si>
    <t>Dicrateria inornata</t>
  </si>
  <si>
    <t>Nannochloropsis sp.</t>
  </si>
  <si>
    <t>Microalgae</t>
  </si>
  <si>
    <t>Hoffman,R.W., G. Bills, and J. Rae</t>
  </si>
  <si>
    <t>An In Situ Comparison of the Effectiveness of Four Algicides</t>
  </si>
  <si>
    <t>Water Resour. Bull.18(6): 921-927</t>
  </si>
  <si>
    <t>Ecosystem process</t>
  </si>
  <si>
    <t>Primary productivity</t>
  </si>
  <si>
    <t>The Evaluation of the Adaptation Ability of Some Green Algae to 2,4-D Acid, Monuron, and Diuron Admixtures, Under Laboratory Conditions</t>
  </si>
  <si>
    <t>Acta Hydrobiol.23(3): 251-257</t>
  </si>
  <si>
    <t>Spirulina labyrinthiformis</t>
  </si>
  <si>
    <t>Castenholz,R.W.</t>
  </si>
  <si>
    <t>The Effect of Sulfide on the Blue-Green Algae of Hot Springs. II. Yellowstone National Park</t>
  </si>
  <si>
    <t>Microb. Ecol.3(7): 79-105</t>
  </si>
  <si>
    <t>Chaetoceros sp.</t>
  </si>
  <si>
    <t>Chara corallina</t>
  </si>
  <si>
    <t>Genetics, general</t>
  </si>
  <si>
    <t>Multiple tissueorgan</t>
  </si>
  <si>
    <t>Pal,R., and P. Chatterjee</t>
  </si>
  <si>
    <t>Algicidal Action of Diurone in the Control of Chara-A Rice Pest</t>
  </si>
  <si>
    <t>Proc. Indian Acad. Sci. Plant Sci.97(4): 359-363</t>
  </si>
  <si>
    <t>Cell(s)</t>
  </si>
  <si>
    <t>Heterocyst frequency</t>
  </si>
  <si>
    <t>Uptake</t>
  </si>
  <si>
    <t>Generation time</t>
  </si>
  <si>
    <t>Schrader,K.K., M.Q. De Regt, C.S. Tucker, and S.O. Duke</t>
  </si>
  <si>
    <t>A Rapid Bioassay for Selective Algicides</t>
  </si>
  <si>
    <t>Weed Technol.11(4): 767-774</t>
  </si>
  <si>
    <t>Tolypothrix tenuis</t>
  </si>
  <si>
    <t>Christoffers,D., and D.E.W. Ernst</t>
  </si>
  <si>
    <t>The In-Vivo Fluorescence of Chlorella fusca as a Biological Test for the Inhibition of Photosynthesis</t>
  </si>
  <si>
    <t>Toxicol. Environ. Chem.7:61-71</t>
  </si>
  <si>
    <t>Desmodesmus sp.</t>
  </si>
  <si>
    <t>Neury-Ormanni,J., C. Doose, N. Majdi, J. Vedrenne, W. Traunspurger, and S. Morin</t>
  </si>
  <si>
    <t>Selective Grazing Behaviour of Chironomids on Microalgae Under Pesticide Pressure</t>
  </si>
  <si>
    <t>Sci. Total Environ.730:1-8</t>
  </si>
  <si>
    <t>Bringmann,G., and R. Kuhn</t>
  </si>
  <si>
    <t>Effect of Herbicidal Phenylurea Derivatives on Blue Algae (Model Organisms:Microcystic aeruginosa and Nostoc sp.)</t>
  </si>
  <si>
    <t>GWF Wasser Abwasser116(8): 366-369</t>
  </si>
  <si>
    <t>Anacystis aeruginosa</t>
  </si>
  <si>
    <t>Cryptophyta</t>
  </si>
  <si>
    <t>Cryptomonad Phylum</t>
  </si>
  <si>
    <t>Leboulanger,C., M. Bouvy, C. Carre, P. Cecchi, L. Amalric, A. Bouchez, M. Pagano, and G. Sarazin</t>
  </si>
  <si>
    <t>Comparison of the Effects of Two Herbicides and an Insecticide on Tropical Freshwater Plankton in Microcosms</t>
  </si>
  <si>
    <t>Arch. Environ. Contam. Toxicol.61(4): 599-613</t>
  </si>
  <si>
    <t>Pure grade</t>
  </si>
  <si>
    <t>Dunaliella euchlora</t>
  </si>
  <si>
    <t>Nostoc muscorum</t>
  </si>
  <si>
    <t>Phormidium sp.</t>
  </si>
  <si>
    <t>ug</t>
  </si>
  <si>
    <t>Cell changes</t>
  </si>
  <si>
    <t>Noll,M., and U. Bauer</t>
  </si>
  <si>
    <t>Phormidium autumnale as Indicator Organism for Algicidal Substances in Water</t>
  </si>
  <si>
    <t>U.S.EPA-OPP Registration Standard:</t>
  </si>
  <si>
    <t>Chlorella ellipsoidea</t>
  </si>
  <si>
    <t>Lipid biosynthesis</t>
  </si>
  <si>
    <t>Lipid, fat</t>
  </si>
  <si>
    <t>Sumida,S., and M. Ueda</t>
  </si>
  <si>
    <t>Studies of Pesticide Effects on Chlorella Metabolism.  I.  Effect of Herbicides on Complex Lipid Biosynthesis</t>
  </si>
  <si>
    <t>Plant Cell Physiol.14(4): 781-785</t>
  </si>
  <si>
    <t>Chara zeylanica</t>
  </si>
  <si>
    <t>Ankistrodesmus braunii</t>
  </si>
  <si>
    <t>Neumann,W., H. Laasch, and W. Urbach</t>
  </si>
  <si>
    <t>Mechanisms of Herbicide Sorption in Microalgae and the Influence of Environmental Factors</t>
  </si>
  <si>
    <t>Pestic. Biochem. Physiol.27(2): 189-200</t>
  </si>
  <si>
    <t>Gross primary productivity/respiration</t>
  </si>
  <si>
    <t>Commercial Fisheries Investigations</t>
  </si>
  <si>
    <t>Fish and Wildlife Service, Circular 167, Washington, D.C.:11-25</t>
  </si>
  <si>
    <t>Nostoc fritschii</t>
  </si>
  <si>
    <t>Enzyme activity</t>
  </si>
  <si>
    <t>Anabaena cylindrica</t>
  </si>
  <si>
    <t>pH</t>
  </si>
  <si>
    <t>Chlorella vulgaris</t>
  </si>
  <si>
    <t>Algae; Standard Test Species</t>
  </si>
  <si>
    <t>Muller,R., U. Schreiber, B.I. Escher, P. Quayle, S.M.B. Nash, and J.F. Mueller</t>
  </si>
  <si>
    <t>Rapid Exposure Assessment of PSII Herbicides in Surface Water Using a Novel Chlorophyll a Fluorescence Imaging Assay</t>
  </si>
  <si>
    <t>Sci. Total Environ.401(1-3): 51-59</t>
  </si>
  <si>
    <t>Skeletonema costatum</t>
  </si>
  <si>
    <t>Thalassiosira pseudonana</t>
  </si>
  <si>
    <t>Synechococcus sp.</t>
  </si>
  <si>
    <t>Phaeodactylum tricornutum</t>
  </si>
  <si>
    <t>Chlamydomonas reinhardtii</t>
  </si>
  <si>
    <t>Forster,B., P.B. Heifetz, A. Lardans, J.E. Boynton, and N.W. Gillham</t>
  </si>
  <si>
    <t>Herbicide Resistance and Growth of D1 Ala251 Mutants in Chlamydomonas</t>
  </si>
  <si>
    <t>Z. Naturforsch. Sect. C J. Biosci.52(9/10): 654-664</t>
  </si>
  <si>
    <t>Dunaliella tertiolecta</t>
  </si>
  <si>
    <t>Nestler,H., K.J. Groh, R. Schonenberger, R. Behra, K. Schirmer, R.I.L. Eggen, and M.J.F. Suter</t>
  </si>
  <si>
    <t>Multiple-Endpoint Assay Provides a Detailed Mechanistic View of Responses to Herbicide Exposure in Chlamydomonas reinhardtii</t>
  </si>
  <si>
    <t>Aquat. Toxicol.110/111:214-224</t>
  </si>
  <si>
    <t>Korkaric,M., M. Xiao, R. Behra, and R.I.L. Eggen</t>
  </si>
  <si>
    <t>Acclimation of Chlamydomonas reinhardtii to Ultraviolet Radiation and Its Impact on Chemical Toxicity</t>
  </si>
  <si>
    <t>Aquat. Toxicol.167:209-219</t>
  </si>
  <si>
    <t>Fischer,B.B., S. Roffler, and R.I.L. Eggen</t>
  </si>
  <si>
    <t>Multiple Stressor Effects of Predation by Rotifers and Herbicide Pollution on Different Chlamydomonas Strains and Potential Impacts on Population Dynamics</t>
  </si>
  <si>
    <t>Environ. Toxicol. Chem.31(12): 2832-2840</t>
  </si>
  <si>
    <t>Desmodesmus subspicatus</t>
  </si>
  <si>
    <t>Nendza,M., and A. Wenzel</t>
  </si>
  <si>
    <t>Discriminating Toxicant Classes by Mode of Action 1. (Eco)toxicity Profiles</t>
  </si>
  <si>
    <t>Environ. Sci. Pollut. Res.13(3): 192-203</t>
  </si>
  <si>
    <t>Ma,J., L. Xu, S. Wang, R. Zheng, S. Jin, S. Huang, and Y. Huang</t>
  </si>
  <si>
    <t>Toxicity of 40 Herbicides to the Green Alga Chlorella vulgaris</t>
  </si>
  <si>
    <t>Ecotoxicol. Environ. Saf.51(2): 128-132</t>
  </si>
  <si>
    <t>Reference grade</t>
  </si>
  <si>
    <t>McFeters,G.A., P.J. Bond, S.B. Olson, and Y.T. Tchan</t>
  </si>
  <si>
    <t>A Comparison of Microbial Bioassays for the Detection of Aquatic Toxicants</t>
  </si>
  <si>
    <t>Water Res.17(12): 1757-1762</t>
  </si>
  <si>
    <t>Hormosira banksii</t>
  </si>
  <si>
    <t>Neptune's Necklace</t>
  </si>
  <si>
    <t>Gamete</t>
  </si>
  <si>
    <t>Seery,C.R., L. Gunthorpe, and P.J. Ralph</t>
  </si>
  <si>
    <t>Herbicide Impact on Hormosira banksii Gametes Measured by Fluorescence and Germination Bioassays</t>
  </si>
  <si>
    <t>Environ. Pollut.140(1): 43-51</t>
  </si>
  <si>
    <t>Sjollema,S.B., G. MartinezGarcia, H.G. Van der Geest, M.H.S. Kraak, P. Booij, A.D. Vethaak, and W. Admiraal</t>
  </si>
  <si>
    <t>Hazard and Risk of Herbicides for Marine Microalgae</t>
  </si>
  <si>
    <t>Environ. Pollut.187:106-111</t>
  </si>
  <si>
    <t>Agricultural grade</t>
  </si>
  <si>
    <t>Macedo,R.S., A.T. Lombardi, C.Y. Omachi, and L.R. Rorig</t>
  </si>
  <si>
    <t>Effects of the Herbicide Bentazon on Growth and Photosystem II Maximum Quantum Yield of the Marine Diatom Skeletonema costatum</t>
  </si>
  <si>
    <t>Toxicol. In Vitro22(3): 716-722</t>
  </si>
  <si>
    <t>Adenosine triphosphate</t>
  </si>
  <si>
    <t>Esterase</t>
  </si>
  <si>
    <t>Samson,G., and R. Popovic</t>
  </si>
  <si>
    <t>Use of Algal Fluorescence for Determination of Phytotoxicity of Heavy Metals and Pesticides as Environmental Pollutants</t>
  </si>
  <si>
    <t>Ecotoxicol. Environ. Saf.16(3): 272-278</t>
  </si>
  <si>
    <t>Oxygen consumption</t>
  </si>
  <si>
    <t>The Effect of Some Heavy Metal Ions on Photosynthesis in a Freshwater Alga</t>
  </si>
  <si>
    <t>Pestic. Biochem. Physiol.5(1): 19-26</t>
  </si>
  <si>
    <t>Shi,Y., M. Burns, R.J. Ritchie, A. Crossan, and I.R. Kennedy</t>
  </si>
  <si>
    <t>Probabilistic Risk Assessment of Diuron and Prometryn in the Gwydir River Catchment, Australia, with the Input of a Novel Bioassay Based on Algal Growth</t>
  </si>
  <si>
    <t>Ecotoxicol. Environ. Saf.106:213-219</t>
  </si>
  <si>
    <t>Spore</t>
  </si>
  <si>
    <t>Length</t>
  </si>
  <si>
    <t>Rhizome</t>
  </si>
  <si>
    <t>Myers,J.H., L. Gunthorpe, G. Allinson, and S. Duda</t>
  </si>
  <si>
    <t>Effects of Antifouling Biocides to the Germination and Growth of the Marine Macroalga, Hormosira banksii (Turner) Desicaine</t>
  </si>
  <si>
    <t>Mar. Pollut. Bull.52(9): 1048-1055</t>
  </si>
  <si>
    <t>Ceramium tenuicorne</t>
  </si>
  <si>
    <t>Karlsson,J., M. Breitholtz, and B. Eklund</t>
  </si>
  <si>
    <t>A Practical Ranking System to Compare Toxicity of Anti-Fouling Paints</t>
  </si>
  <si>
    <t>Mar. Pollut. Bull.52(12): 1661-1667</t>
  </si>
  <si>
    <t>Masojidek,J., P. Soucek, J. Machova, J. Frolik, K. Klem, and J. Maly</t>
  </si>
  <si>
    <t>Detection of Photosynthetic Herbicides:  Algal Growth Inhibition Test vs.  Electrochemical Photosystem II Biosensor</t>
  </si>
  <si>
    <t>Ecotoxicol. Environ. Saf.74(1): 117-122</t>
  </si>
  <si>
    <t>Booij,P., S.B. Sjollema, P.E.G. Leonards, P. De Voogt, G.J. Stroomberg, A.D. Vethaak, and M.H. Lamoree</t>
  </si>
  <si>
    <t>Extraction Tools for Identification of Chemical Contaminants in Estuarine and  Coastal Waters to Determine Toxic Pressure on Primary Producers</t>
  </si>
  <si>
    <t>Chemosphere93:107-114</t>
  </si>
  <si>
    <t>DeLorenzo,M.E., L.E. Danese, and T.D. Baird</t>
  </si>
  <si>
    <t>Influence of Increasing Temperature and Salinity on Herbicide Toxicity in Estuarine Phytoplankton</t>
  </si>
  <si>
    <t>Environ. Toxicol.28(7): 359-371</t>
  </si>
  <si>
    <t>Scenedesmus quadricauda</t>
  </si>
  <si>
    <t>Vedrine,C., J.C. Leclerc, C. Durrieu, and C. Tran-Minh</t>
  </si>
  <si>
    <t>Optical Whole-Cell Biosensor Using Chlorella vulgaris Designed for Monitoring Herbicides</t>
  </si>
  <si>
    <t>Biosens. Bioelectron.18(4): 457-463</t>
  </si>
  <si>
    <t>Schafer,H., H. Hettler, U. Fritsche, G. Pitzen, G. Roderer, and A. Wenzel</t>
  </si>
  <si>
    <t>Biotests Using Unicellular Algae and Ciliates for Predicting Long-Term Effects of Toxicants</t>
  </si>
  <si>
    <t>Ecotoxicol. Environ. Saf.27(1): 64-81</t>
  </si>
  <si>
    <t>Nitzschia sp.</t>
  </si>
  <si>
    <t>Reproduction, general</t>
  </si>
  <si>
    <t>Korkaric,M., R. Behra, B.B. Fischer, M. Junghans, and R.I.L. Eggen</t>
  </si>
  <si>
    <t>Multiple Stressor Effects in Chlamydomonas reinhardtii - Toward Understanding Mechanisms of Interaction Between Effects of Ultraviolet Radiation and Chemical Pollutants</t>
  </si>
  <si>
    <t>Aquat. Toxicol.162:18-28</t>
  </si>
  <si>
    <t>Shitanda,I., K. Takada, Y. Sakai, and T. Tatsuma</t>
  </si>
  <si>
    <t>Compact Amperometric Algal Biosensors for the Evaluation of Water Toxicity</t>
  </si>
  <si>
    <t>Anal. Chim. Acta530(2): 191-197</t>
  </si>
  <si>
    <t>beta-Galactosidase</t>
  </si>
  <si>
    <t>Peterson,S.M., and J.L. Stauber</t>
  </si>
  <si>
    <t>New Algal Enzyme Bioassay for the Rapid Assessment of Aquatic Toxicity</t>
  </si>
  <si>
    <t>Bull. Environ. Contam. Toxicol.56(5): 750-757</t>
  </si>
  <si>
    <t>Naessens,M., J.C. Leclerc, and C. Tran-Minh</t>
  </si>
  <si>
    <t>Fiber Optic Biosensor Using Chlorella vulgaris for Determination of Toxic Compounds</t>
  </si>
  <si>
    <t>Ecotoxicol. Environ. Saf.46(2): 181-185</t>
  </si>
  <si>
    <t>Ma,J., F. Lin, S. Wang, and L. Xu</t>
  </si>
  <si>
    <t>Toxicity of 21 Herbicides to the Green Alga Scenedesmus quadricauda</t>
  </si>
  <si>
    <t>Bull. Environ. Contam. Toxicol.71(3): 594-601</t>
  </si>
  <si>
    <t>Pulse</t>
  </si>
  <si>
    <t>Clarkson,N., J.W. Leftley, D.T. Meldrum, and J.W. Watson</t>
  </si>
  <si>
    <t>An Assessment of the Cage-Culture Turbidostat as an Alternative Algal Bioassay</t>
  </si>
  <si>
    <t>Water Res.32(4): 1162-1168</t>
  </si>
  <si>
    <t>Scenedesmus acutus</t>
  </si>
  <si>
    <t>Grossmann,K., R. Berghaus, and G. Retzlaff</t>
  </si>
  <si>
    <t>Heterotrophic Plant Cell Suspension Cultures for Monitoring Biological Activity in Agrochemical Research.  Comparison with Screens Using Algae, Germinating Seeds and Whole Plants</t>
  </si>
  <si>
    <t>Pestic. Sci.35(3): 283-289</t>
  </si>
  <si>
    <t>Chang,H.L., Y.L. Tseng, K.L. Ho, S.C. Shie, P.S. Wu, Y.T. Hsu, and T.M. Lee</t>
  </si>
  <si>
    <t>Reactive Oxygen Species Modulate the Differential Expression of Methionine Sulfoxide Reductase Genes in Chlamydomonas reinhardtii Under High Light Illumination</t>
  </si>
  <si>
    <t>Physiol. Plant.150:550-564</t>
  </si>
  <si>
    <t>Starch content</t>
  </si>
  <si>
    <t>Microcystis aeruginosa</t>
  </si>
  <si>
    <t>Microcystin</t>
  </si>
  <si>
    <t>Zhou,S., Y. Shao, N. Gao, Y. Deng, J. Qiao, H. Ou, and J. Deng</t>
  </si>
  <si>
    <t>Effects of Different Algaecides on the Photosynthetic Capacity, Cell Integrity and Microsystin-LR Release of Microcystis aeruginosa</t>
  </si>
  <si>
    <t>Sci. Total Environ.463/464:111-119</t>
  </si>
  <si>
    <t>Potassium Flux</t>
  </si>
  <si>
    <t>Gene expression</t>
  </si>
  <si>
    <t>Nestler,H., K.J. Groh, R. Schonenberger, R.I.L. Eggen, and M.J.F. Suter</t>
  </si>
  <si>
    <t>Linking Proteome Responses with Physiological and Biochemical Effects in Herbicide-Exposed Chlamydomonas reinhardtii</t>
  </si>
  <si>
    <t>J. Proteom.75(17): 5370-5385</t>
  </si>
  <si>
    <t>Navicula pelliculosa</t>
  </si>
  <si>
    <t>Size</t>
  </si>
  <si>
    <t>Costas,E., and V. Lopez-Rodas</t>
  </si>
  <si>
    <t>Copper Sulphate and DCMU-Herbicide Treatments Increase Asymmetry Between Sister Cells in the Toxic Cyanobacteria Microcystis aeruginosa:  Implications for Detecting Environmental Stress</t>
  </si>
  <si>
    <t>Water Res.40(12): 2447-2451</t>
  </si>
  <si>
    <t>Peptidyl-prolyl cis-trans isomerase A4 mRNA</t>
  </si>
  <si>
    <t>Methionine sulfoxide reductase B2.1 mRNA</t>
  </si>
  <si>
    <t>Methionine sulfoxide reductase B2.2 mRNA</t>
  </si>
  <si>
    <t>Peptide methionine sulfoxide reductase A5 mRNA</t>
  </si>
  <si>
    <t>Peptide methionine sulfoxide reductase A3 mRNA</t>
  </si>
  <si>
    <t>Chlorophyll:Carotenoids</t>
  </si>
  <si>
    <t>ug/cm2/d</t>
  </si>
  <si>
    <t>Targett,N.M., and W.R. Stochaj</t>
  </si>
  <si>
    <t>Natural Antifoulants and Their Analogs:  Applying Nature's Defense Strategies to Problems of Biofouling Control</t>
  </si>
  <si>
    <t>In: M.F.Thompson, R.Nagabhushanam, R.Sarojini, and M.Fingerman (Eds.), Recent Developments in Biofouling Control, Oxford &amp; IBH Publ.Co., New Delhi, India:221-228</t>
  </si>
  <si>
    <t>Stationary growth phase</t>
  </si>
  <si>
    <t>Shimasaki,Y., M. Tsuyama, R. Tasmin, X.C. Qiu, M. Shimizu, Y. Sato, Y. Yamasaki, Y. Kato-Unoki, A. Nukata, T. Nakashima</t>
  </si>
  <si>
    <t>Thiobencarb Herbicide Reduces Growth, Photosynthetic Activity, and Amount of Rieske Iron-Sulfur Protein in the Diatom Thalassiosira pseudonana</t>
  </si>
  <si>
    <t>J. Biochem. Mol. Toxicol.27:437-444</t>
  </si>
  <si>
    <t>Stadnyk,L., R.S. Campbell, and B.T. Johnson</t>
  </si>
  <si>
    <t>Pesticide Effect on Growth and 14C Assimilation in a Freshwater Alga</t>
  </si>
  <si>
    <t>Bull. Environ. Contam. Toxicol.6(1): 1-8</t>
  </si>
  <si>
    <t>Swain,N., B. Rath, and S.P. Adhikary</t>
  </si>
  <si>
    <t>Growth Response of the Cyanobacterium Microcystis aeruginosa to Herbicides and Pesticides</t>
  </si>
  <si>
    <t>J. Basic Microbiol.34(3): 197-204</t>
  </si>
  <si>
    <t>Pseudacris regilla</t>
  </si>
  <si>
    <t>Pacific Chorus Frog</t>
  </si>
  <si>
    <t>Amphibians</t>
  </si>
  <si>
    <t>Embryo</t>
  </si>
  <si>
    <t>Stage</t>
  </si>
  <si>
    <t>Development</t>
  </si>
  <si>
    <t>Deformation</t>
  </si>
  <si>
    <t>Schuytema,G.S., and A.V. Nebeker</t>
  </si>
  <si>
    <t>Comparative Toxicity of Diuron on Survival and Growth of Pacific Treefrog, Bullfrog, Red-Legged Frog, and African Clawed Frog Embryos and Tadpoles</t>
  </si>
  <si>
    <t>Arch. Environ. Contam. Toxicol.34(4): 370-376</t>
  </si>
  <si>
    <t>Agalychnis callidryas</t>
  </si>
  <si>
    <t>Red-eyed Treefrog</t>
  </si>
  <si>
    <t>Tadpole</t>
  </si>
  <si>
    <t>Days post-hatch</t>
  </si>
  <si>
    <t>Ghose,S.L., M.A. Donnelly, J. Kerby, and S.M. Whitfield</t>
  </si>
  <si>
    <t>Acute Toxicity Tests and meta-Analysis Identify Gaps in Tropical Ecotoxicology for Amphibians</t>
  </si>
  <si>
    <t>Environ. Toxicol. Chem.33(9): 2114-2119</t>
  </si>
  <si>
    <t>Rana aurora</t>
  </si>
  <si>
    <t>Northern Red-legged Frog</t>
  </si>
  <si>
    <t>Behavior</t>
  </si>
  <si>
    <t>Activity, general</t>
  </si>
  <si>
    <t>Weight</t>
  </si>
  <si>
    <t>Dry weight (AQUIRE only)</t>
  </si>
  <si>
    <t>Leg</t>
  </si>
  <si>
    <t>Rana catesbeiana</t>
  </si>
  <si>
    <t>Bullfrog</t>
  </si>
  <si>
    <t>Amphibians; Standard Test Species</t>
  </si>
  <si>
    <t>Month(s)</t>
  </si>
  <si>
    <t>Xenopus laevis</t>
  </si>
  <si>
    <t>African Clawed Frog</t>
  </si>
  <si>
    <t>Oocyte, ova</t>
  </si>
  <si>
    <t>Hormone(s)</t>
  </si>
  <si>
    <t>Testosterone</t>
  </si>
  <si>
    <t>Oocyte</t>
  </si>
  <si>
    <t>Orton,F., I. Lutz, W. Kloas, and E.J. Routledge</t>
  </si>
  <si>
    <t>Endocrine Disrupting Effects of Herbicides and Pentachlorophenol:  In Vitro and In Vivo Evidence</t>
  </si>
  <si>
    <t>Environ. Sci. Technol.43(6): 2144-2150</t>
  </si>
  <si>
    <t>Ovulation rate</t>
  </si>
  <si>
    <t>Larva</t>
  </si>
  <si>
    <t>Micronuclei</t>
  </si>
  <si>
    <t>Sanchez-Perez,J.M., B. Montuelle, F. Mouchet, L. Gauthier, F. Julien, S. Sauvage, S. Teissier, K. Dedieu, D. Destrieux,</t>
  </si>
  <si>
    <t>Role of the Hyporheic Heterotrophic Biofilm on Transformation and Toxicity of Pesticides</t>
  </si>
  <si>
    <t>Ann. Limnol.49:87-95</t>
  </si>
  <si>
    <t>17-beta Estradiol</t>
  </si>
  <si>
    <t>Progesterone</t>
  </si>
  <si>
    <t>Lithobates catesbeianus</t>
  </si>
  <si>
    <t>American Bullfrog</t>
  </si>
  <si>
    <t>Amphibians; U.S. Invasive Species</t>
  </si>
  <si>
    <t>Triiodothyronine</t>
  </si>
  <si>
    <t>Blood</t>
  </si>
  <si>
    <t>Freitas,J.S., A. Kupsco, G. Diamante, A.A. Felicio, E.A. Almeida, and D. Schlenk</t>
  </si>
  <si>
    <t>Influence of Temperature on the Thyroidogenic Effects of Diuron and Its Metabolite 3,4-DCA in Tadpoles of the American Bullfrog (Lithobates catesbeianus)</t>
  </si>
  <si>
    <t>Environ. Sci. Technol.50(23): 13095-13104</t>
  </si>
  <si>
    <t>Basic leucine zipper ATF-like transcription factor 3 mRNA</t>
  </si>
  <si>
    <t>Type II iodothyronine deiodinase mRNA</t>
  </si>
  <si>
    <t>Krueppel-like factor 9</t>
  </si>
  <si>
    <t>Thyroid Hormone Receptor beta mRNA</t>
  </si>
  <si>
    <t>Thyroid hormone receptor alpha mRNA</t>
  </si>
  <si>
    <t>Type III iodothyronine deiodinase mRNA</t>
  </si>
  <si>
    <t>Morphology</t>
  </si>
  <si>
    <t>Tail</t>
  </si>
  <si>
    <t>Condition index</t>
  </si>
  <si>
    <t>Snout-vent length</t>
  </si>
  <si>
    <t>Mesocyclops aspericornis</t>
  </si>
  <si>
    <t>Copepod</t>
  </si>
  <si>
    <t>Crustaceans</t>
  </si>
  <si>
    <t>Nauplii</t>
  </si>
  <si>
    <t>Leboulanger,C., C. Schwartz, P. Somville, A.O. Diallo, and M. Pagano</t>
  </si>
  <si>
    <t>Sensitivity of Two Mesocyclops (Crustacea, Copepoda, Cyclopidae), from Tropical and Temperate Origins, to the Herbicides, Diuron and Paraquat, and the Insecticides, Temephos and Fenitrothion</t>
  </si>
  <si>
    <t>Bull. Environ. Contam. Toxicol.87(5): 487-493</t>
  </si>
  <si>
    <t>Simocephalus serrulatus</t>
  </si>
  <si>
    <t>Water Flea</t>
  </si>
  <si>
    <t>Instar</t>
  </si>
  <si>
    <t>Intoxication</t>
  </si>
  <si>
    <t>Immobile</t>
  </si>
  <si>
    <t>Mayer,F.L.,Jr., and M.R. Ellersieck</t>
  </si>
  <si>
    <t>Manual of Acute Toxicity: Interpretation and Data Base for 410 Chemicals and 66 Species of Freshwater Animals</t>
  </si>
  <si>
    <t>USDI Fish and Wildlife Service, Publication No.160, Washington, DC:505 p.</t>
  </si>
  <si>
    <t>Balanus amphitrite</t>
  </si>
  <si>
    <t>Striped Barnacle</t>
  </si>
  <si>
    <t>LC10</t>
  </si>
  <si>
    <t>Unmeasured values (some measured values reported in article)</t>
  </si>
  <si>
    <t>Paratya australiensis</t>
  </si>
  <si>
    <t>Shrimp</t>
  </si>
  <si>
    <t>Kumar,A., R. Correll, S. Grocke, and C. Bajet</t>
  </si>
  <si>
    <t>Toxicity of Selected Pesticides to Freshwater Shrimp, Paratya australiensis (Decapoda:  Atyidae): Use of Time Series Acute Toxicity Data to Predict Chronic Lethality</t>
  </si>
  <si>
    <t>Ecotoxicol. Environ. Saf.73(3): 360-369</t>
  </si>
  <si>
    <t>Artemia salina</t>
  </si>
  <si>
    <t>Brine Shrimp</t>
  </si>
  <si>
    <t>Toxicity of Four Antifouling Biocides and Their Mixtures on the Brine Shrimp Artemia salina</t>
  </si>
  <si>
    <t>Sci. Total Environ.387(1-3): 166-174</t>
  </si>
  <si>
    <t>Elasmopus rapax</t>
  </si>
  <si>
    <t>Scud</t>
  </si>
  <si>
    <t>Juvenile</t>
  </si>
  <si>
    <t>Artemia sp.</t>
  </si>
  <si>
    <t>Hours post hatch</t>
  </si>
  <si>
    <t>Caecidotea brevicauda</t>
  </si>
  <si>
    <t>Aquatic Sowbug</t>
  </si>
  <si>
    <t>Mature</t>
  </si>
  <si>
    <t>Moina macrocopa</t>
  </si>
  <si>
    <t>Nishiuchi,Y., and Y. Hashimoto</t>
  </si>
  <si>
    <t>Toxicity of Pesticide Ingredients to Some Fresh Water Organisms</t>
  </si>
  <si>
    <t>Sci. Pest Control (Botyu-Kagaku)32(1): 5-11</t>
  </si>
  <si>
    <t>Palaemon serratus</t>
  </si>
  <si>
    <t>Pink Shrimp</t>
  </si>
  <si>
    <t>Zoea</t>
  </si>
  <si>
    <t>Survival</t>
  </si>
  <si>
    <t>Bellas,J., R. Beiras, J.C. Marino-Balsa, and N. Fernandez</t>
  </si>
  <si>
    <t>Toxicity of Organic Compounds to Marine Invertebrate Embryos and Larvae:  A Comparison Between the Sea Urchin Embryogenesis Bioassay and Alternative Test Species</t>
  </si>
  <si>
    <t>Ecotoxicology14(3): 337-353</t>
  </si>
  <si>
    <t>Penaeus monodon</t>
  </si>
  <si>
    <t>Jumbo Tiger Prawn</t>
  </si>
  <si>
    <t>Metamorphosis</t>
  </si>
  <si>
    <t>Maxillopoda</t>
  </si>
  <si>
    <t>Crustacean Class</t>
  </si>
  <si>
    <t>Multiple</t>
  </si>
  <si>
    <t>Cladocera</t>
  </si>
  <si>
    <t>Water Flea Order</t>
  </si>
  <si>
    <t>Thermocyclops decipiens</t>
  </si>
  <si>
    <t>Cyclopoid Copepod</t>
  </si>
  <si>
    <t>Ceriodaphnia quadrangula</t>
  </si>
  <si>
    <t>Shcherban,E.P.</t>
  </si>
  <si>
    <t>The Effect of Low Concentrations of Pesticides on the Development of Some Cladocera and the Abundance of Their Progeny</t>
  </si>
  <si>
    <t>Hydrobiol. J.6(6): 85-89</t>
  </si>
  <si>
    <t>Scapholeberis mucronata</t>
  </si>
  <si>
    <t>Effect of Diuron on Individual Bioparameters and Potential Productivity of Scapholeberis mucronata</t>
  </si>
  <si>
    <t>Exp. Water Toxicol. (Eksp. Vodn. Toksikol. )3:71-79</t>
  </si>
  <si>
    <t>Paratelphusa jacquemontii</t>
  </si>
  <si>
    <t>Crab</t>
  </si>
  <si>
    <t>Intermolt</t>
  </si>
  <si>
    <t>Kulkarni,K.M., and S.V. Kamath</t>
  </si>
  <si>
    <t>The Metabolic Response of Paratelphusa jacquemontii to Some Pollutants</t>
  </si>
  <si>
    <t>Geobios7(2): 70-73</t>
  </si>
  <si>
    <t>Effect of Low Concentrations of Atrazine and Diuron on the Productivity of Cladocera</t>
  </si>
  <si>
    <t>Hydrobiol. J.8(2): 54-58</t>
  </si>
  <si>
    <t>Sherban,E.P.</t>
  </si>
  <si>
    <t>Effect of Several Pesticides on the Quality of Crustacea Progeny</t>
  </si>
  <si>
    <t>Samoochischenic Bioprodukrivnost Okhrana Vodemovi, Vodotokov Ukrainy Materialy Respublikansko Konferentoi:109-111</t>
  </si>
  <si>
    <t>Daphnia magna</t>
  </si>
  <si>
    <t>Crustaceans; Standard Test Species</t>
  </si>
  <si>
    <t>Ceriodaphnia dubia</t>
  </si>
  <si>
    <t>Foster,S., M. Thomas, and W. Korth</t>
  </si>
  <si>
    <t>Laboratory-Derived Acute Toxicity of Selected Pesticides to Ceriodaphnia dubia</t>
  </si>
  <si>
    <t>Australas. J. Ecotoxicol.4(1): 53-59</t>
  </si>
  <si>
    <t>Crosby,D.G., and R.K. Tucker</t>
  </si>
  <si>
    <t>Toxicity of Aquatic Herbicides to Daphnia magna</t>
  </si>
  <si>
    <t>Science154:289-291</t>
  </si>
  <si>
    <t>Analytical Reference Standard</t>
  </si>
  <si>
    <t>Sanchis,J., M. Olmos, P. Vincent, M. Farre, and D. Barcelo</t>
  </si>
  <si>
    <t>New Insights on the Influence of Organic Co-Contaminants on the Aquatic Toxicology of Carbon Nanomaterials</t>
  </si>
  <si>
    <t>Environ. Sci. Technol.50(2): 961-969</t>
  </si>
  <si>
    <t>Hernando,M.D., M. Ejerhoon, A.R. Fernandez-Alba, and Y. Chisti</t>
  </si>
  <si>
    <t>Combined Toxicity Effects of MTBE and Pesticides Measured with Vibrio fischeri and Daphnia magna Bioassays</t>
  </si>
  <si>
    <t>Water Res.37(17): 4091-4098</t>
  </si>
  <si>
    <t>Daphnia pulex</t>
  </si>
  <si>
    <t>Tigriopus japonicus</t>
  </si>
  <si>
    <t>Harpacticoid Copepod</t>
  </si>
  <si>
    <t>Adult</t>
  </si>
  <si>
    <t>Nebeker,A.V., and G.S. Schuytema</t>
  </si>
  <si>
    <t>Chronic Effects of the Herbicide Diuron on Freshwater Cladocerans, Amphipods, Midges, Minnows, Worms, and Snails</t>
  </si>
  <si>
    <t>Arch. Environ. Contam. Toxicol.35(3): 441-446</t>
  </si>
  <si>
    <t>Hyalella azteca</t>
  </si>
  <si>
    <t>Gammarus fasciatus</t>
  </si>
  <si>
    <t>Nitocra spinipes</t>
  </si>
  <si>
    <t>Gammarus lacustris</t>
  </si>
  <si>
    <t>Sanders,H.O.</t>
  </si>
  <si>
    <t>Toxicity of Pesticides to the Crustacean Gammarus lacustris</t>
  </si>
  <si>
    <t>Tech.Pap.No.25, U.S.D.I., Bur.Sports Fish.Wildl., Fish Wildl.Serv., Washington, DC:18 p.</t>
  </si>
  <si>
    <t>Toxicities of Some Herbicides to Six Species of Freshwater Crustaceans</t>
  </si>
  <si>
    <t>J. Water Pollut. Control Fed.24(8): 1544-1550</t>
  </si>
  <si>
    <t>Knapek,R., and S. Lakota</t>
  </si>
  <si>
    <t>Biological Testing to Determine Toxic Effects of Pesticides in Water (Einige Biotests zur Untersuchung der Toxischen Wirkung von Pestiziden im Wasser)</t>
  </si>
  <si>
    <t>Tagungsber. Akad. Landwirtschaftswiss. DDR126:105-109</t>
  </si>
  <si>
    <t>Yasser,E.N., E.N. Shawkat, and A. Samir</t>
  </si>
  <si>
    <t>Impact of Organic Contamination on Some Aquatic Organisms</t>
  </si>
  <si>
    <t>Toxicol. Int.22(1): 45-53</t>
  </si>
  <si>
    <t>Americamysis bahia</t>
  </si>
  <si>
    <t>Opossum Shrimp</t>
  </si>
  <si>
    <t>Progeny counts/numbers</t>
  </si>
  <si>
    <t>Hatch</t>
  </si>
  <si>
    <t>Unspecified</t>
  </si>
  <si>
    <t>Endpoint reported without a specific effect</t>
  </si>
  <si>
    <t>Penaeus aztecus</t>
  </si>
  <si>
    <t>Brown Shrimp</t>
  </si>
  <si>
    <t>Multiple effects reported as one result</t>
  </si>
  <si>
    <t>Commercial Fishery Investigations</t>
  </si>
  <si>
    <t>In: Circular 226, Effects of Pesticides on Fish and Wildl., U.S.D.I., Washington, DC:65-77</t>
  </si>
  <si>
    <t>NR-ZERO</t>
  </si>
  <si>
    <t>Kersting,K.</t>
  </si>
  <si>
    <t>Effects of Diuron on the Energy Budget of a Daphnia magna Population</t>
  </si>
  <si>
    <t>In: J.H.Koeman and J.J.T.W.A.Strik (Eds.), Sublethal Effects of Toxic Chemicals on Aquatic Animals, Elsevier Sci.Publ., Amsterdam, NY:159-166</t>
  </si>
  <si>
    <t>Gambusia affinis</t>
  </si>
  <si>
    <t>Western Mosquitofish</t>
  </si>
  <si>
    <t>Fish</t>
  </si>
  <si>
    <t>Morone saxatilis</t>
  </si>
  <si>
    <t>Striped Bass</t>
  </si>
  <si>
    <t>Fingerling</t>
  </si>
  <si>
    <t>LC0</t>
  </si>
  <si>
    <t>Hughes,J.S.</t>
  </si>
  <si>
    <t>Acute Toxicity of Thirty Chemicals to Striped Bass (Morone saxatilis)</t>
  </si>
  <si>
    <t>Proc. Annu. Conf. Western Assoc. State Game Fish Comm.:15 p.</t>
  </si>
  <si>
    <t>Psetta maxima</t>
  </si>
  <si>
    <t>Left-Eyed Flounder, Turbot</t>
  </si>
  <si>
    <t>Egg</t>
  </si>
  <si>
    <t>Hours post fertilization</t>
  </si>
  <si>
    <t>Mhadhbi,L., T. Hela, B. Moncef, and A. Neji</t>
  </si>
  <si>
    <t>Toxicity of Three Selected Pesticides (Alachlor, Atrazine and Diuron) to the Marine Fish (Turbot Psetta maxima)</t>
  </si>
  <si>
    <t>Afr. J. Biotechnol.11(51): 11321-11328</t>
  </si>
  <si>
    <t>Oryzias melastigma</t>
  </si>
  <si>
    <t>Indian Medaka</t>
  </si>
  <si>
    <t>Rasbora heteromorpha</t>
  </si>
  <si>
    <t>Harlequinfish, Red Rasbora</t>
  </si>
  <si>
    <t>Tooby,T.E., P.A. Hursey, and J.S. Alabaster</t>
  </si>
  <si>
    <t>The Acute Toxicity of 102 Pesticides and Miscellaneous Substances to Fish</t>
  </si>
  <si>
    <t>Chem. Ind. (Lond.)21:523-526</t>
  </si>
  <si>
    <t>LC100</t>
  </si>
  <si>
    <t>Oncorhynchus clarkii</t>
  </si>
  <si>
    <t>Cutthroat Trout</t>
  </si>
  <si>
    <t>Mugil curema</t>
  </si>
  <si>
    <t>White Mullet</t>
  </si>
  <si>
    <t>Carassius sp.</t>
  </si>
  <si>
    <t>Carp</t>
  </si>
  <si>
    <t>Fry</t>
  </si>
  <si>
    <t>Wellborn,T.L.Jr.</t>
  </si>
  <si>
    <t>The Toxicity of Nine Therapeutic and Herbicidal Compounds to Striped Bass</t>
  </si>
  <si>
    <t>Prog. Fish-Cult.31(1): 27-32</t>
  </si>
  <si>
    <t>Salmonidae</t>
  </si>
  <si>
    <t>Trout Family</t>
  </si>
  <si>
    <t>Oreochromis niloticus</t>
  </si>
  <si>
    <t>Nile Tilapia</t>
  </si>
  <si>
    <t>Tinca tinca</t>
  </si>
  <si>
    <t>Tench</t>
  </si>
  <si>
    <t>Ahmed,W.</t>
  </si>
  <si>
    <t>The Effectiveness of Predators of Rice Field Mosquitoes in Relation to Pesticide Use in Rice Culture</t>
  </si>
  <si>
    <t>Ph.D. Thesis, University of California, Davis:55 p.</t>
  </si>
  <si>
    <t>Mugil cephalus</t>
  </si>
  <si>
    <t>Striped Mullet</t>
  </si>
  <si>
    <t>Sexually mature</t>
  </si>
  <si>
    <t>Previtellogenic oocyte</t>
  </si>
  <si>
    <t>Pereira,T.S.B., C.N.P. Boscolo, A.A. Felicio, S.R. Batlouni, D. Schlenk, and E.A. De Almeida</t>
  </si>
  <si>
    <t>Estrogenic Activities of Diuron Metabolites in Female Nile Tilapia (Oreochromis niloticus)</t>
  </si>
  <si>
    <t>Chemosphere146:497-502</t>
  </si>
  <si>
    <t>Testes</t>
  </si>
  <si>
    <t>Pereira,T.S.B., C.N.P. Boscolo, D.G.H. Da Silva, S.R. Batlouni, D. Schlenk, and E.A. De Almeida</t>
  </si>
  <si>
    <t>Anti-Androgenic Activities of Diuron and Its Metabolites in Male Nile Tilapia (Oreochromis niloticus)</t>
  </si>
  <si>
    <t>Aquat. Toxicol.164:10-15</t>
  </si>
  <si>
    <t>Oreochromis mossambicus</t>
  </si>
  <si>
    <t>Mozambique Tilapia</t>
  </si>
  <si>
    <t>Vitellogenin mRNA</t>
  </si>
  <si>
    <t>Liver</t>
  </si>
  <si>
    <t>Felicio,A.A., J. Crago, L.A. Maryoung, E.A. Almeida, and D. Schlenk</t>
  </si>
  <si>
    <t>Effects of Alkylphenols on the Biotransformation of Diuron and Enzymes Involved in the Synthesis and Clearance of Sex Steroids in Juvenile Male Tilapia (Oreochromus mossambica)</t>
  </si>
  <si>
    <t>Aquat. Toxicol.180:345-352</t>
  </si>
  <si>
    <t>Chrysophrys auratus</t>
  </si>
  <si>
    <t>Gilthead</t>
  </si>
  <si>
    <t>Hours post release</t>
  </si>
  <si>
    <t>Normal</t>
  </si>
  <si>
    <t>Gagnon,M.M., and C.A. Rawson</t>
  </si>
  <si>
    <t>Diuron Increases Spinal Deformity in Early-Life-Stage Pink Snapper Pagrus auratus</t>
  </si>
  <si>
    <t>Mar. Pollut. Bull.58(7): 1083-1085</t>
  </si>
  <si>
    <t>Spine, backbone</t>
  </si>
  <si>
    <t>Glutathione reductase</t>
  </si>
  <si>
    <t>Gill(s)</t>
  </si>
  <si>
    <t>Felicio,A.A., J.S. Freitas, J.B. Scarin, L.S. Ondei, F.B. Teresa, D. Schlenk, and E.A. De Almeida</t>
  </si>
  <si>
    <t>Isolated and Mixed Effects of Diuron and Its Metabolites on Biotransformation Enzymes and Oxidative Stress Response of Nile Tilapia (Oreochromis niloticus)</t>
  </si>
  <si>
    <t>Ecotoxicol. Environ. Saf.149:248-256</t>
  </si>
  <si>
    <t>Benzylresorufin O-deethylase</t>
  </si>
  <si>
    <t>7-Ethoxyresorufin O-deethylase</t>
  </si>
  <si>
    <t>Xenobiotic metabolizing enzymes</t>
  </si>
  <si>
    <t>Astyanax sp.</t>
  </si>
  <si>
    <t>Astynaxes</t>
  </si>
  <si>
    <t>Glutathione S-transferase</t>
  </si>
  <si>
    <t>Rossi,S.C., M.D. Da Silva, L.D.S. Piancini, C.A.O. Ribeiro, M.M. Cestari, and H.C.S. De Assis</t>
  </si>
  <si>
    <t>Sublethal Effects of Waterborne Herbicides in Tropical Freshwater Fish</t>
  </si>
  <si>
    <t>Bull. Environ. Contam. Toxicol.87(6): 603-607</t>
  </si>
  <si>
    <t>Erythrocyte</t>
  </si>
  <si>
    <t>Aromatase</t>
  </si>
  <si>
    <t>Brain</t>
  </si>
  <si>
    <t>Cortical alveoli oocyte</t>
  </si>
  <si>
    <t>Organ weight in relationship to body weight</t>
  </si>
  <si>
    <t>Gonad(s)</t>
  </si>
  <si>
    <t>Early vitellogenic oocyte</t>
  </si>
  <si>
    <t>17 alpha-Hydroxyprogesterone</t>
  </si>
  <si>
    <t>Feeding behavior</t>
  </si>
  <si>
    <t>Food consumption</t>
  </si>
  <si>
    <t>Atretic oocyte</t>
  </si>
  <si>
    <t>Aggression</t>
  </si>
  <si>
    <t>Boscolo,C.N.P., T.S.B. Pereira, I.G. Batalhao, P.L.R. Dourado, D. Schlenk, and E.A. De Almeida</t>
  </si>
  <si>
    <t>Diuron Metabolites Act as Endocrine Disruptors and Alter Aggressive Behavior in Nile Tilapia (Oreochromis niloticus)</t>
  </si>
  <si>
    <t>Chemosphere191:832-838</t>
  </si>
  <si>
    <t>Cortisol</t>
  </si>
  <si>
    <t>Plasma</t>
  </si>
  <si>
    <t>Serotonin</t>
  </si>
  <si>
    <t>11-Ketotestosterone</t>
  </si>
  <si>
    <t>Dopamine</t>
  </si>
  <si>
    <t>17beta-Hydroxysteroid dehydrogenase</t>
  </si>
  <si>
    <t>Glucose-6-phosphate dehydrogenase</t>
  </si>
  <si>
    <t>Pentylresorufin O-deethylase</t>
  </si>
  <si>
    <t>Aldehyde dehydrogenase (ALDH)</t>
  </si>
  <si>
    <t>Histology</t>
  </si>
  <si>
    <t>Extracellular space</t>
  </si>
  <si>
    <t>Ovaries</t>
  </si>
  <si>
    <t>Cytochrome P3A</t>
  </si>
  <si>
    <t>Acetylcholinesterase</t>
  </si>
  <si>
    <t>Muscle</t>
  </si>
  <si>
    <t>Organ/tissue formation</t>
  </si>
  <si>
    <t>Spermatocytes</t>
  </si>
  <si>
    <t>Glucuronidated 11-Ketotestosterone</t>
  </si>
  <si>
    <t>Spermatigonia</t>
  </si>
  <si>
    <t>Diameter</t>
  </si>
  <si>
    <t>Seminal vesicle</t>
  </si>
  <si>
    <t>Sperm cell counts</t>
  </si>
  <si>
    <t>Final vitellogenic oocyte</t>
  </si>
  <si>
    <t>Cirrhinus mrigala</t>
  </si>
  <si>
    <t>Carp, Hawk Fish</t>
  </si>
  <si>
    <t>Singh,S.P., and N.K. Yadav</t>
  </si>
  <si>
    <t>Toxicity of Some Herbicides to Major Carp Fingerlings</t>
  </si>
  <si>
    <t>Indian J. Ecol.5(2): 141-147</t>
  </si>
  <si>
    <t>Yearling</t>
  </si>
  <si>
    <t>Kokuricheva,M.P.</t>
  </si>
  <si>
    <t>Pathomorphological Changes in Fish Under the Effect of Different Concentrations of Diuron</t>
  </si>
  <si>
    <t>Exp. Water Toxicol. (Eksp. Vodn. Toksikol. )6:172-177</t>
  </si>
  <si>
    <t>Rutilus rutilus</t>
  </si>
  <si>
    <t>Roach</t>
  </si>
  <si>
    <t>Field undeterminable</t>
  </si>
  <si>
    <t>Hematological parameters (Temporary AQUIRE code)</t>
  </si>
  <si>
    <t>Popova,G.V.</t>
  </si>
  <si>
    <t>Pathomorphological Changes in Erythrocytes in Fish During Chronic Diuron Poisoning</t>
  </si>
  <si>
    <t>Vliyamie Pestits, Dikikh. Zhivotn.:12-18</t>
  </si>
  <si>
    <t>Reddy,D.C., P. Vijayakumari, V. Kalarani, and R.W. Davies</t>
  </si>
  <si>
    <t>Changes in Erythropoietic Activity of Sarotherodon mossambicus Exposed to Sublethal Concentrations of the Herbicide Diuron</t>
  </si>
  <si>
    <t>Bull. Environ. Contam. Toxicol.49(5): 730-737</t>
  </si>
  <si>
    <t>Fabacher,D.L., and H. Chambers</t>
  </si>
  <si>
    <t>Resistance to Herbicides in Insecticide-Resistant Mosquitofish, Gambusia affinis</t>
  </si>
  <si>
    <t>Environ. Lett.7(1): 15-20</t>
  </si>
  <si>
    <t>Osteichthyes</t>
  </si>
  <si>
    <t>Bony Fishes</t>
  </si>
  <si>
    <t>Hematological Indexes During an Evaluation of the Toxicity of Pesticides for Fish</t>
  </si>
  <si>
    <t>Eksp. Vodn. Toksikol.:19-29</t>
  </si>
  <si>
    <t>Leuciscus idus</t>
  </si>
  <si>
    <t>Ide, Silver Or Golden Orfe</t>
  </si>
  <si>
    <t>Nature of the Action of Some Herbicides on Carp</t>
  </si>
  <si>
    <t>Nauchn. Osn. Okhr. Prir.3:153-171</t>
  </si>
  <si>
    <t>Micropterus salmoides</t>
  </si>
  <si>
    <t>Largemouth Bass</t>
  </si>
  <si>
    <t>Bond,C.E., R.H. Lewis, and J.L. Fryer</t>
  </si>
  <si>
    <t>Toxicity of Various Herbicidal Materials to Fishes</t>
  </si>
  <si>
    <t>In: C.M.Tarzwell, Biological Problems in Water Pollution, U.S.Department of Health, Education, and Welfare, Cincinnati, OH:96-101</t>
  </si>
  <si>
    <t>Histological changes, general</t>
  </si>
  <si>
    <t>Multiple sites</t>
  </si>
  <si>
    <t>Edema</t>
  </si>
  <si>
    <t>Pericardium</t>
  </si>
  <si>
    <t>Pimephales promelas</t>
  </si>
  <si>
    <t>Fathead Minnow</t>
  </si>
  <si>
    <t>Fish; Standard Test Species</t>
  </si>
  <si>
    <t>Call,D.J., L.T. Brooke, R.J. Kent, M.L. Knuth, S.H. Poirier, J.M. Huot, and A.R. Lima</t>
  </si>
  <si>
    <t>Bromacil and Diuron Herbicides: Toxicity, Uptake, and Elimination in Freshwater Fish</t>
  </si>
  <si>
    <t>Arch. Environ. Contam. Toxicol.16(5): 607-613</t>
  </si>
  <si>
    <t>Danio rerio</t>
  </si>
  <si>
    <t>Zebra Danio</t>
  </si>
  <si>
    <t>EC20</t>
  </si>
  <si>
    <t>Wang,P., Z. Wang, P. Xia, and X. Zhang</t>
  </si>
  <si>
    <t>Concentration-Dependent Transcriptome of Zebrafish Embryo for Environmental Chemical Assessment</t>
  </si>
  <si>
    <t>Chemosphere245:10 p.</t>
  </si>
  <si>
    <t>Not intact</t>
  </si>
  <si>
    <t>Estrogen receptor protein</t>
  </si>
  <si>
    <t>Serra,H., M. Scholze, R. Altenburger, W. Busch, H. Budzinski, F. Brion, and S. Ait-Aissa</t>
  </si>
  <si>
    <t>Combined Effects of Environmental Xeno-Estrogens Within Multi-Component Mixtures: Comparison of In Vitro Human- and Zebrafish-Based Estrogenicity Bioassays</t>
  </si>
  <si>
    <t>Chemosphere227:334-344</t>
  </si>
  <si>
    <t>Lepomis macrochirus</t>
  </si>
  <si>
    <t>Bluegill</t>
  </si>
  <si>
    <t>Cope,O.B.</t>
  </si>
  <si>
    <t>Contamination of the Freshwater Ecosystem by Pesticides</t>
  </si>
  <si>
    <t>J. Appl. Ecol.3:33-44</t>
  </si>
  <si>
    <t>Epoxide hydrase</t>
  </si>
  <si>
    <t>Newman,J.W., D.L. Denton, C. Morisseau, C.S. Koger, C.E. Wheelock, D.E. Hinton, and B.D. Hammock</t>
  </si>
  <si>
    <t>Evaluation of Fish Models of Soluble Epoxide Hydrolase Inhibition</t>
  </si>
  <si>
    <t>Environ. Health Perspect.109(1): 61-66</t>
  </si>
  <si>
    <t>Oryzias latipes</t>
  </si>
  <si>
    <t>Japanese Medaka</t>
  </si>
  <si>
    <t>Salvelinus namaycush</t>
  </si>
  <si>
    <t>Lake Trout, Siscowet</t>
  </si>
  <si>
    <t>Macek,K.J., C. Hutchinson, and O.B. Cope</t>
  </si>
  <si>
    <t>The Effects of Temperature on the Susceptibility of Bluegills and Rainbow Trout to Selected Pesticides</t>
  </si>
  <si>
    <t>Bull. Environ. Contam. Toxicol.4(3): 174-183</t>
  </si>
  <si>
    <t>Cyprinus carpio</t>
  </si>
  <si>
    <t>Common Carp</t>
  </si>
  <si>
    <t>Sport Fishery Investigations</t>
  </si>
  <si>
    <t>Fish and Wildlife Service Circular 226, Effects of Pesticides on Fish and Wildlife. Washington, DC:51-63</t>
  </si>
  <si>
    <t>Geiger,D.L., S.H. Poirier, L.T. Brooke, and D.J. Call</t>
  </si>
  <si>
    <t>Acute Toxicities of Organic Chemicals to Fathead Minnows (Pimephales promelas) Volume III</t>
  </si>
  <si>
    <t>Center for Lake Superior Environmental Studies, University of Wisconsin, Superior, WI:328 p.</t>
  </si>
  <si>
    <t>Mayer,F.L.,Jr.</t>
  </si>
  <si>
    <t>Pesticides as Pollutants</t>
  </si>
  <si>
    <t>In: B.G.Liptak (Ed.), Environmental Engineer's Handbook, Chilton Book Co., Radnor, PA:405-418</t>
  </si>
  <si>
    <t>Cyprinodon variegatus</t>
  </si>
  <si>
    <t>Sheepshead Minnow</t>
  </si>
  <si>
    <t>Carassius auratus</t>
  </si>
  <si>
    <t>Goldfish</t>
  </si>
  <si>
    <t>Swim-up</t>
  </si>
  <si>
    <t>LD50</t>
  </si>
  <si>
    <t>Sperm</t>
  </si>
  <si>
    <t>Bony,S., I. Gaillard, and A. Devaux</t>
  </si>
  <si>
    <t>Genotoxicity Assessment of Two Vineyard Pesticides in Zebrafish</t>
  </si>
  <si>
    <t>Int. J. Environ. Anal. Chem.90(3-6): 421-428</t>
  </si>
  <si>
    <t>Developmental changes, general</t>
  </si>
  <si>
    <t>Call,D.J., and D.L. Geiger</t>
  </si>
  <si>
    <t>Subchronic Toxicities of Industrial and Agricultural Chemicals to Fathead Minnows (Pimephales promelas).  Volume I</t>
  </si>
  <si>
    <t>Center for Lake Superior Environmental Studies, University of Wisconsin, Superior, WI:318 p.</t>
  </si>
  <si>
    <t>Abnormal</t>
  </si>
  <si>
    <t>Day(s) post-hatch</t>
  </si>
  <si>
    <t>Until hatch</t>
  </si>
  <si>
    <t>Bretaud,S., J.P. Toutant, and P. Saglio</t>
  </si>
  <si>
    <t>Effects of Carbofuran, Diuron, and Nicosulfuron on Acetylcholinesterase Activity in Goldfish (Carassius auratus)</t>
  </si>
  <si>
    <t>Ecotoxicol. Environ. Saf.47(2): 117-124</t>
  </si>
  <si>
    <t>Crago,J., K. Tran, A. Budicin, B. Schreiber, R. Lavado, and D. Schlenk</t>
  </si>
  <si>
    <t>Exploring the Impacts of Two Separate Mixtures of Pesticide and Surfactants on Estrogenic Activity in Male Fathead Minnows and Rainbow Trout</t>
  </si>
  <si>
    <t>Arch. Environ. Contam. Toxicol.68:362-370</t>
  </si>
  <si>
    <t>Vitellogenin</t>
  </si>
  <si>
    <t>Schlenk,D., R. Lavado, J.E. Loyo-Rosales, W. Jones, L. Maryoung, N. Riar, I. Werner, and D. Sedlak</t>
  </si>
  <si>
    <t>Reconstitution Studies of Pesticides and Surfactants Exploring the Cause of Estrogenic Activity Observed in Surface Waters of the San Francisco Bay Delta</t>
  </si>
  <si>
    <t>Environ. Sci. Technol.46(16): 9106-9111</t>
  </si>
  <si>
    <t>Lakota,S., A. Raszka, J. Roszkowski, S. Hlond, F. Kozlowski, and J. Stefan</t>
  </si>
  <si>
    <t>Examinations of the Toxicity of Diuron, Linuron, Monolinuron and Monuron for the Carp Fry in the Acute Test</t>
  </si>
  <si>
    <t>Med. Weter.34(1): 20-22</t>
  </si>
  <si>
    <t>Behavioral changes, general</t>
  </si>
  <si>
    <t>Saglio,P., and S. Trijasse</t>
  </si>
  <si>
    <t>Behavioral Responses to Atrazine and Diuron in Goldfish</t>
  </si>
  <si>
    <t>Arch. Environ. Contam. Toxicol.35(3): 484-491</t>
  </si>
  <si>
    <t>Padilla,S., D. Corum, B. Padnos, D.L. Hunter, A. Beam, K.A. Houck, N. Sipes, N. Kleinstreuer, T. Knudsen, D.J. Dix, and</t>
  </si>
  <si>
    <t>Zebrafish Developmental Screening of the ToxCast Phase I Chemical Library</t>
  </si>
  <si>
    <t>Reprod. Toxicol.33(2): 174-187</t>
  </si>
  <si>
    <t>Summer</t>
  </si>
  <si>
    <t>Schulz,D.</t>
  </si>
  <si>
    <t>Proliferative Endocarditis in the Heart of Carps After Exposure to the Herbicide Karmex</t>
  </si>
  <si>
    <t>Zentbl. Vetmed. Reihe A19(5): 390-406</t>
  </si>
  <si>
    <t>Ictalurus punctatus</t>
  </si>
  <si>
    <t>Channel Catfish</t>
  </si>
  <si>
    <t>Year(s)</t>
  </si>
  <si>
    <t>McCorkle,F.M., J.E. Chambers, and J.D. Yarbrough</t>
  </si>
  <si>
    <t>Acute Toxicities of Selected Herbicides to Fingerling Channel Catfish, Ictalurus punctatus</t>
  </si>
  <si>
    <t>Bull. Environ. Contam. Toxicol.18(3): 267-270</t>
  </si>
  <si>
    <t>Oncorhynchus mykiss</t>
  </si>
  <si>
    <t>Rainbow Trout</t>
  </si>
  <si>
    <t>Fish; Standard Test Species; U.S. Threatened and Endangered Species</t>
  </si>
  <si>
    <t>Oncorhynchus kisutch</t>
  </si>
  <si>
    <t>Silver Salmon</t>
  </si>
  <si>
    <t>Okamura,H., T. Watanabe, I. Aoyama, and M. Hasobe</t>
  </si>
  <si>
    <t>Toxicity Evaluation of New Antifouling Compounds Using Suspension-Cultured Fish Cells</t>
  </si>
  <si>
    <t>Chemosphere46(7): 945-951</t>
  </si>
  <si>
    <t>Hinfray,N., J.M. Porcher, and F. Brion</t>
  </si>
  <si>
    <t>Inhibition of Rainbow Trout (Oncorhynchus mykiss) P450 Aromatase Activities in Brain and Ovarian Microsomes by Various Environmental Substances</t>
  </si>
  <si>
    <t>Comp. Biochem. Physiol. C Toxicol. Pharmacol.144:252-262</t>
  </si>
  <si>
    <t>Ctenopharyngodon idella</t>
  </si>
  <si>
    <t>Grass Carp</t>
  </si>
  <si>
    <t>Fish; U.S. Invasive Species</t>
  </si>
  <si>
    <t>Tooby,T.E., J. Lucey, and B. Stott</t>
  </si>
  <si>
    <t>The Tolerance of Grass Carp, Ctenopharyngodon idella Val., to Aquatic Herbicides</t>
  </si>
  <si>
    <t>J. Fish Biol.16(5): 591-597</t>
  </si>
  <si>
    <t>Lemna aequinoctialis</t>
  </si>
  <si>
    <t>Lesser Duckweed</t>
  </si>
  <si>
    <t>Flowers, Trees, Shrubs, Ferns</t>
  </si>
  <si>
    <t>Park,J., M.T. Brown, S. Depuydt, J.K. Kim, D.S. Won, and T. Han</t>
  </si>
  <si>
    <t>Comparing the Acute Sensitivity of Growth and Photosynthetic Endpoints in Three Lemna Species Exposed to Four Herbicides</t>
  </si>
  <si>
    <t>Environ. Pollut.220:818-827</t>
  </si>
  <si>
    <t>Root</t>
  </si>
  <si>
    <t>Halophila ovalis</t>
  </si>
  <si>
    <t>Frog's Bit</t>
  </si>
  <si>
    <t>Wilkinson,A.D., C.J. Collier, F. Flores, and A.P. Negri</t>
  </si>
  <si>
    <t>Acute and Additive Toxicity of Ten Photosystem-II Herbicides to Seagrass</t>
  </si>
  <si>
    <t>Sci. Rep.5:11 p.</t>
  </si>
  <si>
    <t>Zostera marina</t>
  </si>
  <si>
    <t>Eelgrass</t>
  </si>
  <si>
    <t>Chesworth,J.C., M.E. Donkin, and M.T. Brown</t>
  </si>
  <si>
    <t>The Interactive Effects of the Antifouling Herbicides Irgarol 1051 and Diuron on the Seagrass Zostera marina (L.)</t>
  </si>
  <si>
    <t>Aquat. Toxicol.66(3): 293-305</t>
  </si>
  <si>
    <t>Apium nodiflorum</t>
  </si>
  <si>
    <t>European Marshwort</t>
  </si>
  <si>
    <t>Spirodela polyrrhiza</t>
  </si>
  <si>
    <t>Large Duckweed</t>
  </si>
  <si>
    <t>Liu,L.C., and A. Cendeno-Maldonado</t>
  </si>
  <si>
    <t>Effects of Fluometuron, Prometryne, Ametryne, and Diuron on Growth of Two Lemna Species</t>
  </si>
  <si>
    <t>J. Agric. Univ. P. R.63(4): 483-488</t>
  </si>
  <si>
    <t>Thalassodendron ciliatum</t>
  </si>
  <si>
    <t>Sickle-leaved Cymodocea</t>
  </si>
  <si>
    <t>Wahedally,S.F., F.A. Mamboya, T.J. Lyimo, M. Bhikajee, and M. Bjork</t>
  </si>
  <si>
    <t>Short-Term Effects of Three Herbicides on the Maximum Quantum Yield and Electron Transport Rate of Tropical Seagrass Thalassodendron ciliatum</t>
  </si>
  <si>
    <t>Tanzania J. Nat. Appl. Sci.3(1): 458-466</t>
  </si>
  <si>
    <t>Zostera muelleri</t>
  </si>
  <si>
    <t>Eel Grass</t>
  </si>
  <si>
    <t>Flores,F., C.J. Collier, P. Mercurio, and A.P. Negri</t>
  </si>
  <si>
    <t>Phytotoxicity of Four Photosystem II Herbicides to Tropical Seagrasses</t>
  </si>
  <si>
    <t>PLoS One8(9): 12 p.</t>
  </si>
  <si>
    <t>Halodule uninervis</t>
  </si>
  <si>
    <t>Ell Grass</t>
  </si>
  <si>
    <t>Plantae</t>
  </si>
  <si>
    <t>Plant Kingdom</t>
  </si>
  <si>
    <t>Zananski,T.J., M.R. Twiss, and T.B. Mihuc</t>
  </si>
  <si>
    <t>Use of Fluorimetry to Evaluate Atrazine Toxicity to Phytoplankton Communities</t>
  </si>
  <si>
    <t>Aquat. Ecosyst. Health Manag.13(1): 56-65</t>
  </si>
  <si>
    <t>Potamogeton illinoensis</t>
  </si>
  <si>
    <t>Pondweed</t>
  </si>
  <si>
    <t>Zostera capricorni</t>
  </si>
  <si>
    <t>Leafneedle</t>
  </si>
  <si>
    <t>Macinnis-Ng,C.M.O., and P.J. Ralph</t>
  </si>
  <si>
    <t>Short-Term Response and Recovery of Zostera capricorni Photosynthesis After Herbicide Exposure</t>
  </si>
  <si>
    <t>Aquat. Bot.76(1): 1-15</t>
  </si>
  <si>
    <t>Haynes,D., P. Ralph, J. Prange, and B. Dennison</t>
  </si>
  <si>
    <t>The Impact of the Herbicide Diuron on Photosynthesis in Three Species of Tropical Seagrass</t>
  </si>
  <si>
    <t>Mar. Pollut. Bull.41(7-12): 288-293</t>
  </si>
  <si>
    <t>Cymodocea serrulata</t>
  </si>
  <si>
    <t>Manatee Grass</t>
  </si>
  <si>
    <t>Knauert,S., H. Singer, J. Hollender, and K. Knauer</t>
  </si>
  <si>
    <t>Phytotoxicity of Atrazine, Isoproturon, and Diuron to Submersed Macrophytes in Outdoor Mesocosms</t>
  </si>
  <si>
    <t>Environ. Pollut.158(1): 167-174</t>
  </si>
  <si>
    <t>Knauert,S., U. Dawo, J. Hollender, U. Hommen, and K. Knauer</t>
  </si>
  <si>
    <t>Effects of Photosystem II Inhibitors and Their Mixture on Freshwater Phytoplankton Succession in Outdoor Mesocosms</t>
  </si>
  <si>
    <t>Environ. Toxicol. Chem.28(4): 836-845</t>
  </si>
  <si>
    <t>Legrand,H., O. Herlory, J.M. Guarini, G.F. Blanchard, and P. Richard</t>
  </si>
  <si>
    <t>Inhibition of Microphytobenthic Photosynthesis by the Herbicides Atrazine and Diuron</t>
  </si>
  <si>
    <t>Cah.Biol.Mar.47(1): 39-45</t>
  </si>
  <si>
    <t>Ralph,P.J.</t>
  </si>
  <si>
    <t>Herbicide Toxicity of Halophila ovalis Assessed by Chlorophyll a Fluorescence</t>
  </si>
  <si>
    <t>Aquat. Bot.66(2): 141-152</t>
  </si>
  <si>
    <t>Oryza sativa</t>
  </si>
  <si>
    <t>Rice</t>
  </si>
  <si>
    <t>Environmental, unspecified</t>
  </si>
  <si>
    <t>Chlorophyll A:Chlorophyll B</t>
  </si>
  <si>
    <t>Lemna gibba</t>
  </si>
  <si>
    <t>Inflated Duckweed</t>
  </si>
  <si>
    <t>Flowers, Trees, Shrubs, Ferns; Standard Test Species</t>
  </si>
  <si>
    <t>Lemna sp.</t>
  </si>
  <si>
    <t>Duckweed</t>
  </si>
  <si>
    <t>Relative growth rate</t>
  </si>
  <si>
    <t>Frond</t>
  </si>
  <si>
    <t>Kumar,K.S., and T. Han</t>
  </si>
  <si>
    <t>Physiological Response of Lemna Species to Herbicides and Its Probable Use in Toxicity Testing</t>
  </si>
  <si>
    <t>Toxicol. Environ. Health Sci.2(1): 39-49</t>
  </si>
  <si>
    <t>Lemna perpusilla</t>
  </si>
  <si>
    <t>Toxicity of Single and Combined Herbicides on PSII Maximum Efficiency of an Aquatic Higher Plant, Lemna sp.</t>
  </si>
  <si>
    <t>Toxicol. Environ. Health Sci.3(2): 97-105</t>
  </si>
  <si>
    <t>Ogawa,M., and H. Kitamura</t>
  </si>
  <si>
    <t>Biological Assay of Plant Growth-Regulating Compounds Using Lemnaceae Plants</t>
  </si>
  <si>
    <t>Annu.Rep.Sankyo Res.Lab.(Sankyo Kenkyusho Nempo)40:91-99</t>
  </si>
  <si>
    <t>Nishiuchi,Y.</t>
  </si>
  <si>
    <t>Control Effect of Pesticide to Duckweed</t>
  </si>
  <si>
    <t>Bull. Agric. Chem. Insp. Stn. (Tokyo)14:69-72</t>
  </si>
  <si>
    <t>Potassium uptake</t>
  </si>
  <si>
    <t>Kondo,T., and T. Tsudzuki</t>
  </si>
  <si>
    <t>Energy Supply for Potassium Uptake Rhythm in a Duckweed, Lemna gibba G3</t>
  </si>
  <si>
    <t>Plant Cell Physiol.21(3): 433-443</t>
  </si>
  <si>
    <t>Lemna minor</t>
  </si>
  <si>
    <t>Flowers, Trees, Shrubs, Ferns; Standard Test Species; U.S. Invasive Species</t>
  </si>
  <si>
    <t>Gatidou,G., A.S. Stasinakis, and E.I. Iatrou</t>
  </si>
  <si>
    <t>Assessing Single and Joint Toxicity of Three Phenylurea Herbicides Using Lemna minor and Vibrio fischeri Bioassays</t>
  </si>
  <si>
    <t>Chemosphere119:S69-S74</t>
  </si>
  <si>
    <t>Myriophyllum spicatum</t>
  </si>
  <si>
    <t>Eurasian Watermilfoil</t>
  </si>
  <si>
    <t>Teisseire,H., M. Couderchet, and G. Vernet</t>
  </si>
  <si>
    <t>Phytotoxicity of Diuron Alone and in Combination with Copper or Folpet on Duckweed (Lemna minor)</t>
  </si>
  <si>
    <t>Environ. Pollut.106(1): 39-45</t>
  </si>
  <si>
    <t>Selim,S.E.D.A.A.</t>
  </si>
  <si>
    <t>Bioresidual Activity of Photosynthesis - Inhibiting Herbicides in Water and Soil</t>
  </si>
  <si>
    <t>Ph.D.Thesis, Purdue University, West Lafayette, IN:157 p.</t>
  </si>
  <si>
    <t>Eullaffroy,P., C. Frankart, A. Aziz, M. Couderchet, and C. Blaise</t>
  </si>
  <si>
    <t>Energy Fluxes and Driving Forces for Photosynthesis in Lemna minor Exposed to Herbicides</t>
  </si>
  <si>
    <t>Aquat. Bot.90(2): 172-178</t>
  </si>
  <si>
    <t>Flux, across membranes</t>
  </si>
  <si>
    <t>Seedling</t>
  </si>
  <si>
    <t>Fekete-Kertesz,I., Z. Kunglne-Nagy, K. Gruiz, A. Magyar, E. Farkas, and M. Molnar</t>
  </si>
  <si>
    <t>Assessing Toxicity of Organic Aquatic Micropollutants Based on the Total Chlorophyll Content of Lemna minor as a Sensitive Endpoint</t>
  </si>
  <si>
    <t>Period. Polytech. Chem. Eng.59(4): 262-271</t>
  </si>
  <si>
    <t>Teisseire,H., and G. Vernet</t>
  </si>
  <si>
    <t>Is the "Diuron Effect" due to a Herbicide Strengthening of Antioxidative Defenses of Lemna minor?</t>
  </si>
  <si>
    <t>Pestic. Biochem. Physiol.66(3): 153-160</t>
  </si>
  <si>
    <t>Glutathione (reduced glutathione)</t>
  </si>
  <si>
    <t>Ascorbate and Glutathione Contents in Duckweed, Lemna minor, as Biomarkers of the Stress Generated by Copper, Folpet and Diuron</t>
  </si>
  <si>
    <t>Biomarkers (Lond.)5(4): 263-273</t>
  </si>
  <si>
    <t>Eullaffroy,P., C. Frankart, and S. Biagianti</t>
  </si>
  <si>
    <t>Toxic Effect Assessment of Pollutant Mixtures in Lemna minor by Using Polyphasic Fluorescence Kinetics</t>
  </si>
  <si>
    <t>Toxicol. Environ. Chem.89(4): 683-696</t>
  </si>
  <si>
    <t>Elodea canadensis</t>
  </si>
  <si>
    <t>Waterweed</t>
  </si>
  <si>
    <t>Flowers, Trees, Shrubs, Ferns; U.S. Invasive Species</t>
  </si>
  <si>
    <t>Eichhornia crassipes</t>
  </si>
  <si>
    <t>Water-Hyacinth</t>
  </si>
  <si>
    <t>Leaf stage</t>
  </si>
  <si>
    <t>Mitotic index (# mitoses/total cells)</t>
  </si>
  <si>
    <t>Root tip cells</t>
  </si>
  <si>
    <t>Ahmed,S.A., and R.F. Abdou</t>
  </si>
  <si>
    <t>The Effect of Diuron and Mitrobuzin on the Root Tip Mitosis of Waterhyacinth (Eichhornia crassipes (Mart.) Solms.)</t>
  </si>
  <si>
    <t>Assiut J. Agric. Sci.17(3): 26 p.</t>
  </si>
  <si>
    <t>Landoltia punctata</t>
  </si>
  <si>
    <t>Koschnick,T.J.</t>
  </si>
  <si>
    <t>Documentation, Characterization, and Proposed Mechanism of Diquat Resistance in Landoltia punctata (G. Meyer) D.H.Les and D.J.Crawford</t>
  </si>
  <si>
    <t>Ph.D Thesis, University of Florida, Gainesville, FL:123 p.</t>
  </si>
  <si>
    <t>Hydrilla verticillata</t>
  </si>
  <si>
    <t>Hydrilla</t>
  </si>
  <si>
    <t>MacDonald,G.E., R. Querns, D.G. Shilling, S.K. McDonald, and T.A. Bewick</t>
  </si>
  <si>
    <t>Activity of Endothall on Hydrilla</t>
  </si>
  <si>
    <t>J. Aquat. Plant Manag.40:68-71</t>
  </si>
  <si>
    <t>Cell division rate</t>
  </si>
  <si>
    <t>Arrenurus sp.</t>
  </si>
  <si>
    <t>Water Mite</t>
  </si>
  <si>
    <t>Insects/Spiders</t>
  </si>
  <si>
    <t>James-Yi,S.A.</t>
  </si>
  <si>
    <t>Systematics, Ecology, and Distribution of Water Mites (Acari: Parasitengonina)</t>
  </si>
  <si>
    <t>Ph.D. Thesis, University of Illinois at Urbana-Champaign, Champaign, IL:181 p.</t>
  </si>
  <si>
    <t>Plecoptera</t>
  </si>
  <si>
    <t>Stonefly Order</t>
  </si>
  <si>
    <t>Pteronarcys californica</t>
  </si>
  <si>
    <t>Stonefly</t>
  </si>
  <si>
    <t>Sanders,H.O., and O.B. Cope</t>
  </si>
  <si>
    <t>The Relative Toxicities of Several Pesticides to Naiads of Three Species of Stoneflies</t>
  </si>
  <si>
    <t>Limnol. Oceanogr.13(1): 112-117</t>
  </si>
  <si>
    <t>Year class</t>
  </si>
  <si>
    <t>Cloeon dipterum</t>
  </si>
  <si>
    <t>Mayfly</t>
  </si>
  <si>
    <t>Nymph</t>
  </si>
  <si>
    <t>Nishiuchi,Y., and K. Asano</t>
  </si>
  <si>
    <t>Toxicity of Agricultural Chemicals to Some Freshwater Organisms - 59</t>
  </si>
  <si>
    <t>Suisan Zoshoku27(1): 48-55</t>
  </si>
  <si>
    <t>Tanytarsini</t>
  </si>
  <si>
    <t>Midge Tribe</t>
  </si>
  <si>
    <t>Feeding time</t>
  </si>
  <si>
    <t>Chironomidae</t>
  </si>
  <si>
    <t>Midge Family</t>
  </si>
  <si>
    <t>Korostylev,M.V.</t>
  </si>
  <si>
    <t>Effect of Diluron, Dilor and Methylnitrophos on Chironomids</t>
  </si>
  <si>
    <t>Izv. Gos. Nauchno-Issled. Inst. Ozern. Rechn. Rybn. Khoz.121:161-164</t>
  </si>
  <si>
    <t>Chironomus tentans</t>
  </si>
  <si>
    <t>Midge</t>
  </si>
  <si>
    <t>Insects/Spiders; Standard Test Species</t>
  </si>
  <si>
    <t>Swimming</t>
  </si>
  <si>
    <t>Lydy,M.J., and K.R. Austin</t>
  </si>
  <si>
    <t>Toxicity Assessment of Pesticide Mixtures Typical of the Sacramento-San Joaquin Delta Using Chironomus tentans</t>
  </si>
  <si>
    <t>Arch. Environ. Contam. Toxicol.48(1): 49-55</t>
  </si>
  <si>
    <t>Aedes aegypti</t>
  </si>
  <si>
    <t>Yellow Fever Mosquito</t>
  </si>
  <si>
    <t>Molting</t>
  </si>
  <si>
    <t>Acanthamoeba castellanii</t>
  </si>
  <si>
    <t>Amoeba</t>
  </si>
  <si>
    <t>Invertebrates</t>
  </si>
  <si>
    <t>Lord,S.</t>
  </si>
  <si>
    <t>The Interactions of Pesticides with Free-Living Protozoa</t>
  </si>
  <si>
    <t>Ph.D. Thesis, University of Bath, United Kingdom:488 p.</t>
  </si>
  <si>
    <t>Porites cylindrica</t>
  </si>
  <si>
    <t>Stony Coral</t>
  </si>
  <si>
    <t>Jones,R.J., J. Muller, D. Haynes, and U. Schreiber</t>
  </si>
  <si>
    <t>Effects of Herbicides Diuron and Atrazine on Corals of the Great Barrier Reef, Australia</t>
  </si>
  <si>
    <t>Mar. Ecol. Prog. Ser.251:153-167</t>
  </si>
  <si>
    <t>Acropora formosa</t>
  </si>
  <si>
    <t>Seriatopora hystrix</t>
  </si>
  <si>
    <t>Coral</t>
  </si>
  <si>
    <t>Montipora digitata</t>
  </si>
  <si>
    <t>Ciona intestinalis</t>
  </si>
  <si>
    <t>Sea Squirt</t>
  </si>
  <si>
    <t>Slowed, Retarded, Delayed or Non-development</t>
  </si>
  <si>
    <t>Acropora tumida</t>
  </si>
  <si>
    <t>Days post fertilization</t>
  </si>
  <si>
    <t>Aiptasia sp.</t>
  </si>
  <si>
    <t>Rock Anemone</t>
  </si>
  <si>
    <t>Pocillopora damicornis</t>
  </si>
  <si>
    <t>Tissue</t>
  </si>
  <si>
    <t>Acropora millepora</t>
  </si>
  <si>
    <t>Acropora tenuis</t>
  </si>
  <si>
    <t>Pigmentation</t>
  </si>
  <si>
    <t>Watanabe,T., I. Yuyama, and S. Yasumura</t>
  </si>
  <si>
    <t>Toxicological Effects of Biocides on Symbiotic and Aposymbiotic Juveniles of the Hermatypic Coral Acropora tenuis</t>
  </si>
  <si>
    <t>J. Exp. Mar. Biol. Ecol.339(2): 177-188</t>
  </si>
  <si>
    <t>Acropora valida</t>
  </si>
  <si>
    <t>Fecundity</t>
  </si>
  <si>
    <t>Total production</t>
  </si>
  <si>
    <t>Raberg,S., M. Nystrom, M. Eros, and P. Plantman</t>
  </si>
  <si>
    <t>Impact of the Herbicides 2,4-D and Diuron on the Metabolism of the Coral Porites cylindrica</t>
  </si>
  <si>
    <t>Mar. Environ. Res.56(4): 503-514</t>
  </si>
  <si>
    <t>Height</t>
  </si>
  <si>
    <t>Watanabe,T., Y. Utsunomiya, and I. Yuyama</t>
  </si>
  <si>
    <t>Long-Term Laboratory Culture of Symbiotic Coral Juveniles and Their Use in Eco-toxicological Study</t>
  </si>
  <si>
    <t>J. Exp. Mar. Biol. Ecol.352(1): 177-186</t>
  </si>
  <si>
    <t>Fertilization</t>
  </si>
  <si>
    <t>Gametophyte</t>
  </si>
  <si>
    <t>Rotifera</t>
  </si>
  <si>
    <t>Rotifer Phylum</t>
  </si>
  <si>
    <t>Montipora aequituberculata</t>
  </si>
  <si>
    <t>Progeny</t>
  </si>
  <si>
    <t>Tetrahymena pyriformis</t>
  </si>
  <si>
    <t>Ciliate</t>
  </si>
  <si>
    <t>Invertebrates; Standard Test Species</t>
  </si>
  <si>
    <t>Residue Grade</t>
  </si>
  <si>
    <t>Paracentrotus lividus</t>
  </si>
  <si>
    <t>Sea Urchin, Echinoderm</t>
  </si>
  <si>
    <t>Manzo,S., S. Buono, and C. Cremisini</t>
  </si>
  <si>
    <t>Predictability of Copper, Irgarol, and Diuron Combined Effects on Sea Urchin Paracentrotus lividus</t>
  </si>
  <si>
    <t>Arch. Environ. Contam. Toxicol.54(1): 57-68</t>
  </si>
  <si>
    <t>Toxic Effects of Irgarol and Diuron on Sea Urchin Paracentrotus lividus Early Development, Fertilization, and Offspring Quality</t>
  </si>
  <si>
    <t>Arch. Environ. Contam. Toxicol.51(1): 61-68</t>
  </si>
  <si>
    <t>Bogaerts,P., J. Bohatier, and F. Bonnemoy</t>
  </si>
  <si>
    <t>Use of the Ciliated Protozoan Tetrahymena pyriformis for the Assessment of Toxicity and Quantitative Structure-Activity Relationships of Xenobiotics: Comparison with the Microtox Test</t>
  </si>
  <si>
    <t>Ecotoxicol. Environ. Saf.49(3): 293-301</t>
  </si>
  <si>
    <t>Bonnet,J.L., F. Bonnemoy, M. Dusser, and J. Bohatier</t>
  </si>
  <si>
    <t>Assessment of the Potential Toxicity of Herbicides and Their Degradation Products to Nontarget Cells Using Two Microorganisms, the Bacteria Vibrio fischeri and the Ciliate Tetrahymena pyriformis</t>
  </si>
  <si>
    <t>Environ. Toxicol.22(1): 78-91</t>
  </si>
  <si>
    <t>Non-specific esterases</t>
  </si>
  <si>
    <t>Plankton</t>
  </si>
  <si>
    <t>Miscellaneous</t>
  </si>
  <si>
    <t>Brown,L.S., and D.R.S. Lean</t>
  </si>
  <si>
    <t>Toxicity of Selected Pesticides to Lake Phytoplankton Measured Using Photosynthetic Inhibition Compared to Maximal Uptake Rates of Phosphate and Ammonium</t>
  </si>
  <si>
    <t>Environ. Toxicol. Chem.14(1): 93-98</t>
  </si>
  <si>
    <t>Aquatic Community</t>
  </si>
  <si>
    <t>Flum,T.F., and L.J. Shannon</t>
  </si>
  <si>
    <t>The Effects of Three Related Amides on Microecosystem Stability</t>
  </si>
  <si>
    <t>Ecotoxicol. Environ. Saf.13(2): 239-252</t>
  </si>
  <si>
    <t>Tlili,A., A. Berard, J.L. Roulier, B. Volat, and B. Montuelle</t>
  </si>
  <si>
    <t>PO43- Dependence of the Tolerance of Autotrophic and Heterotrophic Biofilm Communities to Copper and Diuron</t>
  </si>
  <si>
    <t>Aquat. Toxicol.98(2): 165-177</t>
  </si>
  <si>
    <t>System respiration</t>
  </si>
  <si>
    <t>Yount,J.D., and L.J. Shannon</t>
  </si>
  <si>
    <t>State Changes In Laboratory Microecosystems in Response to Chemicals From Three Structural Groups</t>
  </si>
  <si>
    <t>ASTM Spec. Tech. Publ.:86-96</t>
  </si>
  <si>
    <t>Physa sp.</t>
  </si>
  <si>
    <t>Pouch Snail</t>
  </si>
  <si>
    <t>Molluscs</t>
  </si>
  <si>
    <t>Lymnaea sp.</t>
  </si>
  <si>
    <t>Pond Snail</t>
  </si>
  <si>
    <t>Generation</t>
  </si>
  <si>
    <t>Christian,F.A., and T.M. Tate</t>
  </si>
  <si>
    <t>Toxicity of Fluometuron and Diuron on the Intermediate Snail Host (Lymnea spp.) of Fasciola hepatica</t>
  </si>
  <si>
    <t>Bull. Environ. Contam. Toxicol.30(5): 628-631</t>
  </si>
  <si>
    <t>Ostreoida</t>
  </si>
  <si>
    <t>Oyster Order</t>
  </si>
  <si>
    <t>Maturity</t>
  </si>
  <si>
    <t>Akcha,F., C. Spagnol, and J. Rouxel</t>
  </si>
  <si>
    <t>Genotoxicity of Diuron and Glyphosate in Oyster Spermatozoa and Embryos</t>
  </si>
  <si>
    <t>Aquat. Toxicol.106:104-113</t>
  </si>
  <si>
    <t>Physa gyrina</t>
  </si>
  <si>
    <t>Ultrastructural changes</t>
  </si>
  <si>
    <t>Viability</t>
  </si>
  <si>
    <t>Crassostrea gigas</t>
  </si>
  <si>
    <t>Pacific Oyster</t>
  </si>
  <si>
    <t>Molluscs; Standard Test Species</t>
  </si>
  <si>
    <t>Spat</t>
  </si>
  <si>
    <t>Soft tissue</t>
  </si>
  <si>
    <t>Luna-Acosta,A., T. Renault, H. Thomas-Guyon, N. Faury, D. Saulnier, H. Budzinski, K. Le Menach, P. Pardon, I. Fruitier-</t>
  </si>
  <si>
    <t>Detection of Early Effects of a Single Herbicide (Diuron) and a Mix of Herbicides and Pharmaceuticals (Diuron, Isoproturon, Ibuprofen) on Immunological Parameters  of Pacific Oyster (Crassostrea gigas) Spat</t>
  </si>
  <si>
    <t>Chemosphere87(11): 1335-1340</t>
  </si>
  <si>
    <t>Mercenaria mercenaria</t>
  </si>
  <si>
    <t>Northern Quahog Or Hard Clam</t>
  </si>
  <si>
    <t>Davis,H.C., and H. Hidu</t>
  </si>
  <si>
    <t>Effects of Pesticides on Embryonic Development of Clams and Oysters and on Survival and Growth of the Larvae</t>
  </si>
  <si>
    <t>Fish. Bull.67(2): 393-404</t>
  </si>
  <si>
    <t>Crassostrea virginica</t>
  </si>
  <si>
    <t>American Or Virginia Oyster</t>
  </si>
  <si>
    <t>In: Pesticide-Wildlife Studies, 1963, U.S.D.I., Fish and Wildl.Serv.,Circ.199:28 p.</t>
  </si>
  <si>
    <t>Shell deposition</t>
  </si>
  <si>
    <t>Shell</t>
  </si>
  <si>
    <t>Tsunemasa,N., and H. Okamura</t>
  </si>
  <si>
    <t>Effects of Organotin Alternative Antifoulants on Oyster Embryo</t>
  </si>
  <si>
    <t>Arch. Environ. Contam. Toxicol.61(1): 128-134</t>
  </si>
  <si>
    <t>DNA concentration</t>
  </si>
  <si>
    <t>Behrens,D., J. Rouxel, T. Burgeot, and F. Akcha</t>
  </si>
  <si>
    <t>Comparative Embryotoxicity and Genotoxicity of the Herbicide Diuron and Its Metabolites in Early Life Stages of Crassostrea gigas: Implication of Reactive Oxygen Species Production</t>
  </si>
  <si>
    <t>Aquat. Toxicol.175:249-259</t>
  </si>
  <si>
    <t>Myeloid differentiation primary response protein MyD88 mRNA</t>
  </si>
  <si>
    <t>Hemocyte</t>
  </si>
  <si>
    <t>Laccase mRNA</t>
  </si>
  <si>
    <t>Tissue inhibitor of metalloproteinases mRNA</t>
  </si>
  <si>
    <t>Phenoloxidase</t>
  </si>
  <si>
    <t>Lipopolysaccharide-binding protein/mammalian bactericidal/permeability increasing protein mRNA</t>
  </si>
  <si>
    <t>Macrophage expressed protein 1-like protein mRNA</t>
  </si>
  <si>
    <t>Lysozyme mRNA</t>
  </si>
  <si>
    <t>Abnormal chromosomal distribution</t>
  </si>
  <si>
    <t>Bouilly,K., M. Bonnard, B. Gagnaire, T. Renault, and S. Lapegue</t>
  </si>
  <si>
    <t>Impact of Diuron on Aneuploidy and Hemocyte Parameters in Pacific Oyster, Crassostrea gigas</t>
  </si>
  <si>
    <t>Arch. Environ. Contam. Toxicol.52(1): 58-63</t>
  </si>
  <si>
    <t>Granulocyte</t>
  </si>
  <si>
    <t>F1 generation</t>
  </si>
  <si>
    <t>Superoxide dismutase mRNA</t>
  </si>
  <si>
    <t>Davis,H.C.</t>
  </si>
  <si>
    <t>Effects of Some Pesticides on Eggs and Larvae of Oysters (Crassostrea virginica) and Clams (Venus mercenaria)</t>
  </si>
  <si>
    <t>Commer. Fish. Rev.23(12): 8-23</t>
  </si>
  <si>
    <t>Hydroides elegans</t>
  </si>
  <si>
    <t>Tubeworm</t>
  </si>
  <si>
    <t>Worms</t>
  </si>
  <si>
    <t>Plectus opisthocirculus</t>
  </si>
  <si>
    <t>Nematode</t>
  </si>
  <si>
    <t>Neury-Ormanni,J., C. Doose, N. Majdi, J. Vedrenne, S. Morin, S. Hoss, and W. Traunspurger</t>
  </si>
  <si>
    <t>Tolerance of Free-Living Nematode Species to Imidacloprid and Diuron</t>
  </si>
  <si>
    <t>Invertebr. Biol.138(4): 7 p.</t>
  </si>
  <si>
    <t>Diploscapter coronatus</t>
  </si>
  <si>
    <t>Aphelenchoides parietinus</t>
  </si>
  <si>
    <t>Plectus communis</t>
  </si>
  <si>
    <t>Plectus parietinus</t>
  </si>
  <si>
    <t>Survivorship</t>
  </si>
  <si>
    <t>Lumbriculus variegatus</t>
  </si>
  <si>
    <t>Oligochaete, Worm</t>
  </si>
  <si>
    <t>Worms; Standard Test Species</t>
  </si>
  <si>
    <t>Ref. Number</t>
  </si>
  <si>
    <t>Pub. Year</t>
  </si>
  <si>
    <t>Ref. Type</t>
  </si>
  <si>
    <t>Citation</t>
  </si>
  <si>
    <t>Google Scholar</t>
  </si>
  <si>
    <t>Ahmed,S.A., and R.F. Abdou. The Effect of Diuron and Mitrobuzin on the Root Tip Mitosis of Waterhyacinth (Eichhornia crassipes (Mart.) Solms.). Assiut J. Agric. Sci.17(3): 26 p., 1986. ECOREF #13640</t>
  </si>
  <si>
    <t>Ahmed,W.. The Effectiveness of Predators of Rice Field Mosquitoes in Relation to Pesticide Use in Rice Culture. Ph.D. Thesis, University of California, Davis:55 p., 1976. ECOREF #60691</t>
  </si>
  <si>
    <t>Akcha,F., C. Spagnol, and J. Rouxel. Genotoxicity of Diuron and Glyphosate in Oyster Spermatozoa and Embryos. Aquat. Toxicol.106:104-113, 2012. ECOREF #161689</t>
  </si>
  <si>
    <t>Aoki,M., N. Sato, A. Meguro, and M. Tsuzuki. Differing Involvement of Sulfoquinovosyl Diacylglycerol in Photosystem II in Two Species of Unicellular Cyanobacteria. Eur. J. Biochem.271(4): 685-693, 2004. ECOREF #101992</t>
  </si>
  <si>
    <t>Arrhenius,A., F. Gronvall, M. Scholze, T. Backhaus, and H. Blanck. Predictability of the Mixture Toxicity of 12 Similarly Acting Congeneric Inhibitors of Photosystem II in Marine Periphyton and Epipsammon Communities. Aquat. Toxicol.68(4): 351-367, 2004. ECOREF #180287</t>
  </si>
  <si>
    <t>Bao,V.W.W., K.M.Y. Leung, J.W. Qiu, and M.H.W. Lam. Acute Toxicities of Five Commonly Used Antifouling Booster Biocides to Selected Subtropical and Cosmopolitan Marine Species. Mar. Pollut. Bull.62(5): 1147-1151, 2011. ECOREF #156339</t>
  </si>
  <si>
    <t>Bednarz,T.. The Effect of Pesticides on the Growth of Green and Blue-Green Algae Cultures. Acta Hydrobiol.23(2): 155-172, 1981. ECOREF #17259</t>
  </si>
  <si>
    <t>Bednarz,T.. The Evaluation of the Adaptation Ability of Some Green Algae to 2,4-D Acid, Monuron, and Diuron Admixtures, Under Laboratory Conditions. Acta Hydrobiol.23(3): 251-257, 1981. ECOREF #60995</t>
  </si>
  <si>
    <t>Behrens,D., J. Rouxel, T. Burgeot, and F. Akcha. Comparative Embryotoxicity and Genotoxicity of the Herbicide Diuron and Its Metabolites in Early Life Stages of Crassostrea gigas: Implication of Reactive Oxygen Species Production. Aquat. Toxicol.175:249-259, 2016. ECOREF #176117</t>
  </si>
  <si>
    <t>Bellas,J., R. Beiras, J.C. Marino-Balsa, and N. Fernandez. Toxicity of Organic Compounds to Marine Invertebrate Embryos and Larvae:  A Comparison Between the Sea Urchin Embryogenesis Bioassay and Alternative Test Species. Ecotoxicology14(3): 337-353, 2005. ECOREF #102068</t>
  </si>
  <si>
    <t>Bengtson Nash,S.M., P.A. Quayle, U. Schreiber, and J.F. Muller. The Selection of a Model Microalgal Species as Biomaterial for a Novel Aquatic Phytotoxicity Assay. Aquat. Toxicol.72(4): 315-326, 2005. ECOREF #80943</t>
  </si>
  <si>
    <t>Blanck,H., G. Wallin, and S.A. Wangberg. Species-Dependent Variation in Algal Sensitivity to Chemical Compounds. Ecotoxicol. Environ. Saf.8:339-351, 1984. ECOREF #11239</t>
  </si>
  <si>
    <t>Blanck,H., and B. Dahl. Pollution-Induced Community Tolerance (PICT) in Marine Periphyton in a Gradient of Tri-n-butyltin (TBT) Contamination. Aquat. Toxicol.35(1): 59-77, 1996. ECOREF #17783</t>
  </si>
  <si>
    <t>Bogaerts,P., J. Bohatier, and F. Bonnemoy. Use of the Ciliated Protozoan Tetrahymena pyriformis for the Assessment of Toxicity and Quantitative Structure-Activity Relationships of Xenobiotics: Comparison with the Microtox Test. Ecotoxicol. Environ. Saf.49(3): 293-301, 2001. ECOREF #62033</t>
  </si>
  <si>
    <t>Bond,C.E., R.H. Lewis, and J.L. Fryer. Toxicity of Various Herbicidal Materials to Fishes. In: C.M.Tarzwell, Biological Problems in Water Pollution, U.S.Department of Health, Education, and Welfare, Cincinnati, OH:96-101, 1960. ECOREF #876</t>
  </si>
  <si>
    <t>Bonnet,J.L., F. Bonnemoy, M. Dusser, and J. Bohatier. Assessment of the Potential Toxicity of Herbicides and Their Degradation Products to Nontarget Cells Using Two Microorganisms, the Bacteria Vibrio fischeri and the Ciliate Tetrahymena pyriformis. Environ. Toxicol.22(1): 78-91, 2007. ECOREF #97635</t>
  </si>
  <si>
    <t>Bony,S., I. Gaillard, and A. Devaux. Genotoxicity Assessment of Two Vineyard Pesticides in Zebrafish. Int. J. Environ. Anal. Chem.90(3-6): 421-428, 2010. ECOREF #165329</t>
  </si>
  <si>
    <t>Booij,P., S.B. Sjollema, P.E.G. Leonards, P. De Voogt, G.J. Stroomberg, A.D. Vethaak, and M.H. Lamoree. Extraction Tools for Identification of Chemical Contaminants in Estuarine and  Coastal Waters to Determine Toxic Pressure on Primary Producers. Chemosphere93:107-114, 2013. ECOREF #165582</t>
  </si>
  <si>
    <t>Boscolo,C.N.P., T.S.B. Pereira, I.G. Batalhao, P.L.R. Dourado, D. Schlenk, and E.A. De Almeida. Diuron Metabolites Act as Endocrine Disruptors and Alter Aggressive Behavior in Nile Tilapia (Oreochromis niloticus). Chemosphere191:832-838, 2018. ECOREF #176001</t>
  </si>
  <si>
    <t>Bouilly,K., M. Bonnard, B. Gagnaire, T. Renault, and S. Lapegue. Impact of Diuron on Aneuploidy and Hemocyte Parameters in Pacific Oyster, Crassostrea gigas. Arch. Environ. Contam. Toxicol.52(1): 58-63, 2007. ECOREF #102069</t>
  </si>
  <si>
    <t>Boura-Halfon,S., M. Rise, S.M. Arad, and A. Sivan. Characterization of Mutants of the Red Microalga Porphyridium aerugineum (Rhodophyceae) Resistant to DCMU and Atrazine. Phycologia36(6): 479-487, 1997. ECOREF #63613</t>
  </si>
  <si>
    <t>Bretaud,S., J.P. Toutant, and P. Saglio. Effects of Carbofuran, Diuron, and Nicosulfuron on Acetylcholinesterase Activity in Goldfish (Carassius auratus). Ecotoxicol. Environ. Saf.47(2): 117-124, 2000. ECOREF #59758</t>
  </si>
  <si>
    <t>German Dataset</t>
  </si>
  <si>
    <t>Bringmann,G., and R. Kuhn. Effect of Herbicidal Phenylurea Derivatives on Blue Algae (Model Organisms:Microcystic aeruginosa and Nostoc sp.). GWF Wasser Abwasser116(8): 366-369, 1975. ECOREF #7364</t>
  </si>
  <si>
    <t>Brown,L.S., and D.R.S. Lean. Toxicity of Selected Pesticides to Lake Phytoplankton Measured Using Photosynthetic Inhibition Compared to Maximal Uptake Rates of Phosphate and Ammonium. Environ. Toxicol. Chem.14(1): 93-98, 1995. ECOREF #13724</t>
  </si>
  <si>
    <t>Bulcke,R.A.J., and J.M.T. Stryckers. Bioassays for the Detection of Herbicides and Algicides in Water. Meded. Fac. Landbouwwet. Rijksuniv. Gent42(2): 1625-1634, 1977. ECOREF #91692</t>
  </si>
  <si>
    <t>Butler,P.A.. Commercial Fishery Investigations. In: Pesticide-Wildlife Studies, 1963, U.S.D.I., Fish and Wildl.Serv.,Circ.199:28 p., 1964. ECOREF #646</t>
  </si>
  <si>
    <t>Butler,P.A.. Commercial Fishery Investigations. In: Circular 226, Effects of Pesticides on Fish and Wildl., U.S.D.I., Washington, DC:65-77, 1965. ECOREF #807</t>
  </si>
  <si>
    <t>Butler,P.A.. Commercial Fisheries Investigations. Fish and Wildlife Service, Circular 167, Washington, D.C.:11-25, 1963. ECOREF #2188</t>
  </si>
  <si>
    <t>Butler,P.A.. Effects of Herbicides on Estuarine Fauna. Proc. South. Weed Conf.18:576-580, 1965. ECOREF #14134</t>
  </si>
  <si>
    <t>Cain,J.R., and R.K. Cain. The Effects of Selected Herbicides on Zygospore Germination and Growth of Chlamydomonas moewusii (Chlorophyceae, Volvocales). J. Phycol.19:301-305, 1983. ECOREF #61203</t>
  </si>
  <si>
    <t>Call,D.J., L.T. Brooke, R.J. Kent, M.L. Knuth, S.H. Poirier, J.M. Huot, and A.R. Lima. Bromacil and Diuron Herbicides: Toxicity, Uptake, and Elimination in Freshwater Fish. Arch. Environ. Contam. Toxicol.16(5): 607-613, 1987. ECOREF #12612</t>
  </si>
  <si>
    <t>Call,D.J., and D.L. Geiger. Subchronic Toxicities of Industrial and Agricultural Chemicals to Fathead Minnows (Pimephales promelas).  Volume I. Center for Lake Superior Environmental Studies, University of Wisconsin, Superior, WI:318 p., 1992. ECOREF #150898</t>
  </si>
  <si>
    <t>Cantin,N.E., A.P. Negri, and B.L. Willis. Photoinhibition from Chronic Herbicide Exposure Reduces Reproductive Output of Reef-Building Corals. Mar. Ecol. Prog. Ser.344:81-93, 2007. ECOREF #102076</t>
  </si>
  <si>
    <t>Castenholz,R.W.. The Effect of Sulfide on the Blue-Green Algae of Hot Springs. II. Yellowstone National Park. Microb. Ecol.3(7): 79-105, 1977. ECOREF #7464</t>
  </si>
  <si>
    <t>Chang,H.L., Y.L. Tseng, K.L. Ho, S.C. Shie, P.S. Wu, Y.T. Hsu, and T.M. Lee. Reactive Oxygen Species Modulate the Differential Expression of Methionine Sulfoxide Reductase Genes in Chlamydomonas reinhardtii Under High Light Illumination. Physiol. Plant.150:550-564, 2014. ECOREF #172734</t>
  </si>
  <si>
    <t>Chen,L., M. Xie, Y. Bi, G. Wang, S. Deng, and Y. Liu. The Combined Effects of UV-B Radiation and Herbicides on Photosynthesis, Antioxidant Enzymes and DNA Damage in Two Bloom-Forming Cyanobacteria. Ecotoxicol. Environ. Saf.80:224-230, 2012. ECOREF #173082</t>
  </si>
  <si>
    <t>Chesworth,J.C., M.E. Donkin, and M.T. Brown. The Interactive Effects of the Antifouling Herbicides Irgarol 1051 and Diuron on the Seagrass Zostera marina (L.). Aquat. Toxicol.66(3): 293-305, 2004. ECOREF #73299</t>
  </si>
  <si>
    <t>Choi,C.J., J.A. Berges, and E.B. Young. Rapid Effects of Diverse Toxic Water Pollutants on Chlorophyll a Fluorescence: Variable Responses Among Freshwater Microalgae. Water Res.46(8): 2615-2626, 2012. ECOREF #158970</t>
  </si>
  <si>
    <t>Christian,F.A., and T.M. Tate. Toxicity of Fluometuron and Diuron on the Intermediate Snail Host (Lymnea spp.) of Fasciola hepatica. Bull. Environ. Contam. Toxicol.30(5): 628-631, 1983. ECOREF #36156</t>
  </si>
  <si>
    <t>Christoffers,D., and D.E.W. Ernst. The In-Vivo Fluorescence of Chlorella fusca as a Biological Test for the Inhibition of Photosynthesis. Toxicol. Environ. Chem.7:61-71, 1983. ECOREF #45160</t>
  </si>
  <si>
    <t>Clarkson,N., J.W. Leftley, D.T. Meldrum, and J.W. Watson. An Assessment of the Cage-Culture Turbidostat as an Alternative Algal Bioassay. Water Res.32(4): 1162-1168, 1998. ECOREF #101990</t>
  </si>
  <si>
    <t>Conrad,R., C. Buchel, C. Wilhelm, W. Arsalane, C. Berkaloff, and J.C. Duval. Changes in Yield of In-Vivo Fluorescence of Chlorophyll a as a Tool for Selective Herbicide Monitoring. J. Appl. Phycol.5(5): 505-516, 1993. ECOREF #14619</t>
  </si>
  <si>
    <t>Cope,O.B.. Sport Fishery Investigations. Fish and Wildlife Service Circular 226, Effects of Pesticides on Fish and Wildlife. Washington, DC:51-63, 1965. ECOREF #2871</t>
  </si>
  <si>
    <t>Cope,O.B.. Contamination of the Freshwater Ecosystem by Pesticides. J. Appl. Ecol.3:33-44, 1966. ECOREF #10337</t>
  </si>
  <si>
    <t>Copin,P.J., and N. Chevre. Modelling the Effects of Pulse Exposure of Several PSII Inhibitors on Two Algae. Chemosphere137:70-77, 2015. ECOREF #170796</t>
  </si>
  <si>
    <t>Costas,E., and V. Lopez-Rodas. Copper Sulphate and DCMU-Herbicide Treatments Increase Asymmetry Between Sister Cells in the Toxic Cyanobacteria Microcystis aeruginosa:  Implications for Detecting Environmental Stress. Water Res.40(12): 2447-2451, 2006. ECOREF #101991</t>
  </si>
  <si>
    <t>Crago,J., K. Tran, A. Budicin, B. Schreiber, R. Lavado, and D. Schlenk. Exploring the Impacts of Two Separate Mixtures of Pesticide and Surfactants on Estrogenic Activity in Male Fathead Minnows and Rainbow Trout. Arch. Environ. Contam. Toxicol.68:362-370, 2015. ECOREF #169755</t>
  </si>
  <si>
    <t>Crosby,D.G., and R.K. Tucker. Toxicity of Aquatic Herbicides to Daphnia magna. Science154:289-291, 1966. ECOREF #2775</t>
  </si>
  <si>
    <t>Cullimore,D.R.. The In Vitro Sensitivity of Some Species of Chlorophyceae to a Selected Range of Herbicides. Weed Res.15:401-406, 1975. ECOREF #4871</t>
  </si>
  <si>
    <t>Das,P.K., and S.N. Bagchi. Bentazone and Bromoxynil Induce H+ and H2O2 Accumulation, and Inhibit Photosynthetic O2 Evolution in Synechococcous elongatus PCC7942. Pestic. Biochem. Physiol.97:256-261, 2010. ECOREF #167045</t>
  </si>
  <si>
    <t>Davis,D.E., C.G.P. Pillai, and B. Truelove. Effects of Prometryn, Diuron, Fluometuron, and MSMA on Chlorella and Two Fungi. Weed Sci.24(6): 587-593, 1976. ECOREF #19633</t>
  </si>
  <si>
    <t>Davis,H.C.. Effects of Some Pesticides on Eggs and Larvae of Oysters (Crassostrea virginica) and Clams (Venus mercenaria). Commer. Fish. Rev.23(12): 8-23, 1961. ECOREF #4811</t>
  </si>
  <si>
    <t>Davis,H.C., and H. Hidu. Effects of Pesticides on Embryonic Development of Clams and Oysters and on Survival and Growth of the Larvae. Fish. Bull.67(2): 393-404, 1969. ECOREF #2400</t>
  </si>
  <si>
    <t>DeLorenzo,M.E., L.E. Danese, and T.D. Baird. Influence of Increasing Temperature and Salinity on Herbicide Toxicity in Estuarine Phytoplankton. Environ. Toxicol.28(7): 359-371, 2013. ECOREF #165272</t>
  </si>
  <si>
    <t>Deng,L.P., S.A. Senseman, T.J. Gentry, D.A. Zuberer, E.R. Camargo, T.L. Weiss, and T.P. Devarenne. Effect of Selected Herbicides on Growth and Lipid Content of Nannochloris oculata. J. Aquat. Plant Manag.53:28-35, 2015. ECOREF #172991</t>
  </si>
  <si>
    <t>Devilla,R.A., M.T. Brown, M. Donkin, G.A. Tarran, J. Aiken, and J.W. Readman. Impact of Antifouling Booster Biocides on Single Microalgal Species and on a Natural Marine Phytoplankton Community. Mar. Ecol. Prog. Ser.286:1-12, 2005. ECOREF #98904</t>
  </si>
  <si>
    <t>El Jay,A., J.M. Ducruet, J.C. Duval, and J.P. Pelletier. A High-Sensitivity Chlorophyll Fluorescence Assay for Monitoring Herbicide Inhibition of Photosystem II in the Chlorophyte Selenastrum capricornutum: Comparison with Effect on Cell Growth. Arch. Hydrobiol.140(2): 273-286, 1997. ECOREF #59914</t>
  </si>
  <si>
    <t>Ensminger,M.P., and F.D. Hess. Photosynthesis Involvement in the Mechanism of Action of Diphenyl Ether Herbicides. Plant Physiol.78(1): 46-50, 1985. ECOREF #68778</t>
  </si>
  <si>
    <t>Escassi,L., J. Aguilera, F.L. Figueroa, and J.A. Fernandez. Potassium Drives Daily Reversible Thallus Enlargement in the Marine Red Alga Porphyra leucosticta (Rhodophyta). Planta214(5): 759-766, 2002. ECOREF #101988</t>
  </si>
  <si>
    <t>Eullaffroy,P., C. Frankart, A. Aziz, M. Couderchet, and C. Blaise. Energy Fluxes and Driving Forces for Photosynthesis in Lemna minor Exposed to Herbicides. Aquat. Bot.90(2): 172-178, 2009. ECOREF #120526</t>
  </si>
  <si>
    <t>Eullaffroy,P., C. Frankart, and S. Biagianti. Toxic Effect Assessment of Pollutant Mixtures in Lemna minor by Using Polyphasic Fluorescence Kinetics. Toxicol. Environ. Chem.89(4): 683-696, 2007. ECOREF #102140</t>
  </si>
  <si>
    <t>Eullaffroy,P., and G. Vernet. The F684/F735 Chlorophyll Fluorescence Ratio:  A Potential Tool for Rapid Detection and Determination of Herbicide Phytotoxicity in Algae. Water Res.37(9): 1983-1990, 2003. ECOREF #93825</t>
  </si>
  <si>
    <t>Fabacher,D.L., and H. Chambers. Resistance to Herbicides in Insecticide-Resistant Mosquitofish, Gambusia affinis. Environ. Lett.7(1): 15-20, 1974. ECOREF #946</t>
  </si>
  <si>
    <t>Fai,P.B., A. Grant, and B. Reid. Chlorophyll a Fluorescence as a Biomarker for Rapid Toxicity Assessment. Environ. Toxicol. Chem.26(7): 1520-1531, 2007. ECOREF #102060</t>
  </si>
  <si>
    <t>Fai,P.B., A. Grant, and B.J. Reid. Compatibility of Hydroxypropyl-beta-Cyclodextrin with Algal Toxicity Bioassays. Environ. Pollut.157(1): 135-140, 2009. ECOREF #115495</t>
  </si>
  <si>
    <t>Fekete-Kertesz,I., Z. Kunglne-Nagy, K. Gruiz, A. Magyar, E. Farkas, and M. Molnar. Assessing Toxicity of Organic Aquatic Micropollutants Based on the Total Chlorophyll Content of Lemna minor as a Sensitive Endpoint. Period. Polytech. Chem. Eng.59(4): 262-271, 2015. ECOREF #174479</t>
  </si>
  <si>
    <t>Felicio,A.A., J. Crago, L.A. Maryoung, E.A. Almeida, and D. Schlenk. Effects of Alkylphenols on the Biotransformation of Diuron and Enzymes Involved in the Synthesis and Clearance of Sex Steroids in Juvenile Male Tilapia (Oreochromus mossambica). Aquat. Toxicol.180:345-352, 2016. ECOREF #176116</t>
  </si>
  <si>
    <t>Felicio,A.A., J.S. Freitas, J.B. Scarin, L.S. Ondei, F.B. Teresa, D. Schlenk, and E.A. De Almeida. Isolated and Mixed Effects of Diuron and Its Metabolites on Biotransformation Enzymes and Oxidative Stress Response of Nile Tilapia (Oreochromis niloticus). Ecotoxicol. Environ. Saf.149:248-256, 2018. ECOREF #177275</t>
  </si>
  <si>
    <t>Felix,H.R., R. Chollet, and J. Harr. Use of the Cell Wall-Less Alga Dunaliella bioculata in Herbicide Screening Tests. Ann. Appl. Biol.113(1): 55-60, 1988. ECOREF #13100</t>
  </si>
  <si>
    <t>Fernandez-Alba,A.R., L. Piedra, M. Mezcua, and M.D. Hernando. Toxicity of Single and Mixed Contaminants in Seawater Measured with Acute Toxicity Bioassays. Sci. World J.2:1115-1120, 2002. ECOREF #112129</t>
  </si>
  <si>
    <t>Fernandez-Alba,A.R., M.D. Hernando, L. Piedra, and Y. Chisti. Toxicity Evaluation of Single and Mixed Antifouling Biocides Measured with Acute Toxicity Bioassays. Anal. Chim. Acta456(2): 303-312, 2002. ECOREF #80747</t>
  </si>
  <si>
    <t>Fischer,B.B., S. Roffler, and R.I.L. Eggen. Multiple Stressor Effects of Predation by Rotifers and Herbicide Pollution on Different Chlamydomonas Strains and Potential Impacts on Population Dynamics. Environ. Toxicol. Chem.31(12): 2832-2840, 2012. ECOREF #172723</t>
  </si>
  <si>
    <t>Flores,F., C.J. Collier, P. Mercurio, and A.P. Negri. Phytotoxicity of Four Photosystem II Herbicides to Tropical Seagrasses. PLoS One8(9): 12 p., 2013. ECOREF #167314</t>
  </si>
  <si>
    <t>Flum,T.F., and L.J. Shannon. The Effects of Three Related Amides on Microecosystem Stability. Ecotoxicol. Environ. Saf.13(2): 239-252, 1987. ECOREF #12661</t>
  </si>
  <si>
    <t>Fodorpataki,L., C. Bartha, and Z.G. Keresztes. Stress-Physiological Reactions of the Green Alga Scenedesmus opoliensis to Water Pollution with Herbicides. An. Univ. Oradea Fasc. Biol.16(1): 51-56, 2009. ECOREF #150127</t>
  </si>
  <si>
    <t>Foissner,I.. Effect of 3-(3,4-Dichlorophenyl)-1,1-Dimethylurea (DCMU) on Photosynthesis and Respiration of Nitella dactyl Cells. Pestic. Biochem. Physiol.22(3): 346-348, 1984. ECOREF #10735</t>
  </si>
  <si>
    <t>Forster,B., P.B. Heifetz, A. Lardans, J.E. Boynton, and N.W. Gillham. Herbicide Resistance and Growth of D1 Ala251 Mutants in Chlamydomonas. Z. Naturforsch. Sect. C J. Biosci.52(9/10): 654-664, 1997. ECOREF #71603</t>
  </si>
  <si>
    <t>Foster,S., M. Thomas, and W. Korth. Laboratory-Derived Acute Toxicity of Selected Pesticides to Ceriodaphnia dubia. Australas. J. Ecotoxicol.4(1): 53-59, 1998. ECOREF #67777</t>
  </si>
  <si>
    <t>Freitas,J.S., A. Kupsco, G. Diamante, A.A. Felicio, E.A. Almeida, and D. Schlenk. Influence of Temperature on the Thyroidogenic Effects of Diuron and Its Metabolite 3,4-DCA in Tadpoles of the American Bullfrog (Lithobates catesbeianus). Environ. Sci. Technol.50(23): 13095-13104, 2016. ECOREF #177269</t>
  </si>
  <si>
    <t>Gadkari,D.. Assessment of the Effects of the Photosynthesis-Inhibiting Herbicides Diuron, DCMU, Metamitron and Metribuzin on Growth and Nitrogenase Activity of Nostoc muscorum and a New Cyanobacterial Isolate, Strain G4. Biol. Fertil. Soils6:50-54, 1988. ECOREF #18752</t>
  </si>
  <si>
    <t>Gagnon,M.M., and C.A. Rawson. Diuron Increases Spinal Deformity in Early-Life-Stage Pink Snapper Pagrus auratus. Mar. Pollut. Bull.58(7): 1083-1085, 2009. ECOREF #156289</t>
  </si>
  <si>
    <t>Gatidou,G., A.S. Stasinakis, and E.I. Iatrou. Assessing Single and Joint Toxicity of Three Phenylurea Herbicides Using Lemna minor and Vibrio fischeri Bioassays. Chemosphere119:S69-S74, 2015. ECOREF #169118</t>
  </si>
  <si>
    <t>Gatidou,G., and N.S. Thomaidis. Evaluation of Single and Joint Toxic Effects of Two Antifouling Biocides, Their Main Metabolites and Copper Using Phytoplankton Bioassays. Aquat. Toxicol.85(3): 184-191, 2007. ECOREF #101987</t>
  </si>
  <si>
    <t>EPA Fathead Minnow Acute Toxicity Database (MED-Duluth)</t>
  </si>
  <si>
    <t>Geiger,D.L., S.H. Poirier, L.T. Brooke, and D.J. Call. Acute Toxicities of Organic Chemicals to Fathead Minnows (Pimephales promelas) Volume III. Center for Lake Superior Environmental Studies, University of Wisconsin, Superior, WI:328 p., 1986. ECOREF #12858</t>
  </si>
  <si>
    <t>Geoffroy,L., H. Teisseire, M. Couderchet, and G. Vernet. Effect of Oxyfluorfen and Diuron Alone and in Mixture on Antioxidative Enzymes of Scenedesmus obliquus. Pestic. Biochem. Physiol.72(3): 178-185, 2002. ECOREF #101986</t>
  </si>
  <si>
    <t>Geoffroy,L., M. Couderchet, and G. Vernet. Catalase Activity of Scenedesmus obliquus as a Biomarker of Environmental Pollution by Herbicides and Copper. Meded. Fac. Landbouwwet. Rijksuniv. Gent65(2B): 843-852, 2000. ECOREF #98120</t>
  </si>
  <si>
    <t>Ghose,S.L., M.A. Donnelly, J. Kerby, and S.M. Whitfield. Acute Toxicity Tests and meta-Analysis Identify Gaps in Tropical Ecotoxicology for Amphibians. Environ. Toxicol. Chem.33(9): 2114-2119, 2014. ECOREF #168034</t>
  </si>
  <si>
    <t>Gonen-Zurgil,Y., Y. Carmeli-Schwartz, and A. Sukenik. Selective Effect of the Herbicide DCMU on Unicellular Algae - A Potential Tool to Maintain Monoalgal Mass Culture of Nannochloropsis. J. Appl. Phycol.8(4-5): 415-419, 1996. ECOREF #20539</t>
  </si>
  <si>
    <t>Grossmann,K., R. Berghaus, and G. Retzlaff. Heterotrophic Plant Cell Suspension Cultures for Monitoring Biological Activity in Agrochemical Research.  Comparison with Screens Using Algae, Germinating Seeds and Whole Plants. Pestic. Sci.35(3): 283-289, 1992. ECOREF #78497</t>
  </si>
  <si>
    <t>Haglund,K., M. Bjorklund, S. Gunnare, A. Sandberg, U. Olander, and M. Pedersen. New Method for Toxicity Assessment in Marine and Brackish Environments Using the Macroalga Gracilaria tenuistipitata (Gracilariales, Rhodophyta). Hydrobiologia326/327:317-325, 1996. ECOREF #18453</t>
  </si>
  <si>
    <t>Harrington,L., K. Fabricius, G. Eaglesham, and A. Negri. Synergistic Effects of Diuron and Sedimentation on Photosynthesis and Survival of Crustose Coralline Algae. Mar. Pollut. Bull.51(1-4): 415-427, 2005. ECOREF #87345</t>
  </si>
  <si>
    <t>Haynes,D., P. Ralph, J. Prange, and B. Dennison. The Impact of the Herbicide Diuron on Photosynthesis in Three Species of Tropical Seagrass. Mar. Pollut. Bull.41(7-12): 288-293, 2000. ECOREF #56599</t>
  </si>
  <si>
    <t>Hernando,M.D., A.R. Fernandez-Alba, R. Tauler, and D. Barcelo. Toxicity Assays Applied to Wastewater Treatment. Talanta65(2): 358-366, 2005. ECOREF #152874</t>
  </si>
  <si>
    <t>Hernando,M.D., M. Ejerhoon, A.R. Fernandez-Alba, and Y. Chisti. Combined Toxicity Effects of MTBE and Pesticides Measured with Vibrio fischeri and Daphnia magna Bioassays. Water Res.37(17): 4091-4098, 2003. ECOREF #72537</t>
  </si>
  <si>
    <t>Hinfray,N., J.M. Porcher, and F. Brion. Inhibition of Rainbow Trout (Oncorhynchus mykiss) P450 Aromatase Activities in Brain and Ovarian Microsomes by Various Environmental Substances. Comp. Biochem. Physiol. C Toxicol. Pharmacol.144:252-262, 2006. ECOREF #180865</t>
  </si>
  <si>
    <t>Hoffman,R.W., G. Bills, and J. Rae. An In Situ Comparison of the Effectiveness of Four Algicides. Water Resour. Bull.18(6): 921-927, 1982. ECOREF #63230</t>
  </si>
  <si>
    <t>Hollister,T.A., and G.E. Walsh. Differential Responses of Marine Phytoplankton to Herbicides:  Oxygen Evolution. Bull. Environ. Contam. Toxicol.9(5): 291-295, 1973. ECOREF #8860</t>
  </si>
  <si>
    <t>Huang,X., S. Fong, L. Deanovic, and T.M. Young. Toxicity of Herbicides in Highway Runoff. Environ. Toxicol. Chem.24(9): 2336-2340, 2005. ECOREF #94271</t>
  </si>
  <si>
    <t>Hughes,J.S.. Acute Toxicity of Thirty Chemicals to Striped Bass (Morone saxatilis). Proc. Annu. Conf. Western Assoc. State Game Fish Comm.:15 p., 1973. ECOREF #2012</t>
  </si>
  <si>
    <t>Isensee,A.R.. Variability of Aquatic Model Ecosystem-Derived Data. Int. J. Environ. Stud.10:35-41, 1976. ECOREF #682</t>
  </si>
  <si>
    <t>James-Yi,S.A.. Systematics, Ecology, and Distribution of Water Mites (Acari: Parasitengonina). Ph.D. Thesis, University of Illinois at Urbana-Champaign, Champaign, IL:181 p., 2008. ECOREF #153867</t>
  </si>
  <si>
    <t>Johansson,P., K.M. Eriksson, L. Axelsson, and H. Blanck. Effects of Seven Antifouling Compounds on Photosynthesis and Inorganic Carbon Use in Sugar Kelp Saccharina latissima (Linnaeus). Arch. Environ. Contam. Toxicol.63(3): 365-377, 2012. ECOREF #175899</t>
  </si>
  <si>
    <t>Jones,R.J., J. Muller, D. Haynes, and U. Schreiber. Effects of Herbicides Diuron and Atrazine on Corals of the Great Barrier Reef, Australia. Mar. Ecol. Prog. Ser.251:153-167, 2003. ECOREF #78651</t>
  </si>
  <si>
    <t>Jones,R.J., and A.P. Kerswell. Phytotoxicity of Photosystem II (PSII) Herbicides to Coral. Mar. Ecol. Prog. Ser.261:149-159, 2003. ECOREF #75334</t>
  </si>
  <si>
    <t>Jordan,L.S., B.E. Day, and R.T. Hendrixson. Chemical Control of Filamentous Green Algae. Hilgardia32(9): 433-441, 1962. ECOREF #14395</t>
  </si>
  <si>
    <t>Jung,S.M., J.S. Bae, S.G. Kang, J.S. Son, J.H. Jeon, H.J. Lee, J.Y. Jeon, M. Sidharthan, S.H. Ryu, and H.W. Shin. Acute Toxicity of Organic Antifouling Biocides to Phytoplankton Nitzschia pungens and Zooplankton Artemia Larvae. Mar. Pollut. Bull.124(2): 811-818, 2016. ECOREF #175889</t>
  </si>
  <si>
    <t>Karlsson,J., M. Breitholtz, and B. Eklund. A Practical Ranking System to Compare Toxicity of Anti-Fouling Paints. Mar. Pollut. Bull.52(12): 1661-1667, 2006. ECOREF #102063</t>
  </si>
  <si>
    <t>Katsumata,M., T. Koike, K. Kazumura, A. Takeuchi, and Y. Sugaya. Utility of Delayed Fluorescence as Endpoint for Rapid Estimation of Effect Concentration on the Green Alga Pseudokirchneriella subcapitata. Bull. Environ. Contam. Toxicol.83(4): 484-487, 2009. ECOREF #150061</t>
  </si>
  <si>
    <t>Kersting,K.. Effects of Diuron on the Energy Budget of a Daphnia magna Population. In: J.H.Koeman and J.J.T.W.A.Strik (Eds.), Sublethal Effects of Toxic Chemicals on Aquatic Animals, Elsevier Sci.Publ., Amsterdam, NY:159-166, 1975. ECOREF #7960</t>
  </si>
  <si>
    <t>Knapek,R., and S. Lakota. Biological Testing to Determine Toxic Effects of Pesticides in Water (Einige Biotests zur Untersuchung der Toxischen Wirkung von Pestiziden im Wasser). Tagungsber. Akad. Landwirtschaftswiss. DDR126:105-109, 1974. ECOREF #6270</t>
  </si>
  <si>
    <t>Knauer,K., A. Leimgruber, U. Hommen, and S. Knauert. Co-Tolerance of Phytoplankton Communities to Photosynthesis II Inhibitors. Aquat. Toxicol.96(4): 256-263, 2010. ECOREF #120541</t>
  </si>
  <si>
    <t>Knauer,K., and U. Hommen. Sensitivity, Variability, and Recovery of Functional and Structural Endpoints of an Aquatic Community Exposed to Herbicides. Ecotoxicol. Environ. Saf.78:178-183, 2012. ECOREF #165274</t>
  </si>
  <si>
    <t>Knauert,S., B. Escher, H. Singer, J. Hollender, and K. Knauer. Mixture Toxicity of Three Photosystem II Inhibitors (Atrazine, Isoproturon, and Diuron) Toward Photosynthesis of Freshwater Phytoplankton Studied in Outdoor Mesocosms. Environ. Sci. Technol.42(17): 6424-6430, 2008. ECOREF #112913</t>
  </si>
  <si>
    <t>Knauert,S., H. Singer, J. Hollender, and K. Knauer. Phytotoxicity of Atrazine, Isoproturon, and Diuron to Submersed Macrophytes in Outdoor Mesocosms. Environ. Pollut.158(1): 167-174, 2010. ECOREF #151496</t>
  </si>
  <si>
    <t>Knauert,S., U. Dawo, J. Hollender, U. Hommen, and K. Knauer. Effects of Photosystem II Inhibitors and Their Mixture on Freshwater Phytoplankton Succession in Outdoor Mesocosms. Environ. Toxicol. Chem.28(4): 836-845, 2009. ECOREF #118321</t>
  </si>
  <si>
    <t>Kokuricheva,M.P.. Pathomorphological Changes in Fish Under the Effect of Different Concentrations of Diuron. Exp. Water Toxicol. (Eksp. Vodn. Toksikol. )6:172-177, 1976. ECOREF #6499</t>
  </si>
  <si>
    <t>Kondo,T., and T. Tsudzuki. Energy Supply for Potassium Uptake Rhythm in a Duckweed, Lemna gibba G3. Plant Cell Physiol.21(3): 433-443, 1980. ECOREF #14410</t>
  </si>
  <si>
    <t>Korkaric,M., M. Xiao, R. Behra, and R.I.L. Eggen. Acclimation of Chlamydomonas reinhardtii to Ultraviolet Radiation and Its Impact on Chemical Toxicity. Aquat. Toxicol.167:209-219, 2015. ECOREF #172392</t>
  </si>
  <si>
    <t>Korkaric,M., R. Behra, B.B. Fischer, M. Junghans, and R.I.L. Eggen. Multiple Stressor Effects in Chlamydomonas reinhardtii - Toward Understanding Mechanisms of Interaction Between Effects of Ultraviolet Radiation and Chemical Pollutants. Aquat. Toxicol.162:18-28, 2015. ECOREF #172697</t>
  </si>
  <si>
    <t>Korostylev,M.V.. Effect of Diluron, Dilor and Methylnitrophos on Chironomids. Izv. Gos. Nauchno-Issled. Inst. Ozern. Rechn. Rybn. Khoz.121:161-164, 1977. ECOREF #7545</t>
  </si>
  <si>
    <t>Koschnick,T.J.. Documentation, Characterization, and Proposed Mechanism of Diquat Resistance in Landoltia punctata (G. Meyer) D.H.Les and D.J.Crawford. Ph.D Thesis, University of Florida, Gainesville, FL:123 p., 2005. ECOREF #111593</t>
  </si>
  <si>
    <t>Koutsaftis,A., and I. Aoyama. Toxicity of Four Antifouling Biocides and Their Mixtures on the Brine Shrimp Artemia salina. Sci. Total Environ.387(1-3): 166-174, 2007. ECOREF #101947</t>
  </si>
  <si>
    <t>Koutsaftis,A., and I. Aoyama. The Interactive Effects of Binary Mixtures of Three Antifouling Biocides and Three Heavy Metals Against the Marine Algae Chaetoceros gracilis. Environ. Toxicol.21(4): 432-439, 2006. ECOREF #102065</t>
  </si>
  <si>
    <t>Kulkarni,K.M., and S.V. Kamath. The Metabolic Response of Paratelphusa jacquemontii to Some Pollutants. Geobios7(2): 70-73, 1980. ECOREF #5036</t>
  </si>
  <si>
    <t>Kumar,A., R. Correll, S. Grocke, and C. Bajet. Toxicity of Selected Pesticides to Freshwater Shrimp, Paratya australiensis (Decapoda:  Atyidae): Use of Time Series Acute Toxicity Data to Predict Chronic Lethality. Ecotoxicol. Environ. Saf.73(3): 360-369, 2010. ECOREF #121117</t>
  </si>
  <si>
    <t>Kumar,K.S., and T. Han. Toxicity of Single and Combined Herbicides on PSII Maximum Efficiency of an Aquatic Higher Plant, Lemna sp.. Toxicol. Environ. Health Sci.3(2): 97-105, 2011. ECOREF #159159</t>
  </si>
  <si>
    <t>Kumar,K.S., and T. Han. Physiological Response of Lemna Species to Herbicides and Its Probable Use in Toxicity Testing. Toxicol. Environ. Health Sci.2(1): 39-49, 2010. ECOREF #174699</t>
  </si>
  <si>
    <t>Kvitko,K.V., B.T. Mukhamadiev, and O.V. Zalenskii. Effect of DCMU, an Inhibitor of Photophosphorylation, on the Variability of Chlorella. In: Y.S.Nasyrov (Ed.), Genet.Aspektyfotosin., Dushanbe, USSR:255-268, 1971. ECOREF #9377</t>
  </si>
  <si>
    <t>Lakota,S., A. Raszka, J. Roszkowski, S. Hlond, F. Kozlowski, and J. Stefan. Examinations of the Toxicity of Diuron, Linuron, Monolinuron and Monuron for the Carp Fry in the Acute Test. Med. Weter.34(1): 20-22, 1977. ECOREF #6016</t>
  </si>
  <si>
    <t>Lambert,S.J., K.V. Thomas, and A.J. Davy. Assessment of the Risk Posed by the Antifouling Booster Biocides Irgarol 1051 and Diuron to Freshwater Macrophytes. Chemosphere63(5): 734-743, 2006. ECOREF #102064</t>
  </si>
  <si>
    <t>Larras,F., A. Bouchez, F. Rimet, and B. Montuelle. Using Bioassays and Species Sensitivity Distributions to Assess Herbicide Toxicity Towards Benthic Diatoms. PLoS One7(8): 1-9, 2012. ECOREF #161002</t>
  </si>
  <si>
    <t>Larras,F., B. Montuelle, and A. Bouchez. Assessment of Toxicity Thresholds in Aquatic Environments: Does Benthic Growth of Diatoms Affect Their Exposure and Sensitivity to Herbicides?. Sci. Total Environ.463/464:469-477, 2013. ECOREF #166513</t>
  </si>
  <si>
    <t>Larras,F., F. Keck, B. Montuelle, F. Rimet, and A. Bouchez. Linking Diatom Sensitivity to Herbicides to Phylogeny:  A Step Forward for Biomonitoring?. Environ. Sci. Technol.48(3): 1921-1930, 2014. ECOREF #166447</t>
  </si>
  <si>
    <t>Leboulanger,C., C. Schwartz, P. Somville, A.O. Diallo, and M. Pagano. Sensitivity of Two Mesocyclops (Crustacea, Copepoda, Cyclopidae), from Tropical and Temperate Origins, to the Herbicides, Diuron and Paraquat, and the Insecticides, Temephos and Fenitrothion. Bull. Environ. Contam. Toxicol.87(5): 487-493, 2011. ECOREF #158435</t>
  </si>
  <si>
    <t>Leboulanger,C., M. Bouvy, C. Carre, P. Cecchi, L. Amalric, A. Bouchez, M. Pagano, and G. Sarazin. Comparison of the Effects of Two Herbicides and an Insecticide on Tropical Freshwater Plankton in Microcosms. Arch. Environ. Contam. Toxicol.61(4): 599-613, 2011. ECOREF #172395</t>
  </si>
  <si>
    <t>Legrand,H., O. Herlory, J.M. Guarini, G.F. Blanchard, and P. Richard. Inhibition of Microphytobenthic Photosynthesis by the Herbicides Atrazine and Diuron. Cah.Biol.Mar.47(1): 39-45, 2006. ECOREF #89249</t>
  </si>
  <si>
    <t>Li,F.M., M. Wu, Y. Yao, X. Zheng, J. Zhao, Z.Y. Wang, and B.S. Xing. Inhibitory Effects and Oxidative Target Site of Dibutyl Phthalate on Karenia brevis. Chemosphere132:32-39, 2015. ECOREF #170671</t>
  </si>
  <si>
    <t>Liu,L.C., and A. Cendeno-Maldonado. Effects of Fluometuron, Prometryne, Ametryne, and Diuron on Growth of Two Lemna Species. J. Agric. Univ. P. R.63(4): 483-488, 1974. ECOREF #8628</t>
  </si>
  <si>
    <t>Liu,N., F. Wen, F. Li, X. Zheng, Z. Liang, and H. Zheng. Inhibitory Mechanism of Phthalate Esters on Karenia brevis. Chemosphere155:498-508, 2016. ECOREF #180577</t>
  </si>
  <si>
    <t>Liu,W., Y.B. Zhang, X. Quan, Y.H. Jin, and S. Chen. Effect of Perfluorooctane Sulfonate on Toxicity and Cell Uptake of Other Compounds with Different Hydrophobicity in Green Alga. Chemosphere75(3): 405-409, 2009. ECOREF #116910</t>
  </si>
  <si>
    <t>Lord,S.. The Interactions of Pesticides with Free-Living Protozoa. Ph.D. Thesis, University of Bath, United Kingdom:488 p., 1986. ECOREF #174258</t>
  </si>
  <si>
    <t>Luna-Acosta,A., T. Renault, H. Thomas-Guyon, N. Faury, D. Saulnier, H. Budzinski, K. Le Menach, P. Pardon, I. Fruitier-. Detection of Early Effects of a Single Herbicide (Diuron) and a Mix of Herbicides and Pharmaceuticals (Diuron, Isoproturon, Ibuprofen) on Immunological Parameters  of Pacific Oyster (Crassostrea gigas) Spat. Chemosphere87(11): 1335-1340, 2012. ECOREF #157639</t>
  </si>
  <si>
    <t>Lydy,M.J., and K.R. Austin. Toxicity Assessment of Pesticide Mixtures Typical of the Sacramento-San Joaquin Delta Using Chironomus tentans. Arch. Environ. Contam. Toxicol.48(1): 49-55, 2004. ECOREF #79402</t>
  </si>
  <si>
    <t>Ma,J.. Differential Sensitivity to 30 Herbicides Among Populations of Two Green Algae Scenedesmus obliquus and Chlorella pyrenoidosa. Bull. Environ. Contam. Toxicol.68(2): 275-281, 2002. ECOREF #65945</t>
  </si>
  <si>
    <t>Ma,J., F. Lin, S. Wang, and L. Xu. Toxicity of 21 Herbicides to the Green Alga Scenedesmus quadricauda. Bull. Environ. Contam. Toxicol.71(3): 594-601, 2003. ECOREF #71458</t>
  </si>
  <si>
    <t>Ma,J., L. Xu, S. Wang, R. Zheng, S. Jin, S. Huang, and Y. Huang. Toxicity of 40 Herbicides to the Green Alga Chlorella vulgaris. Ecotoxicol. Environ. Saf.51(2): 128-132, 2002. ECOREF #65938</t>
  </si>
  <si>
    <t>Ma,J., L. Xu, and S. Wang. A Quick, Simple, and Accurate Method of Screening Herbicide Activity Using Green Algae Cell Suspension Cultures. Weed Sci.50(5): 555-559, 2002. ECOREF #158793</t>
  </si>
  <si>
    <t>Ma,J., S. Wang, P. Wang, L. Ma, X. Chen, and R. Xu. Toxicity Assessment of 40 Herbicides to the Green Alga Raphidocelis subcapitata. Ecotoxicol. Environ. Saf.63(3): 456-462, 2006. ECOREF #83543</t>
  </si>
  <si>
    <t>Ma,J., W. Liang, L. Xu, S. Wang, Y. Wei, and J. Lu. Acute Toxicity of 33 Herbicides to the Green Alga Chlorella pyrenoidosa. Bull. Environ. Contam. Toxicol.66(4): 536-541, 2001. ECOREF #61983</t>
  </si>
  <si>
    <t>MacDonald,G.E., R. Querns, D.G. Shilling, S.K. McDonald, and T.A. Bewick. Activity of Endothall on Hydrilla. J. Aquat. Plant Manag.40:68-71, 2002. ECOREF #69621</t>
  </si>
  <si>
    <t>Macedo,R.S., A.T. Lombardi, C.Y. Omachi, and L.R. Rorig. Effects of the Herbicide Bentazon on Growth and Photosystem II Maximum Quantum Yield of the Marine Diatom Skeletonema costatum. Toxicol. In Vitro22(3): 716-722, 2008. ECOREF #101984</t>
  </si>
  <si>
    <t>Macek,K.J., C. Hutchinson, and O.B. Cope. The Effects of Temperature on the Susceptibility of Bluegills and Rainbow Trout to Selected Pesticides. Bull. Environ. Contam. Toxicol.4(3): 174-183, 1969. ECOREF #2085</t>
  </si>
  <si>
    <t>Macinnis-Ng,C.M.O., and P.J. Ralph. Short-Term Response and Recovery of Zostera capricorni Photosynthesis After Herbicide Exposure. Aquat. Bot.76(1): 1-15, 2003. ECOREF #72996</t>
  </si>
  <si>
    <t>Magnusson,M., K. Heimann, P. Quayle, and A.P. Negri. Additive Toxicity of Herbicide Mixtures and Comparative Sensitivity of Tropical Benthic Microalgae. Mar. Pollut. Bull.60(11): 1978-1987, 2010. ECOREF #153836</t>
  </si>
  <si>
    <t>Magnusson,M., K. Heimann, and A.P. Negri. Comparative Effects of Herbicides on Photosynthesis and Growth of Tropical Estuarine Microalgae. Mar. Pollut. Bull.56(9): 1545-1552, 2008. ECOREF #112735</t>
  </si>
  <si>
    <t>Malato,S., J. Caceres, A.R. Fernandez-Alba, L. Piedra, M.D. Hernando, A. Aguera, and J. Vial. Photocatalytic Treatment of Diuron by Solar Photocatalysis:  Evaluation of Main Intermediates and Toxicity. Environ. Sci. Technol.37(11): 2516-2524, 2003. ECOREF #102051</t>
  </si>
  <si>
    <t>Mallison III,S.M., and R.E. Cannon. Effects of Pesticides on Cyanobacterium Plectonema boryanum and Cyanophage LPP-1. Appl. Environ. Microbiol.47(5): 910-914, 1984. ECOREF #10887</t>
  </si>
  <si>
    <t>Manzo,S., S. Buono, and C. Cremisini. Toxic Effects of Irgarol and Diuron on Sea Urchin Paracentrotus lividus Early Development, Fertilization, and Offspring Quality. Arch. Environ. Contam. Toxicol.51(1): 61-68, 2006. ECOREF #95717</t>
  </si>
  <si>
    <t>Manzo,S., S. Buono, and C. Cremisini. Predictability of Copper, Irgarol, and Diuron Combined Effects on Sea Urchin Paracentrotus lividus. Arch. Environ. Contam. Toxicol.54(1): 57-68, 2008. ECOREF #102070</t>
  </si>
  <si>
    <t>Masojidek,J., P. Soucek, J. Machova, J. Frolik, K. Klem, and J. Maly. Detection of Photosynthetic Herbicides:  Algal Growth Inhibition Test vs.  Electrochemical Photosystem II Biosensor. Ecotoxicol. Environ. Saf.74(1): 117-122, 2011. ECOREF #153824</t>
  </si>
  <si>
    <t>Maule,A., and S.J.L. Wright. Herbicide Effects on the Population Growth of Some Green Algae and Cyanobacteria. J. Appl. Bacteriol.57(2): 369-379, 1984. ECOREF #12028</t>
  </si>
  <si>
    <t>Mayer,F.L.,Jr.. Pesticides as Pollutants. In: B.G.Liptak (Ed.), Environmental Engineer's Handbook, Chilton Book Co., Radnor, PA:405-418, 1974. ECOREF #70421</t>
  </si>
  <si>
    <t>USGS Acute Toxicity Database</t>
  </si>
  <si>
    <t>Mayer,F.L.,Jr., and M.R. Ellersieck. Manual of Acute Toxicity: Interpretation and Data Base for 410 Chemicals and 66 Species of Freshwater Animals. USDI Fish and Wildlife Service, Publication No.160, Washington, DC:505 p., 1986. ECOREF #6797</t>
  </si>
  <si>
    <t>McCorkle,F.M., J.E. Chambers, and J.D. Yarbrough. Acute Toxicities of Selected Herbicides to Fingerling Channel Catfish, Ictalurus punctatus. Bull. Environ. Contam. Toxicol.18(3): 267-270, 1977. ECOREF #858</t>
  </si>
  <si>
    <t>McFeters,G.A., P.J. Bond, S.B. Olson, and Y.T. Tchan. A Comparison of Microbial Bioassays for the Detection of Aquatic Toxicants. Water Res.17(12): 1757-1762, 1983. ECOREF #66270</t>
  </si>
  <si>
    <t>Mercurio,P., G. Eaglesham, S. Parks, M. Kenway, V. Beltran, F. Flores, J.F. Mueller, and A.P. Negri. Contribution of Transformation Products Towards the Total Herbicide Toxicity to Tropical Marine Organisms. Sci. Rep.8(4808): 20 p., 2018. ECOREF #178673</t>
  </si>
  <si>
    <t>Mezcua,M., M.D. Hernando, L. Piedra, A. Aguera, and A.R. Fernandez-Alba. Chromatography-Mass Spectrometry and Toxicity Evaluation of Selected Contaminants in Seawater. Chromatographia (Wiesb.)56(3/4): 199-206, 2002. ECOREF #80359</t>
  </si>
  <si>
    <t>Mhadhbi,L., T. Hela, B. Moncef, and A. Neji. Toxicity of Three Selected Pesticides (Alachlor, Atrazine and Diuron) to the Marine Fish (Turbot Psetta maxima). Afr. J. Biotechnol.11(51): 11321-11328, 2012. ECOREF #160499</t>
  </si>
  <si>
    <t>Molander,S., B. Dahl, H. Blanck, J. Jonsson, and M. Sjostrom. Combined Effects of Tri-n-butyl Tin (TBT) and Diuron on Marine Periphyton Communities Detected as Pollution-Induced Community Tolerance. Arch. Environ. Contam. Toxicol.22(4): 419-427, 1992. ECOREF #6117</t>
  </si>
  <si>
    <t>Molander,S., and H. Blanck. Detection of Pollution-Induced Community Tolerance (PICT) in Marine Periphyton Communities Established Under Diuron Exposure. Aquat. Toxicol.22(2): 129-144, 1992. ECOREF #6147</t>
  </si>
  <si>
    <t>Moro,L., G. Pezzotti, M. Turemis, J. Sanchis, M. Farre, R. Denaro, M.G. Giacobbe, F. Crisafi, and M.T. Giardi. Fast Pesticide Pre-Screening in Marine Environment Using a Green Microalgae-Based Optical Bioassay. Mar. Pollut. Bull.129:212-221, 2018. ECOREF #178632</t>
  </si>
  <si>
    <t>Muller,R., U. Schreiber, B.I. Escher, P. Quayle, S.M.B. Nash, and J.F. Mueller. Rapid Exposure Assessment of PSII Herbicides in Surface Water Using a Novel Chlorophyll a Fluorescence Imaging Assay. Sci. Total Environ.401(1-3): 51-59, 2008. ECOREF #103266</t>
  </si>
  <si>
    <t>Myers,J.H., L. Gunthorpe, G. Allinson, and S. Duda. Effects of Antifouling Biocides to the Germination and Growth of the Marine Macroalga, Hormosira banksii (Turner) Desicaine. Mar. Pollut. Bull.52(9): 1048-1055, 2006. ECOREF #98728</t>
  </si>
  <si>
    <t>Naessens,M., J.C. Leclerc, and C. Tran-Minh. Fiber Optic Biosensor Using Chlorella vulgaris for Determination of Toxic Compounds. Ecotoxicol. Environ. Saf.46(2): 181-185, 2000. ECOREF #52533</t>
  </si>
  <si>
    <t>Nebeker,A.V., and G.S. Schuytema. Chronic Effects of the Herbicide Diuron on Freshwater Cladocerans, Amphipods, Midges, Minnows, Worms, and Snails. Arch. Environ. Contam. Toxicol.35(3): 441-446, 1998. ECOREF #20182</t>
  </si>
  <si>
    <t>Negri,A., C. Vollhardt, C. Humphrey, A. Heyward, R. Jones, G. Eaglesham, and K. Fabricius. Effects of the Herbicide Diuron on the Early Life History Stages of Coral. Mar. Pollut. Bull.51(1-4): 370-383, 2005. ECOREF #85949</t>
  </si>
  <si>
    <t>Negri,A.P., F. Flores, T. Rothig, and S. Uthicke. Herbicides Increase the Vulnerability of Corals to Rising Sea Surface Temperature. Limnol. Oceanogr.56(2): 471-485, 2011. ECOREF #153835</t>
  </si>
  <si>
    <t>Nendza,M., and A. Wenzel. Discriminating Toxicant Classes by Mode of Action 1. (Eco)toxicity Profiles. Environ. Sci. Pollut. Res.13(3): 192-203, 2006. ECOREF #119380</t>
  </si>
  <si>
    <t>Nestler,H., K.J. Groh, R. Schonenberger, R. Behra, K. Schirmer, R.I.L. Eggen, and M.J.F. Suter. Multiple-Endpoint Assay Provides a Detailed Mechanistic View of Responses to Herbicide Exposure in Chlamydomonas reinhardtii. Aquat. Toxicol.110/111:214-224, 2012. ECOREF #160529</t>
  </si>
  <si>
    <t>Nestler,H., K.J. Groh, R. Schonenberger, R.I.L. Eggen, and M.J.F. Suter. Linking Proteome Responses with Physiological and Biochemical Effects in Herbicide-Exposed Chlamydomonas reinhardtii. J. Proteom.75(17): 5370-5385, 2012. ECOREF #171821</t>
  </si>
  <si>
    <t>Neumann,W., H. Laasch, and W. Urbach. Mechanisms of Herbicide Sorption in Microalgae and the Influence of Environmental Factors. Pestic. Biochem. Physiol.27(2): 189-200, 1987. ECOREF #3040</t>
  </si>
  <si>
    <t>Neury-Ormanni,J., C. Doose, N. Majdi, J. Vedrenne, S. Morin, S. Hoss, and W. Traunspurger. Tolerance of Free-Living Nematode Species to Imidacloprid and Diuron. Invertebr. Biol.138(4): 7 p., 2019. ECOREF #184005</t>
  </si>
  <si>
    <t>Neury-Ormanni,J., C. Doose, N. Majdi, J. Vedrenne, W. Traunspurger, and S. Morin. Selective Grazing Behaviour of Chironomids on Microalgae Under Pesticide Pressure. Sci. Total Environ.730:1-8, 2020. ECOREF #184006</t>
  </si>
  <si>
    <t>Neury-Ormanni,J., J. Vedrenne, and S. Morin. Benthic Diatom Growth Kinetics under Combined Pressures of Microalgal Competition, Predation and Chemical Stressors. Sci. Total Environ.734:1-9, 2020. ECOREF #184288</t>
  </si>
  <si>
    <t>Neuwoehner,J., and B.I. Escher. The pH-Dependent Toxicity of Basic Pharmaceuticals in the Green Algae Scenedesmus vacuolatus can be Explained with a Toxicokinetic Ion-Trapping Model. Aquat. Toxicol.101(1): 266-275, 2011. ECOREF #155441</t>
  </si>
  <si>
    <t>Newman,J.W., D.L. Denton, C. Morisseau, C.S. Koger, C.E. Wheelock, D.E. Hinton, and B.D. Hammock. Evaluation of Fish Models of Soluble Epoxide Hydrolase Inhibition. Environ. Health Perspect.109(1): 61-66, 2001. ECOREF #60040</t>
  </si>
  <si>
    <t>Nishiuchi,Y.. Control Effect of Pesticide to Duckweed. Bull. Agric. Chem. Insp. Stn. (Tokyo)14:69-72, 1974. ECOREF #15281</t>
  </si>
  <si>
    <t>Nishiuchi,Y., and K. Asano. Toxicity of Agricultural Chemicals to Some Freshwater Organisms - 59. Suisan Zoshoku27(1): 48-55, 1979. ECOREF #6954</t>
  </si>
  <si>
    <t>Nishiuchi,Y., and Y. Hashimoto. Toxicity of Pesticide Ingredients to Some Fresh Water Organisms. Sci. Pest Control (Botyu-Kagaku)32(1): 5-11, 1967. ECOREF #15192</t>
  </si>
  <si>
    <t>Noll,M., and U. Bauer. Phormidium autumnale as Indicator Organism for Algicidal Substances in Water. U.S.EPA-OPP Registration Standard:, 1974. ECOREF #13030</t>
  </si>
  <si>
    <t>Ogawa,M., and H. Kitamura. Biological Assay of Plant Growth-Regulating Compounds Using Lemnaceae Plants. Annu.Rep.Sankyo Res.Lab.(Sankyo Kenkyusho Nempo)40:91-99, 1988. ECOREF #3228</t>
  </si>
  <si>
    <t>Okamura,H., T. Watanabe, I. Aoyama, and M. Hasobe. Toxicity Evaluation of New Antifouling Compounds Using Suspension-Cultured Fish Cells. Chemosphere46(7): 945-951, 2002. ECOREF #65852</t>
  </si>
  <si>
    <t>Orton,F., I. Lutz, W. Kloas, and E.J. Routledge. Endocrine Disrupting Effects of Herbicides and Pentachlorophenol:  In Vitro and In Vivo Evidence. Environ. Sci. Technol.43(6): 2144-2150, 2009. ECOREF #117111</t>
  </si>
  <si>
    <t>Overnell,J.. The Effect of Some Heavy Metal Ions on Photosynthesis in a Freshwater Alga. Pestic. Biochem. Physiol.5(1): 19-26, 1975. ECOREF #15663</t>
  </si>
  <si>
    <t>Overnell,J.. Inhibition of Marine Algal Photosynthesis by Heavy Metals. Mar. Biol.38(4): 335-342, 1976. ECOREF #15868</t>
  </si>
  <si>
    <t>Owen,R., A. Knap, N. Ostrander, and K. Carbery. Comparative Acute Toxicity of Herbicides to Photosynthesis of Coral Zooxanthellae. Bull. Environ. Contam. Toxicol.70(3): 541-548, 2003. ECOREF #71903</t>
  </si>
  <si>
    <t>Padilla,S., D. Corum, B. Padnos, D.L. Hunter, A. Beam, K.A. Houck, N. Sipes, N. Kleinstreuer, T. Knudsen, D.J. Dix, and. Zebrafish Developmental Screening of the ToxCast Phase I Chemical Library. Reprod. Toxicol.33(2): 174-187, 2012. ECOREF #161191</t>
  </si>
  <si>
    <t>Pal,R., and P. Chatterjee. Algicidal Action of Diurone in the Control of Chara-A Rice Pest. Proc. Indian Acad. Sci. Plant Sci.97(4): 359-363, 1987. ECOREF #14181</t>
  </si>
  <si>
    <t>Pandey,A.K.. Evaluation of Pesticides for Possible Mutagenesis in the Cyanobacterium Nostoc calcicola. Indian J. Environ. Health41(1): 1-5, 1999. ECOREF #89877</t>
  </si>
  <si>
    <t>Park,J., M.T. Brown, S. Depuydt, J.K. Kim, D.S. Won, and T. Han. Comparing the Acute Sensitivity of Growth and Photosynthetic Endpoints in Three Lemna Species Exposed to Four Herbicides. Environ. Pollut.220:818-827, 2017. ECOREF #174511</t>
  </si>
  <si>
    <t>Pereira,T.S.B., C.N.P. Boscolo, A.A. Felicio, S.R. Batlouni, D. Schlenk, and E.A. De Almeida. Estrogenic Activities of Diuron Metabolites in Female Nile Tilapia (Oreochromis niloticus). Chemosphere146:497-502, 2016. ECOREF #176040</t>
  </si>
  <si>
    <t>Pereira,T.S.B., C.N.P. Boscolo, D.G.H. Da Silva, S.R. Batlouni, D. Schlenk, and E.A. De Almeida. Anti-Androgenic Activities of Diuron and Its Metabolites in Male Nile Tilapia (Oreochromis niloticus). Aquat. Toxicol.164:10-15, 2015. ECOREF #177268</t>
  </si>
  <si>
    <t>Perschbacher,P.W., and G.M. Ludwig. Effects of Diuron and Other Aerially Applied Cotton Herbicides and Defoliants on the Plankton Communities of Aquaculture Ponds. Aquaculture233(1-4): 197-203, 2004. ECOREF #102117</t>
  </si>
  <si>
    <t>Peterson,S.M., and J.L. Stauber. New Algal Enzyme Bioassay for the Rapid Assessment of Aquatic Toxicity. Bull. Environ. Contam. Toxicol.56(5): 750-757, 1996. ECOREF #19926</t>
  </si>
  <si>
    <t>Podola,B., and M. Melkonian. Selective Real-Time Herbicide Monitoring by an Array Chip Biosensor Employing Diverse Microalgae. J. Appl. Phycol.17(3): 261-271, 2005. ECOREF #83755</t>
  </si>
  <si>
    <t>Russian Dataset</t>
  </si>
  <si>
    <t>Popova,G.V.. Nature of the Action of Some Herbicides on Carp. Nauchn. Osn. Okhr. Prir.3:153-171, 1975. ECOREF #8175</t>
  </si>
  <si>
    <t>Popova,G.V.. Pathomorphological Changes in Erythrocytes in Fish During Chronic Diuron Poisoning. Vliyamie Pestits, Dikikh. Zhivotn.:12-18, 1972. ECOREF #9173</t>
  </si>
  <si>
    <t>Popova,G.V.. Hematological Indexes During an Evaluation of the Toxicity of Pesticides for Fish. Eksp. Vodn. Toksikol.:19-29, 1970. ECOREF #9670</t>
  </si>
  <si>
    <t>Prasad,P.V.D., and Y.B.K. Chowdary. Effects of Metabolic Inhibitors on the Calcification of a Freshwater Green Alga, Gloeotaenium ioitlesbergarianum Hansgirg.  1.  Effects of Some Photosynthetic and Respiratory Inhibitors. Ann. Bot.47(4): 451-459, 1981. ECOREF #15634</t>
  </si>
  <si>
    <t>Raberg,S., M. Nystrom, M. Eros, and P. Plantman. Impact of the Herbicides 2,4-D and Diuron on the Metabolism of the Coral Porites cylindrica. Mar. Environ. Res.56(4): 503-514, 2003. ECOREF #72766</t>
  </si>
  <si>
    <t>Ralph,P.J.. Herbicide Toxicity of Halophila ovalis Assessed by Chlorophyll a Fluorescence. Aquat. Bot.66(2): 141-152, 2000. ECOREF #61925</t>
  </si>
  <si>
    <t>Reddy,D.C., P. Vijayakumari, V. Kalarani, and R.W. Davies. Changes in Erythropoietic Activity of Sarotherodon mossambicus Exposed to Sublethal Concentrations of the Herbicide Diuron. Bull. Environ. Contam. Toxicol.49(5): 730-737, 1992. ECOREF #5786</t>
  </si>
  <si>
    <t>Rodea-Palomares,I., M. Makowski, G. Suarez, M. Gonzalez-Pleiter, F. Leganes, and F. Fernandez-Pinas. Effect of PFOA/PFOS Pre-Exposure on the Toxicity of the Herbicides 2,4-D, Atrazine, Diuron and Paraquat to a Model Aquatic Photosynthetic Microorganism. Chemosphere139:65-72, 2015. ECOREF #170799</t>
  </si>
  <si>
    <t>Rossi,S.C., M.D. Da Silva, L.D.S. Piancini, C.A.O. Ribeiro, M.M. Cestari, and H.C.S. De Assis. Sublethal Effects of Waterborne Herbicides in Tropical Freshwater Fish. Bull. Environ. Contam. Toxicol.87(6): 603-607, 2011. ECOREF #160633</t>
  </si>
  <si>
    <t>Roubeix,V., S. Pesce, N. Mazzella, M. Coste, and F. Delmas. Variations in Periphytic Diatom Tolerance to Agricultural Pesticides in a Contaminated River: An Analysis from Community to Population Level. In: Proceedings of the International Conference on Environmental Management, Engineering, Planning and Economics and SECOTOX Conference:343-347, 2011. ECOREF #170085</t>
  </si>
  <si>
    <t>Saglio,P., and S. Trijasse. Behavioral Responses to Atrazine and Diuron in Goldfish. Arch. Environ. Contam. Toxicol.35(3): 484-491, 1998. ECOREF #20177</t>
  </si>
  <si>
    <t>Samson,G., and R. Popovic. Use of Algal Fluorescence for Determination of Phytotoxicity of Heavy Metals and Pesticides as Environmental Pollutants. Ecotoxicol. Environ. Saf.16(3): 272-278, 1988. ECOREF #13246</t>
  </si>
  <si>
    <t>Sanchez-Perez,J.M., B. Montuelle, F. Mouchet, L. Gauthier, F. Julien, S. Sauvage, S. Teissier, K. Dedieu, D. Destrieux,. Role of the Hyporheic Heterotrophic Biofilm on Transformation and Toxicity of Pesticides. Ann. Limnol.49:87-95, 2013. ECOREF #167523</t>
  </si>
  <si>
    <t>Sanchis,J., M. Olmos, P. Vincent, M. Farre, and D. Barcelo. New Insights on the Influence of Organic Co-Contaminants on the Aquatic Toxicology of Carbon Nanomaterials. Environ. Sci. Technol.50(2): 961-969, 2016. ECOREF #179060</t>
  </si>
  <si>
    <t>Sanders,H.O.. Toxicity of Pesticides to the Crustacean Gammarus lacustris. Tech.Pap.No.25, U.S.D.I., Bur.Sports Fish.Wildl., Fish Wildl.Serv., Washington, DC:18 p., 1969. ECOREF #885</t>
  </si>
  <si>
    <t>Sanders,H.O.. Toxicities of Some Herbicides to Six Species of Freshwater Crustaceans. J. Water Pollut. Control Fed.24(8): 1544-1550, 1970. ECOREF #886</t>
  </si>
  <si>
    <t>Sanders,H.O., and O.B. Cope. The Relative Toxicities of Several Pesticides to Naiads of Three Species of Stoneflies. Limnol. Oceanogr.13(1): 112-117, 1968. ECOREF #889</t>
  </si>
  <si>
    <t>Schafer,H., H. Hettler, U. Fritsche, G. Pitzen, G. Roderer, and A. Wenzel. Biotests Using Unicellular Algae and Ciliates for Predicting Long-Term Effects of Toxicants. Ecotoxicol. Environ. Saf.27(1): 64-81, 1994. ECOREF #4008</t>
  </si>
  <si>
    <t>Schlenk,D., R. Lavado, J.E. Loyo-Rosales, W. Jones, L. Maryoung, N. Riar, I. Werner, and D. Sedlak. Reconstitution Studies of Pesticides and Surfactants Exploring the Cause of Estrogenic Activity Observed in Surface Waters of the San Francisco Bay Delta. Environ. Sci. Technol.46(16): 9106-9111, 2012. ECOREF #163900</t>
  </si>
  <si>
    <t>Schrader,K.K., M.Q. De Regt, C.S. Tucker, and S.O. Duke. A Rapid Bioassay for Selective Algicides. Weed Technol.11(4): 767-774, 1997. ECOREF #69995</t>
  </si>
  <si>
    <t>Schrader,K.K., M.Q. De Regt, P.D. Tidwell, C.S. Tucker, and S.O. Duke. Compounds with Selective Toxicity Towards the Off-Flavor Metabolite-Producing Cyanobacterium Oscillatoria cf. chalybea. Aquaculture163(1-2): 85-99, 1998. ECOREF #69879</t>
  </si>
  <si>
    <t>Schulz,D.. Proliferative Endocarditis in the Heart of Carps After Exposure to the Herbicide Karmex. Zentbl. Vetmed. Reihe A19(5): 390-406, 1972. ECOREF #9185</t>
  </si>
  <si>
    <t>Schuytema,G.S., and A.V. Nebeker. Comparative Toxicity of Diuron on Survival and Growth of Pacific Treefrog, Bullfrog, Red-Legged Frog, and African Clawed Frog Embryos and Tadpoles. Arch. Environ. Contam. Toxicol.34(4): 370-376, 1998. ECOREF #18988</t>
  </si>
  <si>
    <t>Seery,C.R., L. Gunthorpe, and P.J. Ralph. Herbicide Impact on Hormosira banksii Gametes Measured by Fluorescence and Germination Bioassays. Environ. Pollut.140(1): 43-51, 2006. ECOREF #90414</t>
  </si>
  <si>
    <t>Selim,S.E.D.A.A.. Bioresidual Activity of Photosynthesis - Inhibiting Herbicides in Water and Soil. Ph.D.Thesis, Purdue University, West Lafayette, IN:157 p., 1987. ECOREF #178696</t>
  </si>
  <si>
    <t>Serra,H., M. Scholze, R. Altenburger, W. Busch, H. Budzinski, F. Brion, and S. Ait-Aissa. Combined Effects of Environmental Xeno-Estrogens Within Multi-Component Mixtures: Comparison of In Vitro Human- and Zebrafish-Based Estrogenicity Bioassays. Chemosphere227:334-344, 2019. ECOREF #180409</t>
  </si>
  <si>
    <t>Shcherban,E.P.. Effect of Diuron on Individual Bioparameters and Potential Productivity of Scapholeberis mucronata. Exp. Water Toxicol. (Eksp. Vodn. Toksikol. )3:71-79, 1972. ECOREF #9192</t>
  </si>
  <si>
    <t>Shcherban,E.P.. Effect of Low Concentrations of Atrazine and Diuron on the Productivity of Cladocera. Hydrobiol. J.8(2): 54-58, 1972. ECOREF #9193</t>
  </si>
  <si>
    <t>Shcherban,E.P.. The Effect of Low Concentrations of Pesticides on the Development of Some Cladocera and the Abundance of Their Progeny. Hydrobiol. J.6(6): 85-89, 1972. ECOREF #9260</t>
  </si>
  <si>
    <t>Sherban,E.P.. Effect of Several Pesticides on the Quality of Crustacea Progeny. Samoochischenic Bioprodukrivnost Okhrana Vodemovi, Vodotokov Ukrainy Materialy Respublikansko Konferentoi:109-111, 1975. ECOREF #47</t>
  </si>
  <si>
    <t>Shi,Y., M. Burns, R.J. Ritchie, A. Crossan, and I.R. Kennedy. Probabilistic Risk Assessment of Diuron and Prometryn in the Gwydir River Catchment, Australia, with the Input of a Novel Bioassay Based on Algal Growth. Ecotoxicol. Environ. Saf.106:213-219, 2014. ECOREF #174031</t>
  </si>
  <si>
    <t>Shimasaki,Y., M. Tsuyama, R. Tasmin, X.C. Qiu, M. Shimizu, Y. Sato, Y. Yamasaki, Y. Kato-Unoki, A. Nukata, T. Nakashima. Thiobencarb Herbicide Reduces Growth, Photosynthetic Activity, and Amount of Rieske Iron-Sulfur Protein in the Diatom Thalassiosira pseudonana. J. Biochem. Mol. Toxicol.27:437-444, 2013. ECOREF #173019</t>
  </si>
  <si>
    <t>Shitanda,I., K. Takada, Y. Sakai, and T. Tatsuma. Compact Amperometric Algal Biosensors for the Evaluation of Water Toxicity. Anal. Chim. Acta530(2): 191-197, 2005. ECOREF #81284</t>
  </si>
  <si>
    <t>Shrivastava,R., R. Sarkar, and U.K. Chauhan. Effect of Herbicides on Biochemical and Physiological Properties of Oscillatoria laete-virens. Asian J. Microbiol. Biotechnol. Environ. Sci.10(3): 563-567, 2008. ECOREF #115620</t>
  </si>
  <si>
    <t>Singh,D.P., and K. Kshatriya. Characterization of Salinity-Tolerant Mutant of Anabaena doliolum Exhibiting Multiple Stress Tolerance. Curr. Microbiol.45(3): 165-170, 2002. ECOREF #102029</t>
  </si>
  <si>
    <t>Singh,S., P. Datta, and A. Tirkey. Response of Multiple Herbicide Resistant Strain of Diazotrophic Cyanobacterium, Anabaena variabilis, Exposed to Atrazine and DCMU. Indian J. Exp. Biol.49(4): 298-303, 2011. ECOREF #153873</t>
  </si>
  <si>
    <t>Singh,S.P., and N.K. Yadav. Toxicity of Some Herbicides to Major Carp Fingerlings. Indian J. Ecol.5(2): 141-147, 1978. ECOREF #5636</t>
  </si>
  <si>
    <t>Sjollema,S.B., G. MartinezGarcia, H.G. Van der Geest, M.H.S. Kraak, P. Booij, A.D. Vethaak, and W. Admiraal. Hazard and Risk of Herbicides for Marine Microalgae. Environ. Pollut.187:106-111, 2014. ECOREF #165280</t>
  </si>
  <si>
    <t>Stadnyk,L., R.S. Campbell, and B.T. Johnson. Pesticide Effect on Growth and 14C Assimilation in a Freshwater Alga. Bull. Environ. Contam. Toxicol.6(1): 1-8, 1971. ECOREF #2251</t>
  </si>
  <si>
    <t>Stauber,J.L., M.T. Binet, V.W.W. Bao, J. Boge, A.Q. Zhang, K.M.Y. Leung, and M.S. Adams. Comparison of the QwikLite Algal Bioluminescence Test with Marine Algal Growth Rate Inhibition Bioassays. Environ. Toxicol.23(5): 617-625, 2008. ECOREF #110086</t>
  </si>
  <si>
    <t>Stratton,G.W., A.L. Huber, and C.T. Corke. The Effect of Pesticides and Their Metabolites, Alone and in Combination, on Algal Processes. Can. Tech. Rep. Fish. Aquat. Sci.975:131-139, 1980. ECOREF #4684</t>
  </si>
  <si>
    <t>Strom,D., P.J. Ralph, and J.L. Stauber. Development of a Toxicity Identification Evaluation Protocol Using Chlorophyll-a Fluorescence in a Marine Microalga. Arch. Environ. Contam. Toxicol.56(1): 30-38, 2009. ECOREF #112607</t>
  </si>
  <si>
    <t>Sumida,S., and M. Ueda. Studies of Pesticide Effects on Chlorella Metabolism.  I.  Effect of Herbicides on Complex Lipid Biosynthesis. Plant Cell Physiol.14(4): 781-785, 1973. ECOREF #70737</t>
  </si>
  <si>
    <t>Swain,N., B. Rath, and S.P. Adhikary. Growth Response of the Cyanobacterium Microcystis aeruginosa to Herbicides and Pesticides. J. Basic Microbiol.34(3): 197-204, 1994. ECOREF #16557</t>
  </si>
  <si>
    <t>Targett,N.M., and W.R. Stochaj. Natural Antifoulants and Their Analogs:  Applying Nature's Defense Strategies to Problems of Biofouling Control. In: M.F.Thompson, R.Nagabhushanam, R.Sarojini, and M.Fingerman (Eds.), Recent Developments in Biofouling Control, Oxford &amp; IBH Publ.Co., New Delhi, India:221-228, 1994. ECOREF #16469</t>
  </si>
  <si>
    <t>Teisseire,H., M. Couderchet, and G. Vernet. Phytotoxicity of Diuron Alone and in Combination with Copper or Folpet on Duckweed (Lemna minor). Environ. Pollut.106(1): 39-45, 1999. ECOREF #20352</t>
  </si>
  <si>
    <t>Teisseire,H., and G. Vernet. Ascorbate and Glutathione Contents in Duckweed, Lemna minor, as Biomarkers of the Stress Generated by Copper, Folpet and Diuron. Biomarkers (Lond.)5(4): 263-273, 2000. ECOREF #64164</t>
  </si>
  <si>
    <t>Teisseire,H., and G. Vernet. Is the "Diuron Effect" due to a Herbicide Strengthening of Antioxidative Defenses of Lemna minor?. Pestic. Biochem. Physiol.66(3): 153-160, 2000. ECOREF #72770</t>
  </si>
  <si>
    <t>Thuillier-Bruston,F., R. Calvayrac, and E. Duval. Partial Molecular Analysis of the psbA Gene in Euglena gracilis Mutants Exhibiting Resistance to DCMU and Atrazine. Z. Naturforsch. Sect. C J. Biosci.51(9/10): 711-720, 1996. ECOREF #102056</t>
  </si>
  <si>
    <t>Tlili,A., A. Berard, J.L. Roulier, B. Volat, and B. Montuelle. PO43- Dependence of the Tolerance of Autotrophic and Heterotrophic Biofilm Communities to Copper and Diuron. Aquat. Toxicol.98(2): 165-177, 2010. ECOREF #158996</t>
  </si>
  <si>
    <t>Tooby,T.E., J. Lucey, and B. Stott. The Tolerance of Grass Carp, Ctenopharyngodon idella Val., to Aquatic Herbicides. J. Fish Biol.16(5): 591-597, 1980. ECOREF #575</t>
  </si>
  <si>
    <t>Tooby,T.E., P.A. Hursey, and J.S. Alabaster. The Acute Toxicity of 102 Pesticides and Miscellaneous Substances to Fish. Chem. Ind. (Lond.)21:523-526, 1975. ECOREF #848</t>
  </si>
  <si>
    <t>Tsunemasa,N., and H. Okamura. Effects of Organotin Alternative Antifoulants on Oyster Embryo. Arch. Environ. Contam. Toxicol.61(1): 128-134, 2011. ECOREF #157883</t>
  </si>
  <si>
    <t>EPA Office of Pesticides Program Database</t>
  </si>
  <si>
    <t>U.S. Environmental Protection Agency. Pesticide Ecotoxicity Database (Formerly: Environmental Effects Database (EEDB)). Environmental Fate and Effects Division, U.S.EPA, Washington, D.C.:, 1992. ECOREF #344</t>
  </si>
  <si>
    <t>Ukeles,R.. Growth of Pure Cultures of Marine Phytoplankton in the Presence of Toxicants. Appl. Microbiol.10:532-537, 1962. ECOREF #8039</t>
  </si>
  <si>
    <t>Vedrine,C., J.C. Leclerc, C. Durrieu, and C. Tran-Minh. Optical Whole-Cell Biosensor Using Chlorella vulgaris Designed for Monitoring Herbicides. Biosens. Bioelectron.18(4): 457-463, 2003. ECOREF #70033</t>
  </si>
  <si>
    <t>Venkataraman,G.S., and B. Rajyalakshmi. Relative Tolerance of Nitrogen-Fixing Blue-Green Algae to Pesticides. Indian J. Agric. Sci.42(2): 119-121, 1972. ECOREF #9206</t>
  </si>
  <si>
    <t>Venkataraman,G.S., and B. Rajyalakshmi. Tolerance of Blue-Green Algae to Pesticides. Curr. Sci. (Bangalore)40(6): 143-144, 1971. ECOREF #9444</t>
  </si>
  <si>
    <t>Virmani,M., J.O. Evans, and R.I. Lynn. Preliminary Studies of the Effects of S-Triazine, Carbamate, Urea, and Karbutilate Herbicides on Growth of Fresh Water Algae. Chemosphere4(2): 65-71, 1975. ECOREF #8134</t>
  </si>
  <si>
    <t>Wahedally,S.F., F.A. Mamboya, T.J. Lyimo, M. Bhikajee, and M. Bjork. Short-Term Effects of Three Herbicides on the Maximum Quantum Yield and Electron Transport Rate of Tropical Seagrass Thalassodendron ciliatum. Tanzania J. Nat. Appl. Sci.3(1): 458-466, 2012. ECOREF #187697</t>
  </si>
  <si>
    <t>Walsh,G.E.. Effects of Herbicides on Photosynthesis and Growth of Marine Unicellular Algae. Hyacinth Control J.10:45-48, 1972. ECOREF #9211</t>
  </si>
  <si>
    <t>Walsh,G.E., and T.E. Grow. Depression of Carbohydrate in Marine Algae by Urea Herbicides. Weed Sci.19(5): 568-570, 1971. ECOREF #9446</t>
  </si>
  <si>
    <t>Wang,P., Z. Wang, P. Xia, and X. Zhang. Concentration-Dependent Transcriptome of Zebrafish Embryo for Environmental Chemical Assessment. Chemosphere245:10 p., 2020. ECOREF #182389</t>
  </si>
  <si>
    <t>Watanabe,T., I. Yuyama, and S. Yasumura. Toxicological Effects of Biocides on Symbiotic and Aposymbiotic Juveniles of the Hermatypic Coral Acropora tenuis. J. Exp. Mar. Biol. Ecol.339(2): 177-188, 2006. ECOREF #102066</t>
  </si>
  <si>
    <t>Watanabe,T., Y. Utsunomiya, and I. Yuyama. Long-Term Laboratory Culture of Symbiotic Coral Juveniles and Their Use in Eco-toxicological Study. J. Exp. Mar. Biol. Ecol.352(1): 177-186, 2007. ECOREF #102078</t>
  </si>
  <si>
    <t>Wellborn,T.L.Jr.. The Toxicity of Nine Therapeutic and Herbicidal Compounds to Striped Bass. Prog. Fish-Cult.31(1): 27-32, 1969. ECOREF #909</t>
  </si>
  <si>
    <t>Wilkinson,A.D., C.J. Collier, F. Flores, and A.P. Negri. Acute and Additive Toxicity of Ten Photosystem-II Herbicides to Seagrass. Sci. Rep.5:11 p., 2015. ECOREF #173418</t>
  </si>
  <si>
    <t>Wood,R.J., S.M. Mitrovic, R.P. Lim, and B.J. Kefford. How Benthic Diatoms Within Natural Communities Respond to Eight Common Herbicides with Different Modes of Action. Sci. Total Environ.557-558:636-643, 2016. ECOREF #174505</t>
  </si>
  <si>
    <t>Yasser,E.N., E.N. Shawkat, and A. Samir. Impact of Organic Contamination on Some Aquatic Organisms. Toxicol. Int.22(1): 45-53, 2015. ECOREF #183330</t>
  </si>
  <si>
    <t>Yoshida,T., T. Maruyama, H.I. Kojima, I. Allahpichay, and S. Mori. Evaluation of the Effect of Chemicals on Aquatic Ecosystem by Observing the Photosynthetic Activity of a Macrophyte, Porphyra yezoensis. Aquat. Toxicol.9(4/5): 207-214, 1986. ECOREF #12512</t>
  </si>
  <si>
    <t>Yount,J.D., and L.J. Shannon. State Changes In Laboratory Microecosystems in Response to Chemicals From Three Structural Groups. ASTM Spec. Tech. Publ.:86-96, 1988. ECOREF #12804</t>
  </si>
  <si>
    <t>Zananski,T.J., M.R. Twiss, and T.B. Mihuc. Use of Fluorimetry to Evaluate Atrazine Toxicity to Phytoplankton Communities. Aquat. Ecosyst. Health Manag.13(1): 56-65, 2010. ECOREF #152296</t>
  </si>
  <si>
    <t>Zhang,L.J., G.G. Ying, F. Chen, J.L. Zhao, L. Wang, and Y.X. Fang. Development and Application of Whole-Sediment Toxicity Test Using Immobilized Freshwater Microalgae Pseudokirchneriella subcapitata. Environ. Toxicol. Chem.31(2): 377-386, 2012. ECOREF #159207</t>
  </si>
  <si>
    <t>Zhou,S., Y. Shao, N. Gao, Y. Deng, J. Qiao, H. Ou, and J. Deng. Effects of Different Algaecides on the Photosynthetic Capacity, Cell Integrity and Microsystin-LR Release of Microcystis aeruginosa. Sci. Total Environ.463/464:111-119, 2013. ECOREF #165988</t>
  </si>
  <si>
    <t>Category</t>
  </si>
  <si>
    <t>Parameter Group</t>
  </si>
  <si>
    <t>Name</t>
  </si>
  <si>
    <t>Value</t>
  </si>
  <si>
    <t>Additional Info</t>
  </si>
  <si>
    <t>Search run-time</t>
  </si>
  <si>
    <t>Habitat</t>
  </si>
  <si>
    <t>Aquatic</t>
  </si>
  <si>
    <t>Chemicals</t>
  </si>
  <si>
    <t>Name(s) / Number(s)</t>
  </si>
  <si>
    <t>330-54-1</t>
  </si>
  <si>
    <t>Effect Measurements</t>
  </si>
  <si>
    <t>Endpoints</t>
  </si>
  <si>
    <t>Species</t>
  </si>
  <si>
    <t>Test Conditions</t>
  </si>
  <si>
    <t>Publication Options</t>
  </si>
  <si>
    <t>Priemer EC50</t>
  </si>
  <si>
    <t>Priemer IC50</t>
  </si>
  <si>
    <t>mg/l</t>
  </si>
  <si>
    <t>riasy</t>
  </si>
  <si>
    <t>daphnia magna</t>
  </si>
  <si>
    <t>danio rerio</t>
  </si>
  <si>
    <t>daphnia</t>
  </si>
  <si>
    <t>ECOSAR</t>
  </si>
  <si>
    <t xml:space="preserve">Pre riasy sú hodnoty IC50 a EC50 dosť podobné, avšak hodnotu LD50 mi ekotox databáza nenašla.  </t>
  </si>
  <si>
    <t xml:space="preserve">Pre danio rerio mi ekotox databáza našla iba hodnotu IC20, pričom je asi 6x vyššia ako hodnota EC50. LD50 je veľmi podobné ako IC20. </t>
  </si>
  <si>
    <t>Pre daphniu mi ekotox databáza nenašla hodnoty IC50, avšak hodnoty EC50 A LC 50 sú celkokm podobné, líška sa rádovo o 0,4mg/l.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</si>
</sst>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hh:mm:ss"/>
  </numFmts>
  <fonts count="280" x14ac:knownFonts="1">
    <font>
      <sz val="11"/>
      <color indexed="8"/>
      <name val="Calibri"/>
      <family val="2"/>
      <scheme val="minor"/>
    </font>
    <font>
      <u/>
      <sz val="11"/>
      <color rgb="FF0000FF"/>
      <name val="Calibri"/>
      <family val="2"/>
      <charset val="238"/>
    </font>
    <font>
      <u/>
      <sz val="11"/>
      <color rgb="FF0000FF"/>
      <name val="Calibri"/>
      <family val="2"/>
      <charset val="238"/>
    </font>
    <font>
      <u/>
      <sz val="11"/>
      <color rgb="FF0000FF"/>
      <name val="Calibri"/>
      <family val="2"/>
      <charset val="238"/>
    </font>
    <font>
      <u/>
      <sz val="11"/>
      <color rgb="FF0000FF"/>
      <name val="Calibri"/>
      <family val="2"/>
      <charset val="238"/>
    </font>
    <font>
      <u/>
      <sz val="11"/>
      <color rgb="FF0000FF"/>
      <name val="Calibri"/>
      <family val="2"/>
      <charset val="238"/>
    </font>
    <font>
      <u/>
      <sz val="11"/>
      <color rgb="FF0000FF"/>
      <name val="Calibri"/>
      <family val="2"/>
      <charset val="238"/>
    </font>
    <font>
      <u/>
      <sz val="11"/>
      <color rgb="FF0000FF"/>
      <name val="Calibri"/>
      <family val="2"/>
      <charset val="238"/>
    </font>
    <font>
      <u/>
      <sz val="11"/>
      <color rgb="FF0000FF"/>
      <name val="Calibri"/>
      <family val="2"/>
      <charset val="238"/>
    </font>
    <font>
      <u/>
      <sz val="11"/>
      <color rgb="FF0000FF"/>
      <name val="Calibri"/>
      <family val="2"/>
      <charset val="238"/>
    </font>
    <font>
      <u/>
      <sz val="11"/>
      <color rgb="FF0000FF"/>
      <name val="Calibri"/>
      <family val="2"/>
      <charset val="238"/>
    </font>
    <font>
      <u/>
      <sz val="11"/>
      <color rgb="FF0000FF"/>
      <name val="Calibri"/>
      <family val="2"/>
      <charset val="238"/>
    </font>
    <font>
      <u/>
      <sz val="11"/>
      <color rgb="FF0000FF"/>
      <name val="Calibri"/>
      <family val="2"/>
      <charset val="238"/>
    </font>
    <font>
      <u/>
      <sz val="11"/>
      <color rgb="FF0000FF"/>
      <name val="Calibri"/>
      <family val="2"/>
      <charset val="238"/>
    </font>
    <font>
      <u/>
      <sz val="11"/>
      <color rgb="FF0000FF"/>
      <name val="Calibri"/>
      <family val="2"/>
      <charset val="238"/>
    </font>
    <font>
      <u/>
      <sz val="11"/>
      <color rgb="FF0000FF"/>
      <name val="Calibri"/>
      <family val="2"/>
      <charset val="238"/>
    </font>
    <font>
      <u/>
      <sz val="11"/>
      <color rgb="FF0000FF"/>
      <name val="Calibri"/>
      <family val="2"/>
      <charset val="238"/>
    </font>
    <font>
      <u/>
      <sz val="11"/>
      <color rgb="FF0000FF"/>
      <name val="Calibri"/>
      <family val="2"/>
      <charset val="238"/>
    </font>
    <font>
      <u/>
      <sz val="11"/>
      <color rgb="FF0000FF"/>
      <name val="Calibri"/>
      <family val="2"/>
      <charset val="238"/>
    </font>
    <font>
      <u/>
      <sz val="11"/>
      <color rgb="FF0000FF"/>
      <name val="Calibri"/>
      <family val="2"/>
      <charset val="238"/>
    </font>
    <font>
      <u/>
      <sz val="11"/>
      <color rgb="FF0000FF"/>
      <name val="Calibri"/>
      <family val="2"/>
      <charset val="238"/>
    </font>
    <font>
      <u/>
      <sz val="11"/>
      <color rgb="FF0000FF"/>
      <name val="Calibri"/>
      <family val="2"/>
      <charset val="238"/>
    </font>
    <font>
      <u/>
      <sz val="11"/>
      <color rgb="FF0000FF"/>
      <name val="Calibri"/>
      <family val="2"/>
      <charset val="238"/>
    </font>
    <font>
      <u/>
      <sz val="11"/>
      <color rgb="FF0000FF"/>
      <name val="Calibri"/>
      <family val="2"/>
      <charset val="238"/>
    </font>
    <font>
      <u/>
      <sz val="11"/>
      <color rgb="FF0000FF"/>
      <name val="Calibri"/>
      <family val="2"/>
      <charset val="238"/>
    </font>
    <font>
      <u/>
      <sz val="11"/>
      <color rgb="FF0000FF"/>
      <name val="Calibri"/>
      <family val="2"/>
      <charset val="238"/>
    </font>
    <font>
      <u/>
      <sz val="11"/>
      <color rgb="FF0000FF"/>
      <name val="Calibri"/>
      <family val="2"/>
      <charset val="238"/>
    </font>
    <font>
      <u/>
      <sz val="11"/>
      <color rgb="FF0000FF"/>
      <name val="Calibri"/>
      <family val="2"/>
      <charset val="238"/>
    </font>
    <font>
      <u/>
      <sz val="11"/>
      <color rgb="FF0000FF"/>
      <name val="Calibri"/>
      <family val="2"/>
      <charset val="238"/>
    </font>
    <font>
      <u/>
      <sz val="11"/>
      <color rgb="FF0000FF"/>
      <name val="Calibri"/>
      <family val="2"/>
      <charset val="238"/>
    </font>
    <font>
      <u/>
      <sz val="11"/>
      <color rgb="FF0000FF"/>
      <name val="Calibri"/>
      <family val="2"/>
      <charset val="238"/>
    </font>
    <font>
      <u/>
      <sz val="11"/>
      <color rgb="FF0000FF"/>
      <name val="Calibri"/>
      <family val="2"/>
      <charset val="238"/>
    </font>
    <font>
      <u/>
      <sz val="11"/>
      <color rgb="FF0000FF"/>
      <name val="Calibri"/>
      <family val="2"/>
      <charset val="238"/>
    </font>
    <font>
      <u/>
      <sz val="11"/>
      <color rgb="FF0000FF"/>
      <name val="Calibri"/>
      <family val="2"/>
      <charset val="238"/>
    </font>
    <font>
      <u/>
      <sz val="11"/>
      <color rgb="FF0000FF"/>
      <name val="Calibri"/>
      <family val="2"/>
      <charset val="238"/>
    </font>
    <font>
      <u/>
      <sz val="11"/>
      <color rgb="FF0000FF"/>
      <name val="Calibri"/>
      <family val="2"/>
      <charset val="238"/>
    </font>
    <font>
      <u/>
      <sz val="11"/>
      <color rgb="FF0000FF"/>
      <name val="Calibri"/>
      <family val="2"/>
      <charset val="238"/>
    </font>
    <font>
      <u/>
      <sz val="11"/>
      <color rgb="FF0000FF"/>
      <name val="Calibri"/>
      <family val="2"/>
      <charset val="238"/>
    </font>
    <font>
      <u/>
      <sz val="11"/>
      <color rgb="FF0000FF"/>
      <name val="Calibri"/>
      <family val="2"/>
      <charset val="238"/>
    </font>
    <font>
      <u/>
      <sz val="11"/>
      <color rgb="FF0000FF"/>
      <name val="Calibri"/>
      <family val="2"/>
      <charset val="238"/>
    </font>
    <font>
      <u/>
      <sz val="11"/>
      <color rgb="FF0000FF"/>
      <name val="Calibri"/>
      <family val="2"/>
      <charset val="238"/>
    </font>
    <font>
      <u/>
      <sz val="11"/>
      <color rgb="FF0000FF"/>
      <name val="Calibri"/>
      <family val="2"/>
      <charset val="238"/>
    </font>
    <font>
      <u/>
      <sz val="11"/>
      <color rgb="FF0000FF"/>
      <name val="Calibri"/>
      <family val="2"/>
      <charset val="238"/>
    </font>
    <font>
      <u/>
      <sz val="11"/>
      <color rgb="FF0000FF"/>
      <name val="Calibri"/>
      <family val="2"/>
      <charset val="238"/>
    </font>
    <font>
      <u/>
      <sz val="11"/>
      <color rgb="FF0000FF"/>
      <name val="Calibri"/>
      <family val="2"/>
      <charset val="238"/>
    </font>
    <font>
      <u/>
      <sz val="11"/>
      <color rgb="FF0000FF"/>
      <name val="Calibri"/>
      <family val="2"/>
      <charset val="238"/>
    </font>
    <font>
      <u/>
      <sz val="11"/>
      <color rgb="FF0000FF"/>
      <name val="Calibri"/>
      <family val="2"/>
      <charset val="238"/>
    </font>
    <font>
      <u/>
      <sz val="11"/>
      <color rgb="FF0000FF"/>
      <name val="Calibri"/>
      <family val="2"/>
      <charset val="238"/>
    </font>
    <font>
      <u/>
      <sz val="11"/>
      <color rgb="FF0000FF"/>
      <name val="Calibri"/>
      <family val="2"/>
      <charset val="238"/>
    </font>
    <font>
      <u/>
      <sz val="11"/>
      <color rgb="FF0000FF"/>
      <name val="Calibri"/>
      <family val="2"/>
      <charset val="238"/>
    </font>
    <font>
      <u/>
      <sz val="11"/>
      <color rgb="FF0000FF"/>
      <name val="Calibri"/>
      <family val="2"/>
      <charset val="238"/>
    </font>
    <font>
      <u/>
      <sz val="11"/>
      <color rgb="FF0000FF"/>
      <name val="Calibri"/>
      <family val="2"/>
      <charset val="238"/>
    </font>
    <font>
      <u/>
      <sz val="11"/>
      <color rgb="FF0000FF"/>
      <name val="Calibri"/>
      <family val="2"/>
      <charset val="238"/>
    </font>
    <font>
      <u/>
      <sz val="11"/>
      <color rgb="FF0000FF"/>
      <name val="Calibri"/>
      <family val="2"/>
      <charset val="238"/>
    </font>
    <font>
      <u/>
      <sz val="11"/>
      <color rgb="FF0000FF"/>
      <name val="Calibri"/>
      <family val="2"/>
      <charset val="238"/>
    </font>
    <font>
      <u/>
      <sz val="11"/>
      <color rgb="FF0000FF"/>
      <name val="Calibri"/>
      <family val="2"/>
      <charset val="238"/>
    </font>
    <font>
      <u/>
      <sz val="11"/>
      <color rgb="FF0000FF"/>
      <name val="Calibri"/>
      <family val="2"/>
      <charset val="238"/>
    </font>
    <font>
      <u/>
      <sz val="11"/>
      <color rgb="FF0000FF"/>
      <name val="Calibri"/>
      <family val="2"/>
      <charset val="238"/>
    </font>
    <font>
      <u/>
      <sz val="11"/>
      <color rgb="FF0000FF"/>
      <name val="Calibri"/>
      <family val="2"/>
      <charset val="238"/>
    </font>
    <font>
      <u/>
      <sz val="11"/>
      <color rgb="FF0000FF"/>
      <name val="Calibri"/>
      <family val="2"/>
      <charset val="238"/>
    </font>
    <font>
      <u/>
      <sz val="11"/>
      <color rgb="FF0000FF"/>
      <name val="Calibri"/>
      <family val="2"/>
      <charset val="238"/>
    </font>
    <font>
      <u/>
      <sz val="11"/>
      <color rgb="FF0000FF"/>
      <name val="Calibri"/>
      <family val="2"/>
      <charset val="238"/>
    </font>
    <font>
      <u/>
      <sz val="11"/>
      <color rgb="FF0000FF"/>
      <name val="Calibri"/>
      <family val="2"/>
      <charset val="238"/>
    </font>
    <font>
      <u/>
      <sz val="11"/>
      <color rgb="FF0000FF"/>
      <name val="Calibri"/>
      <family val="2"/>
      <charset val="238"/>
    </font>
    <font>
      <u/>
      <sz val="11"/>
      <color rgb="FF0000FF"/>
      <name val="Calibri"/>
      <family val="2"/>
      <charset val="238"/>
    </font>
    <font>
      <u/>
      <sz val="11"/>
      <color rgb="FF0000FF"/>
      <name val="Calibri"/>
      <family val="2"/>
      <charset val="238"/>
    </font>
    <font>
      <u/>
      <sz val="11"/>
      <color rgb="FF0000FF"/>
      <name val="Calibri"/>
      <family val="2"/>
      <charset val="238"/>
    </font>
    <font>
      <u/>
      <sz val="11"/>
      <color rgb="FF0000FF"/>
      <name val="Calibri"/>
      <family val="2"/>
      <charset val="238"/>
    </font>
    <font>
      <u/>
      <sz val="11"/>
      <color rgb="FF0000FF"/>
      <name val="Calibri"/>
      <family val="2"/>
      <charset val="238"/>
    </font>
    <font>
      <u/>
      <sz val="11"/>
      <color rgb="FF0000FF"/>
      <name val="Calibri"/>
      <family val="2"/>
      <charset val="238"/>
    </font>
    <font>
      <u/>
      <sz val="11"/>
      <color rgb="FF0000FF"/>
      <name val="Calibri"/>
      <family val="2"/>
      <charset val="238"/>
    </font>
    <font>
      <u/>
      <sz val="11"/>
      <color rgb="FF0000FF"/>
      <name val="Calibri"/>
      <family val="2"/>
      <charset val="238"/>
    </font>
    <font>
      <u/>
      <sz val="11"/>
      <color rgb="FF0000FF"/>
      <name val="Calibri"/>
      <family val="2"/>
      <charset val="238"/>
    </font>
    <font>
      <u/>
      <sz val="11"/>
      <color rgb="FF0000FF"/>
      <name val="Calibri"/>
      <family val="2"/>
      <charset val="238"/>
    </font>
    <font>
      <u/>
      <sz val="11"/>
      <color rgb="FF0000FF"/>
      <name val="Calibri"/>
      <family val="2"/>
      <charset val="238"/>
    </font>
    <font>
      <u/>
      <sz val="11"/>
      <color rgb="FF0000FF"/>
      <name val="Calibri"/>
      <family val="2"/>
      <charset val="238"/>
    </font>
    <font>
      <u/>
      <sz val="11"/>
      <color rgb="FF0000FF"/>
      <name val="Calibri"/>
      <family val="2"/>
      <charset val="238"/>
    </font>
    <font>
      <u/>
      <sz val="11"/>
      <color rgb="FF0000FF"/>
      <name val="Calibri"/>
      <family val="2"/>
      <charset val="238"/>
    </font>
    <font>
      <u/>
      <sz val="11"/>
      <color rgb="FF0000FF"/>
      <name val="Calibri"/>
      <family val="2"/>
      <charset val="238"/>
    </font>
    <font>
      <u/>
      <sz val="11"/>
      <color rgb="FF0000FF"/>
      <name val="Calibri"/>
      <family val="2"/>
      <charset val="238"/>
    </font>
    <font>
      <u/>
      <sz val="11"/>
      <color rgb="FF0000FF"/>
      <name val="Calibri"/>
      <family val="2"/>
      <charset val="238"/>
    </font>
    <font>
      <u/>
      <sz val="11"/>
      <color rgb="FF0000FF"/>
      <name val="Calibri"/>
      <family val="2"/>
      <charset val="238"/>
    </font>
    <font>
      <u/>
      <sz val="11"/>
      <color rgb="FF0000FF"/>
      <name val="Calibri"/>
      <family val="2"/>
      <charset val="238"/>
    </font>
    <font>
      <u/>
      <sz val="11"/>
      <color rgb="FF0000FF"/>
      <name val="Calibri"/>
      <family val="2"/>
      <charset val="238"/>
    </font>
    <font>
      <u/>
      <sz val="11"/>
      <color rgb="FF0000FF"/>
      <name val="Calibri"/>
      <family val="2"/>
      <charset val="238"/>
    </font>
    <font>
      <u/>
      <sz val="11"/>
      <color rgb="FF0000FF"/>
      <name val="Calibri"/>
      <family val="2"/>
      <charset val="238"/>
    </font>
    <font>
      <u/>
      <sz val="11"/>
      <color rgb="FF0000FF"/>
      <name val="Calibri"/>
      <family val="2"/>
      <charset val="238"/>
    </font>
    <font>
      <u/>
      <sz val="11"/>
      <color rgb="FF0000FF"/>
      <name val="Calibri"/>
      <family val="2"/>
      <charset val="238"/>
    </font>
    <font>
      <u/>
      <sz val="11"/>
      <color rgb="FF0000FF"/>
      <name val="Calibri"/>
      <family val="2"/>
      <charset val="238"/>
    </font>
    <font>
      <u/>
      <sz val="11"/>
      <color rgb="FF0000FF"/>
      <name val="Calibri"/>
      <family val="2"/>
      <charset val="238"/>
    </font>
    <font>
      <u/>
      <sz val="11"/>
      <color rgb="FF0000FF"/>
      <name val="Calibri"/>
      <family val="2"/>
      <charset val="238"/>
    </font>
    <font>
      <u/>
      <sz val="11"/>
      <color rgb="FF0000FF"/>
      <name val="Calibri"/>
      <family val="2"/>
      <charset val="238"/>
    </font>
    <font>
      <u/>
      <sz val="11"/>
      <color rgb="FF0000FF"/>
      <name val="Calibri"/>
      <family val="2"/>
      <charset val="238"/>
    </font>
    <font>
      <u/>
      <sz val="11"/>
      <color rgb="FF0000FF"/>
      <name val="Calibri"/>
      <family val="2"/>
      <charset val="238"/>
    </font>
    <font>
      <u/>
      <sz val="11"/>
      <color rgb="FF0000FF"/>
      <name val="Calibri"/>
      <family val="2"/>
      <charset val="238"/>
    </font>
    <font>
      <u/>
      <sz val="11"/>
      <color rgb="FF0000FF"/>
      <name val="Calibri"/>
      <family val="2"/>
      <charset val="238"/>
    </font>
    <font>
      <u/>
      <sz val="11"/>
      <color rgb="FF0000FF"/>
      <name val="Calibri"/>
      <family val="2"/>
      <charset val="238"/>
    </font>
    <font>
      <u/>
      <sz val="11"/>
      <color rgb="FF0000FF"/>
      <name val="Calibri"/>
      <family val="2"/>
      <charset val="238"/>
    </font>
    <font>
      <u/>
      <sz val="11"/>
      <color rgb="FF0000FF"/>
      <name val="Calibri"/>
      <family val="2"/>
      <charset val="238"/>
    </font>
    <font>
      <u/>
      <sz val="11"/>
      <color rgb="FF0000FF"/>
      <name val="Calibri"/>
      <family val="2"/>
      <charset val="238"/>
    </font>
    <font>
      <u/>
      <sz val="11"/>
      <color rgb="FF0000FF"/>
      <name val="Calibri"/>
      <family val="2"/>
      <charset val="238"/>
    </font>
    <font>
      <u/>
      <sz val="11"/>
      <color rgb="FF0000FF"/>
      <name val="Calibri"/>
      <family val="2"/>
      <charset val="238"/>
    </font>
    <font>
      <u/>
      <sz val="11"/>
      <color rgb="FF0000FF"/>
      <name val="Calibri"/>
      <family val="2"/>
      <charset val="238"/>
    </font>
    <font>
      <u/>
      <sz val="11"/>
      <color rgb="FF0000FF"/>
      <name val="Calibri"/>
      <family val="2"/>
      <charset val="238"/>
    </font>
    <font>
      <u/>
      <sz val="11"/>
      <color rgb="FF0000FF"/>
      <name val="Calibri"/>
      <family val="2"/>
      <charset val="238"/>
    </font>
    <font>
      <u/>
      <sz val="11"/>
      <color rgb="FF0000FF"/>
      <name val="Calibri"/>
      <family val="2"/>
      <charset val="238"/>
    </font>
    <font>
      <u/>
      <sz val="11"/>
      <color rgb="FF0000FF"/>
      <name val="Calibri"/>
      <family val="2"/>
      <charset val="238"/>
    </font>
    <font>
      <u/>
      <sz val="11"/>
      <color rgb="FF0000FF"/>
      <name val="Calibri"/>
      <family val="2"/>
      <charset val="238"/>
    </font>
    <font>
      <u/>
      <sz val="11"/>
      <color rgb="FF0000FF"/>
      <name val="Calibri"/>
      <family val="2"/>
      <charset val="238"/>
    </font>
    <font>
      <u/>
      <sz val="11"/>
      <color rgb="FF0000FF"/>
      <name val="Calibri"/>
      <family val="2"/>
      <charset val="238"/>
    </font>
    <font>
      <u/>
      <sz val="11"/>
      <color rgb="FF0000FF"/>
      <name val="Calibri"/>
      <family val="2"/>
      <charset val="238"/>
    </font>
    <font>
      <u/>
      <sz val="11"/>
      <color rgb="FF0000FF"/>
      <name val="Calibri"/>
      <family val="2"/>
      <charset val="238"/>
    </font>
    <font>
      <u/>
      <sz val="11"/>
      <color rgb="FF0000FF"/>
      <name val="Calibri"/>
      <family val="2"/>
      <charset val="238"/>
    </font>
    <font>
      <u/>
      <sz val="11"/>
      <color rgb="FF0000FF"/>
      <name val="Calibri"/>
      <family val="2"/>
      <charset val="238"/>
    </font>
    <font>
      <u/>
      <sz val="11"/>
      <color rgb="FF0000FF"/>
      <name val="Calibri"/>
      <family val="2"/>
      <charset val="238"/>
    </font>
    <font>
      <u/>
      <sz val="11"/>
      <color rgb="FF0000FF"/>
      <name val="Calibri"/>
      <family val="2"/>
      <charset val="238"/>
    </font>
    <font>
      <u/>
      <sz val="11"/>
      <color rgb="FF0000FF"/>
      <name val="Calibri"/>
      <family val="2"/>
      <charset val="238"/>
    </font>
    <font>
      <u/>
      <sz val="11"/>
      <color rgb="FF0000FF"/>
      <name val="Calibri"/>
      <family val="2"/>
      <charset val="238"/>
    </font>
    <font>
      <u/>
      <sz val="11"/>
      <color rgb="FF0000FF"/>
      <name val="Calibri"/>
      <family val="2"/>
      <charset val="238"/>
    </font>
    <font>
      <u/>
      <sz val="11"/>
      <color rgb="FF0000FF"/>
      <name val="Calibri"/>
      <family val="2"/>
      <charset val="238"/>
    </font>
    <font>
      <u/>
      <sz val="11"/>
      <color rgb="FF0000FF"/>
      <name val="Calibri"/>
      <family val="2"/>
      <charset val="238"/>
    </font>
    <font>
      <u/>
      <sz val="11"/>
      <color rgb="FF0000FF"/>
      <name val="Calibri"/>
      <family val="2"/>
      <charset val="238"/>
    </font>
    <font>
      <u/>
      <sz val="11"/>
      <color rgb="FF0000FF"/>
      <name val="Calibri"/>
      <family val="2"/>
      <charset val="238"/>
    </font>
    <font>
      <u/>
      <sz val="11"/>
      <color rgb="FF0000FF"/>
      <name val="Calibri"/>
      <family val="2"/>
      <charset val="238"/>
    </font>
    <font>
      <u/>
      <sz val="11"/>
      <color rgb="FF0000FF"/>
      <name val="Calibri"/>
      <family val="2"/>
      <charset val="238"/>
    </font>
    <font>
      <u/>
      <sz val="11"/>
      <color rgb="FF0000FF"/>
      <name val="Calibri"/>
      <family val="2"/>
      <charset val="238"/>
    </font>
    <font>
      <u/>
      <sz val="11"/>
      <color rgb="FF0000FF"/>
      <name val="Calibri"/>
      <family val="2"/>
      <charset val="238"/>
    </font>
    <font>
      <u/>
      <sz val="11"/>
      <color rgb="FF0000FF"/>
      <name val="Calibri"/>
      <family val="2"/>
      <charset val="238"/>
    </font>
    <font>
      <u/>
      <sz val="11"/>
      <color rgb="FF0000FF"/>
      <name val="Calibri"/>
      <family val="2"/>
      <charset val="238"/>
    </font>
    <font>
      <u/>
      <sz val="11"/>
      <color rgb="FF0000FF"/>
      <name val="Calibri"/>
      <family val="2"/>
      <charset val="238"/>
    </font>
    <font>
      <u/>
      <sz val="11"/>
      <color rgb="FF0000FF"/>
      <name val="Calibri"/>
      <family val="2"/>
      <charset val="238"/>
    </font>
    <font>
      <u/>
      <sz val="11"/>
      <color rgb="FF0000FF"/>
      <name val="Calibri"/>
      <family val="2"/>
      <charset val="238"/>
    </font>
    <font>
      <u/>
      <sz val="11"/>
      <color rgb="FF0000FF"/>
      <name val="Calibri"/>
      <family val="2"/>
      <charset val="238"/>
    </font>
    <font>
      <u/>
      <sz val="11"/>
      <color rgb="FF0000FF"/>
      <name val="Calibri"/>
      <family val="2"/>
      <charset val="238"/>
    </font>
    <font>
      <u/>
      <sz val="11"/>
      <color rgb="FF0000FF"/>
      <name val="Calibri"/>
      <family val="2"/>
      <charset val="238"/>
    </font>
    <font>
      <u/>
      <sz val="11"/>
      <color rgb="FF0000FF"/>
      <name val="Calibri"/>
      <family val="2"/>
      <charset val="238"/>
    </font>
    <font>
      <u/>
      <sz val="11"/>
      <color rgb="FF0000FF"/>
      <name val="Calibri"/>
      <family val="2"/>
      <charset val="238"/>
    </font>
    <font>
      <u/>
      <sz val="11"/>
      <color rgb="FF0000FF"/>
      <name val="Calibri"/>
      <family val="2"/>
      <charset val="238"/>
    </font>
    <font>
      <u/>
      <sz val="11"/>
      <color rgb="FF0000FF"/>
      <name val="Calibri"/>
      <family val="2"/>
      <charset val="238"/>
    </font>
    <font>
      <u/>
      <sz val="11"/>
      <color rgb="FF0000FF"/>
      <name val="Calibri"/>
      <family val="2"/>
      <charset val="238"/>
    </font>
    <font>
      <u/>
      <sz val="11"/>
      <color rgb="FF0000FF"/>
      <name val="Calibri"/>
      <family val="2"/>
      <charset val="238"/>
    </font>
    <font>
      <u/>
      <sz val="11"/>
      <color rgb="FF0000FF"/>
      <name val="Calibri"/>
      <family val="2"/>
      <charset val="238"/>
    </font>
    <font>
      <u/>
      <sz val="11"/>
      <color rgb="FF0000FF"/>
      <name val="Calibri"/>
      <family val="2"/>
      <charset val="238"/>
    </font>
    <font>
      <u/>
      <sz val="11"/>
      <color rgb="FF0000FF"/>
      <name val="Calibri"/>
      <family val="2"/>
      <charset val="238"/>
    </font>
    <font>
      <u/>
      <sz val="11"/>
      <color rgb="FF0000FF"/>
      <name val="Calibri"/>
      <family val="2"/>
      <charset val="238"/>
    </font>
    <font>
      <u/>
      <sz val="11"/>
      <color rgb="FF0000FF"/>
      <name val="Calibri"/>
      <family val="2"/>
      <charset val="238"/>
    </font>
    <font>
      <u/>
      <sz val="11"/>
      <color rgb="FF0000FF"/>
      <name val="Calibri"/>
      <family val="2"/>
      <charset val="238"/>
    </font>
    <font>
      <u/>
      <sz val="11"/>
      <color rgb="FF0000FF"/>
      <name val="Calibri"/>
      <family val="2"/>
      <charset val="238"/>
    </font>
    <font>
      <u/>
      <sz val="11"/>
      <color rgb="FF0000FF"/>
      <name val="Calibri"/>
      <family val="2"/>
      <charset val="238"/>
    </font>
    <font>
      <u/>
      <sz val="11"/>
      <color rgb="FF0000FF"/>
      <name val="Calibri"/>
      <family val="2"/>
      <charset val="238"/>
    </font>
    <font>
      <u/>
      <sz val="11"/>
      <color rgb="FF0000FF"/>
      <name val="Calibri"/>
      <family val="2"/>
      <charset val="238"/>
    </font>
    <font>
      <u/>
      <sz val="11"/>
      <color rgb="FF0000FF"/>
      <name val="Calibri"/>
      <family val="2"/>
      <charset val="238"/>
    </font>
    <font>
      <u/>
      <sz val="11"/>
      <color rgb="FF0000FF"/>
      <name val="Calibri"/>
      <family val="2"/>
      <charset val="238"/>
    </font>
    <font>
      <u/>
      <sz val="11"/>
      <color rgb="FF0000FF"/>
      <name val="Calibri"/>
      <family val="2"/>
      <charset val="238"/>
    </font>
    <font>
      <u/>
      <sz val="11"/>
      <color rgb="FF0000FF"/>
      <name val="Calibri"/>
      <family val="2"/>
      <charset val="238"/>
    </font>
    <font>
      <u/>
      <sz val="11"/>
      <color rgb="FF0000FF"/>
      <name val="Calibri"/>
      <family val="2"/>
      <charset val="238"/>
    </font>
    <font>
      <u/>
      <sz val="11"/>
      <color rgb="FF0000FF"/>
      <name val="Calibri"/>
      <family val="2"/>
      <charset val="238"/>
    </font>
    <font>
      <u/>
      <sz val="11"/>
      <color rgb="FF0000FF"/>
      <name val="Calibri"/>
      <family val="2"/>
      <charset val="238"/>
    </font>
    <font>
      <u/>
      <sz val="11"/>
      <color rgb="FF0000FF"/>
      <name val="Calibri"/>
      <family val="2"/>
      <charset val="238"/>
    </font>
    <font>
      <u/>
      <sz val="11"/>
      <color rgb="FF0000FF"/>
      <name val="Calibri"/>
      <family val="2"/>
      <charset val="238"/>
    </font>
    <font>
      <u/>
      <sz val="11"/>
      <color rgb="FF0000FF"/>
      <name val="Calibri"/>
      <family val="2"/>
      <charset val="238"/>
    </font>
    <font>
      <u/>
      <sz val="11"/>
      <color rgb="FF0000FF"/>
      <name val="Calibri"/>
      <family val="2"/>
      <charset val="238"/>
    </font>
    <font>
      <u/>
      <sz val="11"/>
      <color rgb="FF0000FF"/>
      <name val="Calibri"/>
      <family val="2"/>
      <charset val="238"/>
    </font>
    <font>
      <u/>
      <sz val="11"/>
      <color rgb="FF0000FF"/>
      <name val="Calibri"/>
      <family val="2"/>
      <charset val="238"/>
    </font>
    <font>
      <u/>
      <sz val="11"/>
      <color rgb="FF0000FF"/>
      <name val="Calibri"/>
      <family val="2"/>
      <charset val="238"/>
    </font>
    <font>
      <u/>
      <sz val="11"/>
      <color rgb="FF0000FF"/>
      <name val="Calibri"/>
      <family val="2"/>
      <charset val="238"/>
    </font>
    <font>
      <u/>
      <sz val="11"/>
      <color rgb="FF0000FF"/>
      <name val="Calibri"/>
      <family val="2"/>
      <charset val="238"/>
    </font>
    <font>
      <u/>
      <sz val="11"/>
      <color rgb="FF0000FF"/>
      <name val="Calibri"/>
      <family val="2"/>
      <charset val="238"/>
    </font>
    <font>
      <u/>
      <sz val="11"/>
      <color rgb="FF0000FF"/>
      <name val="Calibri"/>
      <family val="2"/>
      <charset val="238"/>
    </font>
    <font>
      <u/>
      <sz val="11"/>
      <color rgb="FF0000FF"/>
      <name val="Calibri"/>
      <family val="2"/>
      <charset val="238"/>
    </font>
    <font>
      <u/>
      <sz val="11"/>
      <color rgb="FF0000FF"/>
      <name val="Calibri"/>
      <family val="2"/>
      <charset val="238"/>
    </font>
    <font>
      <u/>
      <sz val="11"/>
      <color rgb="FF0000FF"/>
      <name val="Calibri"/>
      <family val="2"/>
      <charset val="238"/>
    </font>
    <font>
      <u/>
      <sz val="11"/>
      <color rgb="FF0000FF"/>
      <name val="Calibri"/>
      <family val="2"/>
      <charset val="238"/>
    </font>
    <font>
      <u/>
      <sz val="11"/>
      <color rgb="FF0000FF"/>
      <name val="Calibri"/>
      <family val="2"/>
      <charset val="238"/>
    </font>
    <font>
      <u/>
      <sz val="11"/>
      <color rgb="FF0000FF"/>
      <name val="Calibri"/>
      <family val="2"/>
      <charset val="238"/>
    </font>
    <font>
      <u/>
      <sz val="11"/>
      <color rgb="FF0000FF"/>
      <name val="Calibri"/>
      <family val="2"/>
      <charset val="238"/>
    </font>
    <font>
      <u/>
      <sz val="11"/>
      <color rgb="FF0000FF"/>
      <name val="Calibri"/>
      <family val="2"/>
      <charset val="238"/>
    </font>
    <font>
      <u/>
      <sz val="11"/>
      <color rgb="FF0000FF"/>
      <name val="Calibri"/>
      <family val="2"/>
      <charset val="238"/>
    </font>
    <font>
      <u/>
      <sz val="11"/>
      <color rgb="FF0000FF"/>
      <name val="Calibri"/>
      <family val="2"/>
      <charset val="238"/>
    </font>
    <font>
      <u/>
      <sz val="11"/>
      <color rgb="FF0000FF"/>
      <name val="Calibri"/>
      <family val="2"/>
      <charset val="238"/>
    </font>
    <font>
      <u/>
      <sz val="11"/>
      <color rgb="FF0000FF"/>
      <name val="Calibri"/>
      <family val="2"/>
      <charset val="238"/>
    </font>
    <font>
      <u/>
      <sz val="11"/>
      <color rgb="FF0000FF"/>
      <name val="Calibri"/>
      <family val="2"/>
      <charset val="238"/>
    </font>
    <font>
      <u/>
      <sz val="11"/>
      <color rgb="FF0000FF"/>
      <name val="Calibri"/>
      <family val="2"/>
      <charset val="238"/>
    </font>
    <font>
      <u/>
      <sz val="11"/>
      <color rgb="FF0000FF"/>
      <name val="Calibri"/>
      <family val="2"/>
      <charset val="238"/>
    </font>
    <font>
      <u/>
      <sz val="11"/>
      <color rgb="FF0000FF"/>
      <name val="Calibri"/>
      <family val="2"/>
      <charset val="238"/>
    </font>
    <font>
      <u/>
      <sz val="11"/>
      <color rgb="FF0000FF"/>
      <name val="Calibri"/>
      <family val="2"/>
      <charset val="238"/>
    </font>
    <font>
      <u/>
      <sz val="11"/>
      <color rgb="FF0000FF"/>
      <name val="Calibri"/>
      <family val="2"/>
      <charset val="238"/>
    </font>
    <font>
      <u/>
      <sz val="11"/>
      <color rgb="FF0000FF"/>
      <name val="Calibri"/>
      <family val="2"/>
      <charset val="238"/>
    </font>
    <font>
      <u/>
      <sz val="11"/>
      <color rgb="FF0000FF"/>
      <name val="Calibri"/>
      <family val="2"/>
      <charset val="238"/>
    </font>
    <font>
      <u/>
      <sz val="11"/>
      <color rgb="FF0000FF"/>
      <name val="Calibri"/>
      <family val="2"/>
      <charset val="238"/>
    </font>
    <font>
      <u/>
      <sz val="11"/>
      <color rgb="FF0000FF"/>
      <name val="Calibri"/>
      <family val="2"/>
      <charset val="238"/>
    </font>
    <font>
      <u/>
      <sz val="11"/>
      <color rgb="FF0000FF"/>
      <name val="Calibri"/>
      <family val="2"/>
      <charset val="238"/>
    </font>
    <font>
      <u/>
      <sz val="11"/>
      <color rgb="FF0000FF"/>
      <name val="Calibri"/>
      <family val="2"/>
      <charset val="238"/>
    </font>
    <font>
      <u/>
      <sz val="11"/>
      <color rgb="FF0000FF"/>
      <name val="Calibri"/>
      <family val="2"/>
      <charset val="238"/>
    </font>
    <font>
      <u/>
      <sz val="11"/>
      <color rgb="FF0000FF"/>
      <name val="Calibri"/>
      <family val="2"/>
      <charset val="238"/>
    </font>
    <font>
      <u/>
      <sz val="11"/>
      <color rgb="FF0000FF"/>
      <name val="Calibri"/>
      <family val="2"/>
      <charset val="238"/>
    </font>
    <font>
      <u/>
      <sz val="11"/>
      <color rgb="FF0000FF"/>
      <name val="Calibri"/>
      <family val="2"/>
      <charset val="238"/>
    </font>
    <font>
      <u/>
      <sz val="11"/>
      <color rgb="FF0000FF"/>
      <name val="Calibri"/>
      <family val="2"/>
      <charset val="238"/>
    </font>
    <font>
      <u/>
      <sz val="11"/>
      <color rgb="FF0000FF"/>
      <name val="Calibri"/>
      <family val="2"/>
      <charset val="238"/>
    </font>
    <font>
      <u/>
      <sz val="11"/>
      <color rgb="FF0000FF"/>
      <name val="Calibri"/>
      <family val="2"/>
      <charset val="238"/>
    </font>
    <font>
      <u/>
      <sz val="11"/>
      <color rgb="FF0000FF"/>
      <name val="Calibri"/>
      <family val="2"/>
      <charset val="238"/>
    </font>
    <font>
      <u/>
      <sz val="11"/>
      <color rgb="FF0000FF"/>
      <name val="Calibri"/>
      <family val="2"/>
      <charset val="238"/>
    </font>
    <font>
      <u/>
      <sz val="11"/>
      <color rgb="FF0000FF"/>
      <name val="Calibri"/>
      <family val="2"/>
      <charset val="238"/>
    </font>
    <font>
      <u/>
      <sz val="11"/>
      <color rgb="FF0000FF"/>
      <name val="Calibri"/>
      <family val="2"/>
      <charset val="238"/>
    </font>
    <font>
      <u/>
      <sz val="11"/>
      <color rgb="FF0000FF"/>
      <name val="Calibri"/>
      <family val="2"/>
      <charset val="238"/>
    </font>
    <font>
      <u/>
      <sz val="11"/>
      <color rgb="FF0000FF"/>
      <name val="Calibri"/>
      <family val="2"/>
      <charset val="238"/>
    </font>
    <font>
      <u/>
      <sz val="11"/>
      <color rgb="FF0000FF"/>
      <name val="Calibri"/>
      <family val="2"/>
      <charset val="238"/>
    </font>
    <font>
      <u/>
      <sz val="11"/>
      <color rgb="FF0000FF"/>
      <name val="Calibri"/>
      <family val="2"/>
      <charset val="238"/>
    </font>
    <font>
      <u/>
      <sz val="11"/>
      <color rgb="FF0000FF"/>
      <name val="Calibri"/>
      <family val="2"/>
      <charset val="238"/>
    </font>
    <font>
      <u/>
      <sz val="11"/>
      <color rgb="FF0000FF"/>
      <name val="Calibri"/>
      <family val="2"/>
      <charset val="238"/>
    </font>
    <font>
      <u/>
      <sz val="11"/>
      <color rgb="FF0000FF"/>
      <name val="Calibri"/>
      <family val="2"/>
      <charset val="238"/>
    </font>
    <font>
      <u/>
      <sz val="11"/>
      <color rgb="FF0000FF"/>
      <name val="Calibri"/>
      <family val="2"/>
      <charset val="238"/>
    </font>
    <font>
      <u/>
      <sz val="11"/>
      <color rgb="FF0000FF"/>
      <name val="Calibri"/>
      <family val="2"/>
      <charset val="238"/>
    </font>
    <font>
      <u/>
      <sz val="11"/>
      <color rgb="FF0000FF"/>
      <name val="Calibri"/>
      <family val="2"/>
      <charset val="238"/>
    </font>
    <font>
      <u/>
      <sz val="11"/>
      <color rgb="FF0000FF"/>
      <name val="Calibri"/>
      <family val="2"/>
      <charset val="238"/>
    </font>
    <font>
      <u/>
      <sz val="11"/>
      <color rgb="FF0000FF"/>
      <name val="Calibri"/>
      <family val="2"/>
      <charset val="238"/>
    </font>
    <font>
      <u/>
      <sz val="11"/>
      <color rgb="FF0000FF"/>
      <name val="Calibri"/>
      <family val="2"/>
      <charset val="238"/>
    </font>
    <font>
      <u/>
      <sz val="11"/>
      <color rgb="FF0000FF"/>
      <name val="Calibri"/>
      <family val="2"/>
      <charset val="238"/>
    </font>
    <font>
      <u/>
      <sz val="11"/>
      <color rgb="FF0000FF"/>
      <name val="Calibri"/>
      <family val="2"/>
      <charset val="238"/>
    </font>
    <font>
      <u/>
      <sz val="11"/>
      <color rgb="FF0000FF"/>
      <name val="Calibri"/>
      <family val="2"/>
      <charset val="238"/>
    </font>
    <font>
      <u/>
      <sz val="11"/>
      <color rgb="FF0000FF"/>
      <name val="Calibri"/>
      <family val="2"/>
      <charset val="238"/>
    </font>
    <font>
      <u/>
      <sz val="11"/>
      <color rgb="FF0000FF"/>
      <name val="Calibri"/>
      <family val="2"/>
      <charset val="238"/>
    </font>
    <font>
      <u/>
      <sz val="11"/>
      <color rgb="FF0000FF"/>
      <name val="Calibri"/>
      <family val="2"/>
      <charset val="238"/>
    </font>
    <font>
      <u/>
      <sz val="11"/>
      <color rgb="FF0000FF"/>
      <name val="Calibri"/>
      <family val="2"/>
      <charset val="238"/>
    </font>
    <font>
      <u/>
      <sz val="11"/>
      <color rgb="FF0000FF"/>
      <name val="Calibri"/>
      <family val="2"/>
      <charset val="238"/>
    </font>
    <font>
      <u/>
      <sz val="11"/>
      <color rgb="FF0000FF"/>
      <name val="Calibri"/>
      <family val="2"/>
      <charset val="238"/>
    </font>
    <font>
      <u/>
      <sz val="11"/>
      <color rgb="FF0000FF"/>
      <name val="Calibri"/>
      <family val="2"/>
      <charset val="238"/>
    </font>
    <font>
      <u/>
      <sz val="11"/>
      <color rgb="FF0000FF"/>
      <name val="Calibri"/>
      <family val="2"/>
      <charset val="238"/>
    </font>
    <font>
      <u/>
      <sz val="11"/>
      <color rgb="FF0000FF"/>
      <name val="Calibri"/>
      <family val="2"/>
      <charset val="238"/>
    </font>
    <font>
      <u/>
      <sz val="11"/>
      <color rgb="FF0000FF"/>
      <name val="Calibri"/>
      <family val="2"/>
      <charset val="238"/>
    </font>
    <font>
      <u/>
      <sz val="11"/>
      <color rgb="FF0000FF"/>
      <name val="Calibri"/>
      <family val="2"/>
      <charset val="238"/>
    </font>
    <font>
      <u/>
      <sz val="11"/>
      <color rgb="FF0000FF"/>
      <name val="Calibri"/>
      <family val="2"/>
      <charset val="238"/>
    </font>
    <font>
      <u/>
      <sz val="11"/>
      <color rgb="FF0000FF"/>
      <name val="Calibri"/>
      <family val="2"/>
      <charset val="238"/>
    </font>
    <font>
      <u/>
      <sz val="11"/>
      <color rgb="FF0000FF"/>
      <name val="Calibri"/>
      <family val="2"/>
      <charset val="238"/>
    </font>
    <font>
      <u/>
      <sz val="11"/>
      <color rgb="FF0000FF"/>
      <name val="Calibri"/>
      <family val="2"/>
      <charset val="238"/>
    </font>
    <font>
      <u/>
      <sz val="11"/>
      <color rgb="FF0000FF"/>
      <name val="Calibri"/>
      <family val="2"/>
      <charset val="238"/>
    </font>
    <font>
      <u/>
      <sz val="11"/>
      <color rgb="FF0000FF"/>
      <name val="Calibri"/>
      <family val="2"/>
      <charset val="238"/>
    </font>
    <font>
      <u/>
      <sz val="11"/>
      <color rgb="FF0000FF"/>
      <name val="Calibri"/>
      <family val="2"/>
      <charset val="238"/>
    </font>
    <font>
      <u/>
      <sz val="11"/>
      <color rgb="FF0000FF"/>
      <name val="Calibri"/>
      <family val="2"/>
      <charset val="238"/>
    </font>
    <font>
      <u/>
      <sz val="11"/>
      <color rgb="FF0000FF"/>
      <name val="Calibri"/>
      <family val="2"/>
      <charset val="238"/>
    </font>
    <font>
      <u/>
      <sz val="11"/>
      <color rgb="FF0000FF"/>
      <name val="Calibri"/>
      <family val="2"/>
      <charset val="238"/>
    </font>
    <font>
      <u/>
      <sz val="11"/>
      <color rgb="FF0000FF"/>
      <name val="Calibri"/>
      <family val="2"/>
      <charset val="238"/>
    </font>
    <font>
      <u/>
      <sz val="11"/>
      <color rgb="FF0000FF"/>
      <name val="Calibri"/>
      <family val="2"/>
      <charset val="238"/>
    </font>
    <font>
      <u/>
      <sz val="11"/>
      <color rgb="FF0000FF"/>
      <name val="Calibri"/>
      <family val="2"/>
      <charset val="238"/>
    </font>
    <font>
      <u/>
      <sz val="11"/>
      <color rgb="FF0000FF"/>
      <name val="Calibri"/>
      <family val="2"/>
      <charset val="238"/>
    </font>
    <font>
      <u/>
      <sz val="11"/>
      <color rgb="FF0000FF"/>
      <name val="Calibri"/>
      <family val="2"/>
      <charset val="238"/>
    </font>
    <font>
      <u/>
      <sz val="11"/>
      <color rgb="FF0000FF"/>
      <name val="Calibri"/>
      <family val="2"/>
      <charset val="238"/>
    </font>
    <font>
      <u/>
      <sz val="11"/>
      <color rgb="FF0000FF"/>
      <name val="Calibri"/>
      <family val="2"/>
      <charset val="238"/>
    </font>
    <font>
      <u/>
      <sz val="11"/>
      <color rgb="FF0000FF"/>
      <name val="Calibri"/>
      <family val="2"/>
      <charset val="238"/>
    </font>
    <font>
      <u/>
      <sz val="11"/>
      <color rgb="FF0000FF"/>
      <name val="Calibri"/>
      <family val="2"/>
      <charset val="238"/>
    </font>
    <font>
      <u/>
      <sz val="11"/>
      <color rgb="FF0000FF"/>
      <name val="Calibri"/>
      <family val="2"/>
      <charset val="238"/>
    </font>
    <font>
      <u/>
      <sz val="11"/>
      <color rgb="FF0000FF"/>
      <name val="Calibri"/>
      <family val="2"/>
      <charset val="238"/>
    </font>
    <font>
      <u/>
      <sz val="11"/>
      <color rgb="FF0000FF"/>
      <name val="Calibri"/>
      <family val="2"/>
      <charset val="238"/>
    </font>
    <font>
      <u/>
      <sz val="11"/>
      <color rgb="FF0000FF"/>
      <name val="Calibri"/>
      <family val="2"/>
      <charset val="238"/>
    </font>
    <font>
      <u/>
      <sz val="11"/>
      <color rgb="FF0000FF"/>
      <name val="Calibri"/>
      <family val="2"/>
      <charset val="238"/>
    </font>
    <font>
      <u/>
      <sz val="11"/>
      <color rgb="FF0000FF"/>
      <name val="Calibri"/>
      <family val="2"/>
      <charset val="238"/>
    </font>
    <font>
      <u/>
      <sz val="11"/>
      <color rgb="FF0000FF"/>
      <name val="Calibri"/>
      <family val="2"/>
      <charset val="238"/>
    </font>
    <font>
      <u/>
      <sz val="11"/>
      <color rgb="FF0000FF"/>
      <name val="Calibri"/>
      <family val="2"/>
      <charset val="238"/>
    </font>
    <font>
      <u/>
      <sz val="11"/>
      <color rgb="FF0000FF"/>
      <name val="Calibri"/>
      <family val="2"/>
      <charset val="238"/>
    </font>
    <font>
      <u/>
      <sz val="11"/>
      <color rgb="FF0000FF"/>
      <name val="Calibri"/>
      <family val="2"/>
      <charset val="238"/>
    </font>
    <font>
      <u/>
      <sz val="11"/>
      <color rgb="FF0000FF"/>
      <name val="Calibri"/>
      <family val="2"/>
      <charset val="238"/>
    </font>
    <font>
      <u/>
      <sz val="11"/>
      <color rgb="FF0000FF"/>
      <name val="Calibri"/>
      <family val="2"/>
      <charset val="238"/>
    </font>
    <font>
      <u/>
      <sz val="11"/>
      <color rgb="FF0000FF"/>
      <name val="Calibri"/>
      <family val="2"/>
      <charset val="238"/>
    </font>
    <font>
      <u/>
      <sz val="11"/>
      <color rgb="FF0000FF"/>
      <name val="Calibri"/>
      <family val="2"/>
      <charset val="238"/>
    </font>
    <font>
      <u/>
      <sz val="11"/>
      <color rgb="FF0000FF"/>
      <name val="Calibri"/>
      <family val="2"/>
      <charset val="238"/>
    </font>
    <font>
      <u/>
      <sz val="11"/>
      <color rgb="FF0000FF"/>
      <name val="Calibri"/>
      <family val="2"/>
      <charset val="238"/>
    </font>
    <font>
      <u/>
      <sz val="11"/>
      <color rgb="FF0000FF"/>
      <name val="Calibri"/>
      <family val="2"/>
      <charset val="238"/>
    </font>
    <font>
      <u/>
      <sz val="11"/>
      <color rgb="FF0000FF"/>
      <name val="Calibri"/>
      <family val="2"/>
      <charset val="238"/>
    </font>
    <font>
      <u/>
      <sz val="11"/>
      <color rgb="FF0000FF"/>
      <name val="Calibri"/>
      <family val="2"/>
      <charset val="238"/>
    </font>
    <font>
      <u/>
      <sz val="11"/>
      <color rgb="FF0000FF"/>
      <name val="Calibri"/>
      <family val="2"/>
      <charset val="238"/>
    </font>
    <font>
      <u/>
      <sz val="11"/>
      <color rgb="FF0000FF"/>
      <name val="Calibri"/>
      <family val="2"/>
      <charset val="238"/>
    </font>
    <font>
      <u/>
      <sz val="11"/>
      <color rgb="FF0000FF"/>
      <name val="Calibri"/>
      <family val="2"/>
      <charset val="238"/>
    </font>
    <font>
      <u/>
      <sz val="11"/>
      <color rgb="FF0000FF"/>
      <name val="Calibri"/>
      <family val="2"/>
      <charset val="238"/>
    </font>
    <font>
      <u/>
      <sz val="11"/>
      <color rgb="FF0000FF"/>
      <name val="Calibri"/>
      <family val="2"/>
      <charset val="238"/>
    </font>
    <font>
      <u/>
      <sz val="11"/>
      <color rgb="FF0000FF"/>
      <name val="Calibri"/>
      <family val="2"/>
      <charset val="238"/>
    </font>
    <font>
      <u/>
      <sz val="11"/>
      <color rgb="FF0000FF"/>
      <name val="Calibri"/>
      <family val="2"/>
      <charset val="238"/>
    </font>
    <font>
      <u/>
      <sz val="11"/>
      <color rgb="FF0000FF"/>
      <name val="Calibri"/>
      <family val="2"/>
      <charset val="238"/>
    </font>
    <font>
      <u/>
      <sz val="11"/>
      <color rgb="FF0000FF"/>
      <name val="Calibri"/>
      <family val="2"/>
      <charset val="238"/>
    </font>
    <font>
      <u/>
      <sz val="11"/>
      <color rgb="FF0000FF"/>
      <name val="Calibri"/>
      <family val="2"/>
      <charset val="238"/>
    </font>
    <font>
      <u/>
      <sz val="11"/>
      <color rgb="FF0000FF"/>
      <name val="Calibri"/>
      <family val="2"/>
      <charset val="238"/>
    </font>
  </fonts>
  <fills count="7">
    <fill>
      <patternFill patternType="none"/>
    </fill>
    <fill>
      <patternFill patternType="gray125"/>
    </fill>
    <fill>
      <patternFill patternType="none">
        <bgColor indexed="64"/>
      </patternFill>
    </fill>
    <fill>
      <patternFill patternType="solid">
        <fgColor rgb="FFFFFF00"/>
        <bgColor indexed="64"/>
      </patternFill>
    </fill>
    <fill>
      <patternFill patternType="solid">
        <fgColor rgb="FF92D050"/>
        <bgColor indexed="64"/>
      </patternFill>
    </fill>
    <fill>
      <patternFill patternType="solid">
        <fgColor rgb="FFFFC000"/>
        <bgColor indexed="64"/>
      </patternFill>
    </fill>
    <fill>
      <patternFill patternType="solid">
        <fgColor rgb="FF00B0F0"/>
        <bgColor indexed="64"/>
      </patternFill>
    </fill>
  </fills>
  <borders count="2">
    <border>
      <left/>
      <right/>
      <top/>
      <bottom/>
      <diagonal/>
    </border>
    <border>
      <left/>
      <right/>
      <top/>
      <bottom/>
      <diagonal/>
    </border>
  </borders>
  <cellStyleXfs count="1">
    <xf numFmtId="0" fontId="0" fillId="0" borderId="0"/>
  </cellStyleXfs>
  <cellXfs count="286">
    <xf numFmtId="0" fontId="0" fillId="0" borderId="0" xfId="0"/>
    <xf numFmtId="0" fontId="1" fillId="0" borderId="0" xfId="0" applyFont="1"/>
    <xf numFmtId="0" fontId="2" fillId="0" borderId="0" xfId="0" applyFont="1"/>
    <xf numFmtId="0" fontId="3" fillId="0" borderId="0" xfId="0" applyFont="1"/>
    <xf numFmtId="0" fontId="4" fillId="0" borderId="0" xfId="0" applyFont="1"/>
    <xf numFmtId="0" fontId="5" fillId="0" borderId="0" xfId="0" applyFont="1"/>
    <xf numFmtId="0" fontId="6" fillId="0" borderId="0" xfId="0" applyFont="1"/>
    <xf numFmtId="0" fontId="7" fillId="0" borderId="0" xfId="0" applyFont="1"/>
    <xf numFmtId="0" fontId="8" fillId="0" borderId="0" xfId="0" applyFont="1"/>
    <xf numFmtId="0" fontId="9" fillId="0" borderId="0" xfId="0" applyFont="1"/>
    <xf numFmtId="0" fontId="10" fillId="0" borderId="0" xfId="0" applyFont="1"/>
    <xf numFmtId="0" fontId="11" fillId="0" borderId="0" xfId="0" applyFont="1"/>
    <xf numFmtId="0" fontId="12" fillId="0" borderId="0" xfId="0" applyFont="1"/>
    <xf numFmtId="0" fontId="13" fillId="0" borderId="0" xfId="0" applyFont="1"/>
    <xf numFmtId="0" fontId="14" fillId="0" borderId="0" xfId="0" applyFont="1"/>
    <xf numFmtId="0" fontId="15" fillId="0" borderId="0" xfId="0" applyFont="1"/>
    <xf numFmtId="0" fontId="16" fillId="0" borderId="0" xfId="0" applyFont="1"/>
    <xf numFmtId="0" fontId="17" fillId="0" borderId="0" xfId="0" applyFont="1"/>
    <xf numFmtId="0" fontId="18" fillId="0" borderId="0" xfId="0" applyFont="1"/>
    <xf numFmtId="0" fontId="19" fillId="0" borderId="0" xfId="0" applyFont="1"/>
    <xf numFmtId="0" fontId="20" fillId="0" borderId="0" xfId="0" applyFont="1"/>
    <xf numFmtId="0" fontId="21" fillId="0" borderId="0" xfId="0" applyFont="1"/>
    <xf numFmtId="0" fontId="22" fillId="0" borderId="0" xfId="0" applyFont="1"/>
    <xf numFmtId="0" fontId="23" fillId="0" borderId="0" xfId="0" applyFont="1"/>
    <xf numFmtId="0" fontId="24" fillId="0" borderId="0" xfId="0" applyFont="1"/>
    <xf numFmtId="0" fontId="25" fillId="0" borderId="0" xfId="0" applyFont="1"/>
    <xf numFmtId="0" fontId="26" fillId="0" borderId="0" xfId="0" applyFont="1"/>
    <xf numFmtId="0" fontId="27" fillId="0" borderId="0" xfId="0" applyFont="1"/>
    <xf numFmtId="0" fontId="28" fillId="0" borderId="0" xfId="0" applyFont="1"/>
    <xf numFmtId="0" fontId="29" fillId="0" borderId="0" xfId="0" applyFont="1"/>
    <xf numFmtId="0" fontId="30" fillId="0" borderId="0" xfId="0" applyFont="1"/>
    <xf numFmtId="0" fontId="31" fillId="0" borderId="0" xfId="0" applyFont="1"/>
    <xf numFmtId="0" fontId="32" fillId="0" borderId="0" xfId="0" applyFont="1"/>
    <xf numFmtId="0" fontId="33" fillId="0" borderId="0" xfId="0" applyFont="1"/>
    <xf numFmtId="0" fontId="34" fillId="0" borderId="0" xfId="0" applyFont="1"/>
    <xf numFmtId="0" fontId="35" fillId="0" borderId="0" xfId="0" applyFont="1"/>
    <xf numFmtId="0" fontId="36" fillId="0" borderId="0" xfId="0" applyFont="1"/>
    <xf numFmtId="0" fontId="37" fillId="0" borderId="0" xfId="0" applyFont="1"/>
    <xf numFmtId="0" fontId="38" fillId="0" borderId="0" xfId="0" applyFont="1"/>
    <xf numFmtId="0" fontId="39" fillId="0" borderId="0" xfId="0" applyFont="1"/>
    <xf numFmtId="0" fontId="40" fillId="0" borderId="0" xfId="0" applyFont="1"/>
    <xf numFmtId="0" fontId="41" fillId="0" borderId="0" xfId="0" applyFont="1"/>
    <xf numFmtId="0" fontId="42" fillId="0" borderId="0" xfId="0" applyFont="1"/>
    <xf numFmtId="0" fontId="43" fillId="0" borderId="0" xfId="0" applyFont="1"/>
    <xf numFmtId="0" fontId="44" fillId="0" borderId="0" xfId="0" applyFont="1"/>
    <xf numFmtId="0" fontId="45" fillId="0" borderId="0" xfId="0" applyFont="1"/>
    <xf numFmtId="0" fontId="46" fillId="0" borderId="0" xfId="0" applyFont="1"/>
    <xf numFmtId="0" fontId="47" fillId="0" borderId="0" xfId="0" applyFont="1"/>
    <xf numFmtId="0" fontId="48" fillId="0" borderId="0" xfId="0" applyFont="1"/>
    <xf numFmtId="0" fontId="49" fillId="0" borderId="0" xfId="0" applyFont="1"/>
    <xf numFmtId="0" fontId="50" fillId="0" borderId="0" xfId="0" applyFont="1"/>
    <xf numFmtId="0" fontId="51" fillId="0" borderId="0" xfId="0" applyFont="1"/>
    <xf numFmtId="0" fontId="52" fillId="0" borderId="0" xfId="0" applyFont="1"/>
    <xf numFmtId="0" fontId="53" fillId="0" borderId="0" xfId="0" applyFont="1"/>
    <xf numFmtId="0" fontId="54" fillId="0" borderId="0" xfId="0" applyFont="1"/>
    <xf numFmtId="0" fontId="55" fillId="0" borderId="0" xfId="0" applyFont="1"/>
    <xf numFmtId="0" fontId="56" fillId="0" borderId="0" xfId="0" applyFont="1"/>
    <xf numFmtId="0" fontId="57" fillId="0" borderId="0" xfId="0" applyFont="1"/>
    <xf numFmtId="0" fontId="58" fillId="0" borderId="0" xfId="0" applyFont="1"/>
    <xf numFmtId="0" fontId="59" fillId="0" borderId="0" xfId="0" applyFont="1"/>
    <xf numFmtId="0" fontId="60" fillId="0" borderId="0" xfId="0" applyFont="1"/>
    <xf numFmtId="0" fontId="61" fillId="0" borderId="0" xfId="0" applyFont="1"/>
    <xf numFmtId="0" fontId="62" fillId="0" borderId="0" xfId="0" applyFont="1"/>
    <xf numFmtId="0" fontId="63" fillId="0" borderId="0" xfId="0" applyFont="1"/>
    <xf numFmtId="0" fontId="64" fillId="0" borderId="0" xfId="0" applyFont="1"/>
    <xf numFmtId="0" fontId="65" fillId="0" borderId="0" xfId="0" applyFont="1"/>
    <xf numFmtId="0" fontId="66" fillId="0" borderId="0" xfId="0" applyFont="1"/>
    <xf numFmtId="0" fontId="67" fillId="0" borderId="0" xfId="0" applyFont="1"/>
    <xf numFmtId="0" fontId="68" fillId="0" borderId="0" xfId="0" applyFont="1"/>
    <xf numFmtId="0" fontId="69" fillId="0" borderId="0" xfId="0" applyFont="1"/>
    <xf numFmtId="0" fontId="70" fillId="0" borderId="0" xfId="0" applyFont="1"/>
    <xf numFmtId="0" fontId="71" fillId="0" borderId="0" xfId="0" applyFont="1"/>
    <xf numFmtId="0" fontId="72" fillId="0" borderId="0" xfId="0" applyFont="1"/>
    <xf numFmtId="0" fontId="73" fillId="0" borderId="0" xfId="0" applyFont="1"/>
    <xf numFmtId="0" fontId="74" fillId="0" borderId="0" xfId="0" applyFont="1"/>
    <xf numFmtId="0" fontId="75" fillId="0" borderId="0" xfId="0" applyFont="1"/>
    <xf numFmtId="0" fontId="76" fillId="0" borderId="0" xfId="0" applyFont="1"/>
    <xf numFmtId="0" fontId="77" fillId="0" borderId="0" xfId="0" applyFont="1"/>
    <xf numFmtId="0" fontId="78" fillId="0" borderId="0" xfId="0" applyFont="1"/>
    <xf numFmtId="0" fontId="79" fillId="0" borderId="0" xfId="0" applyFont="1"/>
    <xf numFmtId="0" fontId="80" fillId="0" borderId="0" xfId="0" applyFont="1"/>
    <xf numFmtId="0" fontId="81" fillId="0" borderId="0" xfId="0" applyFont="1"/>
    <xf numFmtId="0" fontId="82" fillId="0" borderId="0" xfId="0" applyFont="1"/>
    <xf numFmtId="0" fontId="83" fillId="0" borderId="0" xfId="0" applyFont="1"/>
    <xf numFmtId="0" fontId="84" fillId="0" borderId="0" xfId="0" applyFont="1"/>
    <xf numFmtId="0" fontId="85" fillId="0" borderId="0" xfId="0" applyFont="1"/>
    <xf numFmtId="0" fontId="86" fillId="0" borderId="0" xfId="0" applyFont="1"/>
    <xf numFmtId="0" fontId="87" fillId="0" borderId="0" xfId="0" applyFont="1"/>
    <xf numFmtId="0" fontId="88" fillId="0" borderId="0" xfId="0" applyFont="1"/>
    <xf numFmtId="0" fontId="89" fillId="0" borderId="0" xfId="0" applyFont="1"/>
    <xf numFmtId="0" fontId="90" fillId="0" borderId="0" xfId="0" applyFont="1"/>
    <xf numFmtId="0" fontId="91" fillId="0" borderId="0" xfId="0" applyFont="1"/>
    <xf numFmtId="0" fontId="92" fillId="0" borderId="0" xfId="0" applyFont="1"/>
    <xf numFmtId="0" fontId="93" fillId="0" borderId="0" xfId="0" applyFont="1"/>
    <xf numFmtId="0" fontId="94" fillId="0" borderId="0" xfId="0" applyFont="1"/>
    <xf numFmtId="0" fontId="95" fillId="0" borderId="0" xfId="0" applyFont="1"/>
    <xf numFmtId="0" fontId="96" fillId="0" borderId="0" xfId="0" applyFont="1"/>
    <xf numFmtId="0" fontId="97" fillId="0" borderId="0" xfId="0" applyFont="1"/>
    <xf numFmtId="0" fontId="98" fillId="0" borderId="0" xfId="0" applyFont="1"/>
    <xf numFmtId="0" fontId="99" fillId="0" borderId="0" xfId="0" applyFont="1"/>
    <xf numFmtId="0" fontId="100" fillId="0" borderId="0" xfId="0" applyFont="1"/>
    <xf numFmtId="0" fontId="101" fillId="0" borderId="0" xfId="0" applyFont="1"/>
    <xf numFmtId="0" fontId="102" fillId="0" borderId="0" xfId="0" applyFont="1"/>
    <xf numFmtId="0" fontId="103" fillId="0" borderId="0" xfId="0" applyFont="1"/>
    <xf numFmtId="0" fontId="104" fillId="0" borderId="0" xfId="0" applyFont="1"/>
    <xf numFmtId="0" fontId="105" fillId="0" borderId="0" xfId="0" applyFont="1"/>
    <xf numFmtId="0" fontId="106" fillId="0" borderId="0" xfId="0" applyFont="1"/>
    <xf numFmtId="0" fontId="107" fillId="0" borderId="0" xfId="0" applyFont="1"/>
    <xf numFmtId="0" fontId="108" fillId="0" borderId="0" xfId="0" applyFont="1"/>
    <xf numFmtId="0" fontId="109" fillId="0" borderId="0" xfId="0" applyFont="1"/>
    <xf numFmtId="0" fontId="110" fillId="0" borderId="0" xfId="0" applyFont="1"/>
    <xf numFmtId="0" fontId="111" fillId="0" borderId="0" xfId="0" applyFont="1"/>
    <xf numFmtId="0" fontId="112" fillId="0" borderId="0" xfId="0" applyFont="1"/>
    <xf numFmtId="0" fontId="113" fillId="0" borderId="0" xfId="0" applyFont="1"/>
    <xf numFmtId="0" fontId="114" fillId="0" borderId="0" xfId="0" applyFont="1"/>
    <xf numFmtId="0" fontId="115" fillId="0" borderId="0" xfId="0" applyFont="1"/>
    <xf numFmtId="0" fontId="116" fillId="0" borderId="0" xfId="0" applyFont="1"/>
    <xf numFmtId="0" fontId="117" fillId="0" borderId="0" xfId="0" applyFont="1"/>
    <xf numFmtId="0" fontId="118" fillId="0" borderId="0" xfId="0" applyFont="1"/>
    <xf numFmtId="0" fontId="119" fillId="0" borderId="0" xfId="0" applyFont="1"/>
    <xf numFmtId="0" fontId="120" fillId="0" borderId="0" xfId="0" applyFont="1"/>
    <xf numFmtId="0" fontId="121" fillId="0" borderId="0" xfId="0" applyFont="1"/>
    <xf numFmtId="0" fontId="122" fillId="0" borderId="0" xfId="0" applyFont="1"/>
    <xf numFmtId="0" fontId="123" fillId="0" borderId="0" xfId="0" applyFont="1"/>
    <xf numFmtId="0" fontId="124" fillId="0" borderId="0" xfId="0" applyFont="1"/>
    <xf numFmtId="0" fontId="125" fillId="0" borderId="0" xfId="0" applyFont="1"/>
    <xf numFmtId="0" fontId="126" fillId="0" borderId="0" xfId="0" applyFont="1"/>
    <xf numFmtId="0" fontId="127" fillId="0" borderId="0" xfId="0" applyFont="1"/>
    <xf numFmtId="0" fontId="128" fillId="0" borderId="0" xfId="0" applyFont="1"/>
    <xf numFmtId="0" fontId="129" fillId="0" borderId="0" xfId="0" applyFont="1"/>
    <xf numFmtId="0" fontId="130" fillId="0" borderId="0" xfId="0" applyFont="1"/>
    <xf numFmtId="0" fontId="131" fillId="0" borderId="0" xfId="0" applyFont="1"/>
    <xf numFmtId="0" fontId="132" fillId="0" borderId="0" xfId="0" applyFont="1"/>
    <xf numFmtId="0" fontId="133" fillId="0" borderId="0" xfId="0" applyFont="1"/>
    <xf numFmtId="0" fontId="134" fillId="0" borderId="0" xfId="0" applyFont="1"/>
    <xf numFmtId="0" fontId="135" fillId="0" borderId="0" xfId="0" applyFont="1"/>
    <xf numFmtId="0" fontId="136" fillId="0" borderId="0" xfId="0" applyFont="1"/>
    <xf numFmtId="0" fontId="137" fillId="0" borderId="0" xfId="0" applyFont="1"/>
    <xf numFmtId="0" fontId="138" fillId="0" borderId="0" xfId="0" applyFont="1"/>
    <xf numFmtId="0" fontId="139" fillId="0" borderId="0" xfId="0" applyFont="1"/>
    <xf numFmtId="0" fontId="140" fillId="0" borderId="0" xfId="0" applyFont="1"/>
    <xf numFmtId="0" fontId="141" fillId="0" borderId="0" xfId="0" applyFont="1"/>
    <xf numFmtId="0" fontId="142" fillId="0" borderId="0" xfId="0" applyFont="1"/>
    <xf numFmtId="0" fontId="143" fillId="0" borderId="0" xfId="0" applyFont="1"/>
    <xf numFmtId="0" fontId="144" fillId="0" borderId="0" xfId="0" applyFont="1"/>
    <xf numFmtId="0" fontId="145" fillId="0" borderId="0" xfId="0" applyFont="1"/>
    <xf numFmtId="0" fontId="146" fillId="0" borderId="0" xfId="0" applyFont="1"/>
    <xf numFmtId="0" fontId="147" fillId="0" borderId="0" xfId="0" applyFont="1"/>
    <xf numFmtId="0" fontId="148" fillId="0" borderId="0" xfId="0" applyFont="1"/>
    <xf numFmtId="0" fontId="149" fillId="0" borderId="0" xfId="0" applyFont="1"/>
    <xf numFmtId="0" fontId="150" fillId="0" borderId="0" xfId="0" applyFont="1"/>
    <xf numFmtId="0" fontId="151" fillId="0" borderId="0" xfId="0" applyFont="1"/>
    <xf numFmtId="0" fontId="152" fillId="0" borderId="0" xfId="0" applyFont="1"/>
    <xf numFmtId="0" fontId="153" fillId="0" borderId="0" xfId="0" applyFont="1"/>
    <xf numFmtId="0" fontId="154" fillId="0" borderId="0" xfId="0" applyFont="1"/>
    <xf numFmtId="0" fontId="155" fillId="0" borderId="0" xfId="0" applyFont="1"/>
    <xf numFmtId="0" fontId="156" fillId="0" borderId="0" xfId="0" applyFont="1"/>
    <xf numFmtId="0" fontId="157" fillId="0" borderId="0" xfId="0" applyFont="1"/>
    <xf numFmtId="0" fontId="158" fillId="0" borderId="0" xfId="0" applyFont="1"/>
    <xf numFmtId="0" fontId="159" fillId="0" borderId="0" xfId="0" applyFont="1"/>
    <xf numFmtId="0" fontId="160" fillId="0" borderId="0" xfId="0" applyFont="1"/>
    <xf numFmtId="0" fontId="161" fillId="0" borderId="0" xfId="0" applyFont="1"/>
    <xf numFmtId="0" fontId="162" fillId="0" borderId="0" xfId="0" applyFont="1"/>
    <xf numFmtId="0" fontId="163" fillId="0" borderId="0" xfId="0" applyFont="1"/>
    <xf numFmtId="0" fontId="164" fillId="0" borderId="0" xfId="0" applyFont="1"/>
    <xf numFmtId="0" fontId="165" fillId="0" borderId="0" xfId="0" applyFont="1"/>
    <xf numFmtId="0" fontId="166" fillId="0" borderId="0" xfId="0" applyFont="1"/>
    <xf numFmtId="0" fontId="167" fillId="0" borderId="0" xfId="0" applyFont="1"/>
    <xf numFmtId="0" fontId="168" fillId="0" borderId="0" xfId="0" applyFont="1"/>
    <xf numFmtId="0" fontId="169" fillId="0" borderId="0" xfId="0" applyFont="1"/>
    <xf numFmtId="0" fontId="170" fillId="0" borderId="0" xfId="0" applyFont="1"/>
    <xf numFmtId="0" fontId="171" fillId="0" borderId="0" xfId="0" applyFont="1"/>
    <xf numFmtId="0" fontId="172" fillId="0" borderId="0" xfId="0" applyFont="1"/>
    <xf numFmtId="0" fontId="173" fillId="0" borderId="0" xfId="0" applyFont="1"/>
    <xf numFmtId="0" fontId="174" fillId="0" borderId="0" xfId="0" applyFont="1"/>
    <xf numFmtId="0" fontId="175" fillId="0" borderId="0" xfId="0" applyFont="1"/>
    <xf numFmtId="0" fontId="176" fillId="0" borderId="0" xfId="0" applyFont="1"/>
    <xf numFmtId="0" fontId="177" fillId="0" borderId="0" xfId="0" applyFont="1"/>
    <xf numFmtId="0" fontId="178" fillId="0" borderId="0" xfId="0" applyFont="1"/>
    <xf numFmtId="0" fontId="179" fillId="0" borderId="0" xfId="0" applyFont="1"/>
    <xf numFmtId="0" fontId="180" fillId="0" borderId="0" xfId="0" applyFont="1"/>
    <xf numFmtId="0" fontId="181" fillId="0" borderId="0" xfId="0" applyFont="1"/>
    <xf numFmtId="0" fontId="182" fillId="0" borderId="0" xfId="0" applyFont="1"/>
    <xf numFmtId="0" fontId="183" fillId="0" borderId="0" xfId="0" applyFont="1"/>
    <xf numFmtId="0" fontId="184" fillId="0" borderId="0" xfId="0" applyFont="1"/>
    <xf numFmtId="0" fontId="185" fillId="0" borderId="0" xfId="0" applyFont="1"/>
    <xf numFmtId="0" fontId="186" fillId="0" borderId="0" xfId="0" applyFont="1"/>
    <xf numFmtId="0" fontId="187" fillId="0" borderId="0" xfId="0" applyFont="1"/>
    <xf numFmtId="0" fontId="188" fillId="0" borderId="0" xfId="0" applyFont="1"/>
    <xf numFmtId="0" fontId="189" fillId="0" borderId="0" xfId="0" applyFont="1"/>
    <xf numFmtId="0" fontId="190" fillId="0" borderId="0" xfId="0" applyFont="1"/>
    <xf numFmtId="0" fontId="191" fillId="0" borderId="0" xfId="0" applyFont="1"/>
    <xf numFmtId="0" fontId="192" fillId="0" borderId="0" xfId="0" applyFont="1"/>
    <xf numFmtId="0" fontId="193" fillId="0" borderId="0" xfId="0" applyFont="1"/>
    <xf numFmtId="0" fontId="194" fillId="0" borderId="0" xfId="0" applyFont="1"/>
    <xf numFmtId="0" fontId="195" fillId="0" borderId="0" xfId="0" applyFont="1"/>
    <xf numFmtId="0" fontId="196" fillId="0" borderId="0" xfId="0" applyFont="1"/>
    <xf numFmtId="0" fontId="197" fillId="0" borderId="0" xfId="0" applyFont="1"/>
    <xf numFmtId="0" fontId="198" fillId="0" borderId="0" xfId="0" applyFont="1"/>
    <xf numFmtId="0" fontId="199" fillId="0" borderId="0" xfId="0" applyFont="1"/>
    <xf numFmtId="0" fontId="200" fillId="0" borderId="0" xfId="0" applyFont="1"/>
    <xf numFmtId="0" fontId="201" fillId="0" borderId="0" xfId="0" applyFont="1"/>
    <xf numFmtId="0" fontId="202" fillId="0" borderId="0" xfId="0" applyFont="1"/>
    <xf numFmtId="0" fontId="203" fillId="0" borderId="0" xfId="0" applyFont="1"/>
    <xf numFmtId="0" fontId="204" fillId="0" borderId="0" xfId="0" applyFont="1"/>
    <xf numFmtId="0" fontId="205" fillId="0" borderId="0" xfId="0" applyFont="1"/>
    <xf numFmtId="0" fontId="206" fillId="0" borderId="0" xfId="0" applyFont="1"/>
    <xf numFmtId="0" fontId="207" fillId="0" borderId="0" xfId="0" applyFont="1"/>
    <xf numFmtId="0" fontId="208" fillId="0" borderId="0" xfId="0" applyFont="1"/>
    <xf numFmtId="0" fontId="209" fillId="0" borderId="0" xfId="0" applyFont="1"/>
    <xf numFmtId="0" fontId="210" fillId="0" borderId="0" xfId="0" applyFont="1"/>
    <xf numFmtId="0" fontId="211" fillId="0" borderId="0" xfId="0" applyFont="1"/>
    <xf numFmtId="0" fontId="212" fillId="0" borderId="0" xfId="0" applyFont="1"/>
    <xf numFmtId="0" fontId="213" fillId="0" borderId="0" xfId="0" applyFont="1"/>
    <xf numFmtId="0" fontId="214" fillId="0" borderId="0" xfId="0" applyFont="1"/>
    <xf numFmtId="0" fontId="215" fillId="0" borderId="0" xfId="0" applyFont="1"/>
    <xf numFmtId="0" fontId="216" fillId="0" borderId="0" xfId="0" applyFont="1"/>
    <xf numFmtId="0" fontId="217" fillId="0" borderId="0" xfId="0" applyFont="1"/>
    <xf numFmtId="0" fontId="218" fillId="0" borderId="0" xfId="0" applyFont="1"/>
    <xf numFmtId="0" fontId="219" fillId="0" borderId="0" xfId="0" applyFont="1"/>
    <xf numFmtId="0" fontId="220" fillId="0" borderId="0" xfId="0" applyFont="1"/>
    <xf numFmtId="0" fontId="221" fillId="0" borderId="0" xfId="0" applyFont="1"/>
    <xf numFmtId="0" fontId="222" fillId="0" borderId="0" xfId="0" applyFont="1"/>
    <xf numFmtId="0" fontId="223" fillId="0" borderId="0" xfId="0" applyFont="1"/>
    <xf numFmtId="0" fontId="224" fillId="0" borderId="0" xfId="0" applyFont="1"/>
    <xf numFmtId="0" fontId="225" fillId="0" borderId="0" xfId="0" applyFont="1"/>
    <xf numFmtId="0" fontId="226" fillId="0" borderId="0" xfId="0" applyFont="1"/>
    <xf numFmtId="0" fontId="227" fillId="0" borderId="0" xfId="0" applyFont="1"/>
    <xf numFmtId="0" fontId="228" fillId="0" borderId="0" xfId="0" applyFont="1"/>
    <xf numFmtId="0" fontId="229" fillId="0" borderId="0" xfId="0" applyFont="1"/>
    <xf numFmtId="0" fontId="230" fillId="0" borderId="0" xfId="0" applyFont="1"/>
    <xf numFmtId="0" fontId="231" fillId="0" borderId="0" xfId="0" applyFont="1"/>
    <xf numFmtId="0" fontId="232" fillId="0" borderId="0" xfId="0" applyFont="1"/>
    <xf numFmtId="0" fontId="233" fillId="0" borderId="0" xfId="0" applyFont="1"/>
    <xf numFmtId="0" fontId="234" fillId="0" borderId="0" xfId="0" applyFont="1"/>
    <xf numFmtId="0" fontId="235" fillId="0" borderId="0" xfId="0" applyFont="1"/>
    <xf numFmtId="0" fontId="236" fillId="0" borderId="0" xfId="0" applyFont="1"/>
    <xf numFmtId="0" fontId="237" fillId="0" borderId="0" xfId="0" applyFont="1"/>
    <xf numFmtId="0" fontId="238" fillId="0" borderId="0" xfId="0" applyFont="1"/>
    <xf numFmtId="0" fontId="239" fillId="0" borderId="0" xfId="0" applyFont="1"/>
    <xf numFmtId="0" fontId="240" fillId="0" borderId="0" xfId="0" applyFont="1"/>
    <xf numFmtId="0" fontId="241" fillId="0" borderId="0" xfId="0" applyFont="1"/>
    <xf numFmtId="0" fontId="242" fillId="0" borderId="0" xfId="0" applyFont="1"/>
    <xf numFmtId="0" fontId="243" fillId="0" borderId="0" xfId="0" applyFont="1"/>
    <xf numFmtId="0" fontId="244" fillId="0" borderId="0" xfId="0" applyFont="1"/>
    <xf numFmtId="0" fontId="245" fillId="0" borderId="0" xfId="0" applyFont="1"/>
    <xf numFmtId="0" fontId="246" fillId="0" borderId="0" xfId="0" applyFont="1"/>
    <xf numFmtId="0" fontId="247" fillId="0" borderId="0" xfId="0" applyFont="1"/>
    <xf numFmtId="0" fontId="248" fillId="0" borderId="0" xfId="0" applyFont="1"/>
    <xf numFmtId="0" fontId="249" fillId="0" borderId="0" xfId="0" applyFont="1"/>
    <xf numFmtId="0" fontId="250" fillId="0" borderId="0" xfId="0" applyFont="1"/>
    <xf numFmtId="0" fontId="251" fillId="0" borderId="0" xfId="0" applyFont="1"/>
    <xf numFmtId="0" fontId="252" fillId="0" borderId="0" xfId="0" applyFont="1"/>
    <xf numFmtId="0" fontId="253" fillId="0" borderId="0" xfId="0" applyFont="1"/>
    <xf numFmtId="0" fontId="254" fillId="0" borderId="0" xfId="0" applyFont="1"/>
    <xf numFmtId="0" fontId="255" fillId="0" borderId="0" xfId="0" applyFont="1"/>
    <xf numFmtId="0" fontId="256" fillId="0" borderId="0" xfId="0" applyFont="1"/>
    <xf numFmtId="0" fontId="257" fillId="0" borderId="0" xfId="0" applyFont="1"/>
    <xf numFmtId="0" fontId="258" fillId="0" borderId="0" xfId="0" applyFont="1"/>
    <xf numFmtId="0" fontId="259" fillId="0" borderId="0" xfId="0" applyFont="1"/>
    <xf numFmtId="0" fontId="260" fillId="0" borderId="0" xfId="0" applyFont="1"/>
    <xf numFmtId="0" fontId="261" fillId="0" borderId="0" xfId="0" applyFont="1"/>
    <xf numFmtId="0" fontId="262" fillId="0" borderId="0" xfId="0" applyFont="1"/>
    <xf numFmtId="0" fontId="263" fillId="0" borderId="0" xfId="0" applyFont="1"/>
    <xf numFmtId="0" fontId="264" fillId="0" borderId="0" xfId="0" applyFont="1"/>
    <xf numFmtId="0" fontId="265" fillId="0" borderId="0" xfId="0" applyFont="1"/>
    <xf numFmtId="0" fontId="266" fillId="0" borderId="0" xfId="0" applyFont="1"/>
    <xf numFmtId="0" fontId="267" fillId="0" borderId="0" xfId="0" applyFont="1"/>
    <xf numFmtId="0" fontId="268" fillId="0" borderId="0" xfId="0" applyFont="1"/>
    <xf numFmtId="0" fontId="269" fillId="0" borderId="0" xfId="0" applyFont="1"/>
    <xf numFmtId="0" fontId="270" fillId="0" borderId="0" xfId="0" applyFont="1"/>
    <xf numFmtId="0" fontId="271" fillId="0" borderId="0" xfId="0" applyFont="1"/>
    <xf numFmtId="0" fontId="272" fillId="0" borderId="0" xfId="0" applyFont="1"/>
    <xf numFmtId="0" fontId="273" fillId="0" borderId="0" xfId="0" applyFont="1"/>
    <xf numFmtId="0" fontId="274" fillId="0" borderId="0" xfId="0" applyFont="1"/>
    <xf numFmtId="0" fontId="275" fillId="0" borderId="0" xfId="0" applyFont="1"/>
    <xf numFmtId="0" fontId="276" fillId="0" borderId="0" xfId="0" applyFont="1"/>
    <xf numFmtId="0" fontId="277" fillId="0" borderId="0" xfId="0" applyFont="1"/>
    <xf numFmtId="0" fontId="278" fillId="0" borderId="0" xfId="0" applyFont="1"/>
    <xf numFmtId="0" fontId="279" fillId="0" borderId="0" xfId="0" applyFont="1"/>
    <xf numFmtId="164" fontId="0" fillId="2" borderId="1" xfId="0" applyNumberFormat="1" applyFont="1" applyFill="1" applyBorder="1" applyAlignment="1"/>
    <xf numFmtId="0" fontId="0" fillId="3" borderId="0" xfId="0" applyFill="1"/>
    <xf numFmtId="0" fontId="0" fillId="4" borderId="0" xfId="0" applyFill="1"/>
    <xf numFmtId="0" fontId="0" fillId="5" borderId="0" xfId="0" applyFill="1"/>
    <xf numFmtId="0" fontId="0" fillId="6" borderId="0" xfId="0" applyFill="1"/>
    <xf numFmtId="0" fontId="0" fillId="0" borderId="0" xfId="0" applyFill="1"/>
  </cellXfs>
  <cellStyles count="1">
    <cellStyle name="Normální"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2.xml"/><Relationship Id="rId5" Type="http://schemas.openxmlformats.org/officeDocument/2006/relationships/theme" Target="theme/theme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222250</xdr:colOff>
      <xdr:row>20</xdr:row>
      <xdr:rowOff>50800</xdr:rowOff>
    </xdr:from>
    <xdr:to>
      <xdr:col>12</xdr:col>
      <xdr:colOff>457200</xdr:colOff>
      <xdr:row>31</xdr:row>
      <xdr:rowOff>58529</xdr:rowOff>
    </xdr:to>
    <xdr:pic>
      <xdr:nvPicPr>
        <xdr:cNvPr id="3" name="Obrázok 2">
          <a:extLst>
            <a:ext uri="{FF2B5EF4-FFF2-40B4-BE49-F238E27FC236}">
              <a16:creationId xmlns:a16="http://schemas.microsoft.com/office/drawing/2014/main" id="{DE1512C4-8DD7-5372-17A6-E450A789BB2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22250" y="3733800"/>
          <a:ext cx="7772400" cy="2033379"/>
        </a:xfrm>
        <a:prstGeom prst="rect">
          <a:avLst/>
        </a:prstGeom>
      </xdr:spPr>
    </xdr:pic>
    <xdr:clientData/>
  </xdr:twoCellAnchor>
  <xdr:twoCellAnchor editAs="oneCell">
    <xdr:from>
      <xdr:col>0</xdr:col>
      <xdr:colOff>241300</xdr:colOff>
      <xdr:row>32</xdr:row>
      <xdr:rowOff>44450</xdr:rowOff>
    </xdr:from>
    <xdr:to>
      <xdr:col>12</xdr:col>
      <xdr:colOff>476250</xdr:colOff>
      <xdr:row>42</xdr:row>
      <xdr:rowOff>125216</xdr:rowOff>
    </xdr:to>
    <xdr:pic>
      <xdr:nvPicPr>
        <xdr:cNvPr id="5" name="Obrázok 4">
          <a:extLst>
            <a:ext uri="{FF2B5EF4-FFF2-40B4-BE49-F238E27FC236}">
              <a16:creationId xmlns:a16="http://schemas.microsoft.com/office/drawing/2014/main" id="{12A298DB-0A38-BF0A-ADA4-18C567DD4516}"/>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41300" y="5937250"/>
          <a:ext cx="7772400" cy="1922266"/>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Zuzana Toušová" id="{E5EAB7CD-2086-4793-A566-2AFE3BDD46AF}" userId="S::177016@muni.cz::0cac2013-da42-4345-8a23-090ac534f1fb" providerId="AD"/>
</personList>
</file>

<file path=xl/theme/theme1.xml><?xml version="1.0" encoding="utf-8"?>
<a:theme xmlns:a="http://schemas.openxmlformats.org/drawingml/2006/main" name="Moti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7" dT="2022-12-09T06:39:21.78" personId="{E5EAB7CD-2086-4793-A566-2AFE3BDD46AF}" id="{6307C36D-80FD-4D6B-99A9-4F2A59F21580}">
    <text>pozor na effect measurement</text>
  </threadedComment>
  <threadedComment ref="A19" dT="2022-12-09T06:41:07.41" personId="{E5EAB7CD-2086-4793-A566-2AFE3BDD46AF}" id="{50ACD3F2-16E0-48AC-B612-9E29018D5E44}">
    <text>Okomentovat výsledky - srovnání ECOSAR a ECOTOX databáze</text>
  </threadedComment>
</ThreadedComment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dimension ref="A1:CH2155"/>
  <sheetViews>
    <sheetView workbookViewId="0">
      <pane xSplit="1" ySplit="1" topLeftCell="B654" activePane="bottomRight" state="frozen"/>
      <selection pane="topRight"/>
      <selection pane="bottomLeft"/>
      <selection pane="bottomRight" activeCell="A1489" sqref="A1489:XFD1645"/>
    </sheetView>
  </sheetViews>
  <sheetFormatPr defaultRowHeight="15" x14ac:dyDescent="0.25"/>
  <cols>
    <col min="21" max="21" width="9.42578125" customWidth="1"/>
    <col min="28" max="28" width="8.7109375" style="281"/>
  </cols>
  <sheetData>
    <row r="1" spans="1:86" x14ac:dyDescent="0.25">
      <c r="A1" t="s">
        <v>0</v>
      </c>
      <c r="B1" t="s">
        <v>1</v>
      </c>
      <c r="C1" t="s">
        <v>2</v>
      </c>
      <c r="D1" t="s">
        <v>3</v>
      </c>
      <c r="E1" t="s">
        <v>4</v>
      </c>
      <c r="F1" t="s">
        <v>5</v>
      </c>
      <c r="G1" t="s">
        <v>6</v>
      </c>
      <c r="H1" t="s">
        <v>7</v>
      </c>
      <c r="I1" t="s">
        <v>8</v>
      </c>
      <c r="J1" t="s">
        <v>9</v>
      </c>
      <c r="K1" t="s">
        <v>10</v>
      </c>
      <c r="L1" t="s">
        <v>11</v>
      </c>
      <c r="M1" t="s">
        <v>12</v>
      </c>
      <c r="N1" t="s">
        <v>13</v>
      </c>
      <c r="O1" t="s">
        <v>14</v>
      </c>
      <c r="P1" t="s">
        <v>15</v>
      </c>
      <c r="Q1" t="s">
        <v>16</v>
      </c>
      <c r="R1" t="s">
        <v>17</v>
      </c>
      <c r="S1" t="s">
        <v>18</v>
      </c>
      <c r="T1" t="s">
        <v>19</v>
      </c>
      <c r="U1" t="s">
        <v>20</v>
      </c>
      <c r="V1" t="s">
        <v>21</v>
      </c>
      <c r="W1" t="s">
        <v>22</v>
      </c>
      <c r="X1" t="s">
        <v>23</v>
      </c>
      <c r="Y1" t="s">
        <v>24</v>
      </c>
      <c r="Z1" t="s">
        <v>25</v>
      </c>
      <c r="AA1" t="s">
        <v>26</v>
      </c>
      <c r="AB1" s="281" t="s">
        <v>27</v>
      </c>
      <c r="AC1" t="s">
        <v>28</v>
      </c>
      <c r="AD1" t="s">
        <v>29</v>
      </c>
      <c r="AE1" t="s">
        <v>30</v>
      </c>
      <c r="AF1" t="s">
        <v>31</v>
      </c>
      <c r="AG1" t="s">
        <v>32</v>
      </c>
      <c r="AH1" t="s">
        <v>33</v>
      </c>
      <c r="AI1" t="s">
        <v>34</v>
      </c>
      <c r="AJ1" t="s">
        <v>35</v>
      </c>
      <c r="AK1" t="s">
        <v>36</v>
      </c>
      <c r="AL1" t="s">
        <v>37</v>
      </c>
      <c r="AM1" t="s">
        <v>38</v>
      </c>
      <c r="AN1" t="s">
        <v>39</v>
      </c>
      <c r="AO1" t="s">
        <v>40</v>
      </c>
      <c r="AP1" t="s">
        <v>41</v>
      </c>
      <c r="AQ1" t="s">
        <v>42</v>
      </c>
      <c r="AR1" t="s">
        <v>43</v>
      </c>
      <c r="AS1" t="s">
        <v>44</v>
      </c>
      <c r="AT1" t="s">
        <v>45</v>
      </c>
      <c r="AU1" t="s">
        <v>46</v>
      </c>
      <c r="AV1" t="s">
        <v>47</v>
      </c>
      <c r="AW1" t="s">
        <v>48</v>
      </c>
      <c r="AX1" t="s">
        <v>49</v>
      </c>
      <c r="AY1" t="s">
        <v>50</v>
      </c>
      <c r="AZ1" t="s">
        <v>51</v>
      </c>
      <c r="BA1" t="s">
        <v>52</v>
      </c>
      <c r="BB1" t="s">
        <v>53</v>
      </c>
      <c r="BC1" t="s">
        <v>54</v>
      </c>
      <c r="BD1" t="s">
        <v>55</v>
      </c>
      <c r="BE1" t="s">
        <v>56</v>
      </c>
      <c r="BF1" t="s">
        <v>57</v>
      </c>
      <c r="BG1" t="s">
        <v>58</v>
      </c>
      <c r="BH1" t="s">
        <v>59</v>
      </c>
      <c r="BI1" t="s">
        <v>60</v>
      </c>
      <c r="BJ1" t="s">
        <v>61</v>
      </c>
      <c r="BK1" t="s">
        <v>62</v>
      </c>
      <c r="BL1" t="s">
        <v>63</v>
      </c>
      <c r="BM1" t="s">
        <v>64</v>
      </c>
      <c r="BN1" t="s">
        <v>65</v>
      </c>
      <c r="BO1" t="s">
        <v>66</v>
      </c>
      <c r="BP1" t="s">
        <v>67</v>
      </c>
      <c r="BQ1" t="s">
        <v>68</v>
      </c>
      <c r="BR1" t="s">
        <v>69</v>
      </c>
      <c r="BS1" t="s">
        <v>70</v>
      </c>
      <c r="BT1" t="s">
        <v>71</v>
      </c>
      <c r="BU1" t="s">
        <v>72</v>
      </c>
      <c r="BV1" t="s">
        <v>73</v>
      </c>
      <c r="BW1" t="s">
        <v>74</v>
      </c>
      <c r="BX1" t="s">
        <v>75</v>
      </c>
      <c r="BY1" t="s">
        <v>76</v>
      </c>
      <c r="BZ1" t="s">
        <v>77</v>
      </c>
      <c r="CA1" t="s">
        <v>78</v>
      </c>
      <c r="CB1" t="s">
        <v>79</v>
      </c>
      <c r="CC1" t="s">
        <v>80</v>
      </c>
      <c r="CD1" t="s">
        <v>81</v>
      </c>
      <c r="CE1" t="s">
        <v>82</v>
      </c>
      <c r="CF1" t="s">
        <v>83</v>
      </c>
      <c r="CG1" t="s">
        <v>84</v>
      </c>
      <c r="CH1" t="s">
        <v>85</v>
      </c>
    </row>
    <row r="2" spans="1:86" hidden="1" x14ac:dyDescent="0.25">
      <c r="A2">
        <v>330541</v>
      </c>
      <c r="B2" t="s">
        <v>86</v>
      </c>
      <c r="D2" t="s">
        <v>87</v>
      </c>
      <c r="K2" t="s">
        <v>88</v>
      </c>
      <c r="L2" t="s">
        <v>89</v>
      </c>
      <c r="M2" t="s">
        <v>90</v>
      </c>
      <c r="V2" t="s">
        <v>91</v>
      </c>
      <c r="W2" t="s">
        <v>92</v>
      </c>
      <c r="X2" t="s">
        <v>93</v>
      </c>
      <c r="Z2" t="s">
        <v>94</v>
      </c>
      <c r="AB2">
        <v>0.159</v>
      </c>
      <c r="AG2" t="s">
        <v>95</v>
      </c>
      <c r="AX2" t="s">
        <v>96</v>
      </c>
      <c r="AY2" t="s">
        <v>97</v>
      </c>
      <c r="AZ2" t="s">
        <v>98</v>
      </c>
      <c r="BC2">
        <v>33</v>
      </c>
      <c r="BH2" t="s">
        <v>99</v>
      </c>
      <c r="BJ2">
        <v>90</v>
      </c>
      <c r="BO2" t="s">
        <v>100</v>
      </c>
      <c r="CD2" t="s">
        <v>101</v>
      </c>
      <c r="CE2">
        <v>682</v>
      </c>
      <c r="CF2" t="s">
        <v>102</v>
      </c>
      <c r="CG2" t="s">
        <v>103</v>
      </c>
      <c r="CH2">
        <v>1976</v>
      </c>
    </row>
    <row r="3" spans="1:86" hidden="1" x14ac:dyDescent="0.25">
      <c r="A3">
        <v>330541</v>
      </c>
      <c r="B3" t="s">
        <v>86</v>
      </c>
      <c r="C3" t="s">
        <v>104</v>
      </c>
      <c r="D3" t="s">
        <v>105</v>
      </c>
      <c r="E3" t="s">
        <v>106</v>
      </c>
      <c r="F3">
        <v>95</v>
      </c>
      <c r="K3" t="s">
        <v>90</v>
      </c>
      <c r="L3" t="s">
        <v>90</v>
      </c>
      <c r="M3" t="s">
        <v>90</v>
      </c>
      <c r="V3" t="s">
        <v>91</v>
      </c>
      <c r="W3" t="s">
        <v>107</v>
      </c>
      <c r="X3" t="s">
        <v>93</v>
      </c>
      <c r="Z3" t="s">
        <v>94</v>
      </c>
      <c r="AB3">
        <v>2.7971663999999999E-3</v>
      </c>
      <c r="AG3" t="s">
        <v>95</v>
      </c>
      <c r="AX3" t="s">
        <v>108</v>
      </c>
      <c r="AY3" t="s">
        <v>109</v>
      </c>
      <c r="AZ3" t="s">
        <v>110</v>
      </c>
      <c r="BC3">
        <v>3.1300000000000001E-2</v>
      </c>
      <c r="BH3" t="s">
        <v>99</v>
      </c>
      <c r="BO3" t="s">
        <v>111</v>
      </c>
      <c r="CD3" t="s">
        <v>112</v>
      </c>
      <c r="CE3">
        <v>180287</v>
      </c>
      <c r="CF3" t="s">
        <v>113</v>
      </c>
      <c r="CG3" t="s">
        <v>114</v>
      </c>
      <c r="CH3">
        <v>2004</v>
      </c>
    </row>
    <row r="4" spans="1:86" hidden="1" x14ac:dyDescent="0.25">
      <c r="A4">
        <v>330541</v>
      </c>
      <c r="B4" t="s">
        <v>86</v>
      </c>
      <c r="C4" t="s">
        <v>104</v>
      </c>
      <c r="D4" t="s">
        <v>105</v>
      </c>
      <c r="E4" t="s">
        <v>106</v>
      </c>
      <c r="F4">
        <v>95</v>
      </c>
      <c r="K4" t="s">
        <v>90</v>
      </c>
      <c r="L4" t="s">
        <v>90</v>
      </c>
      <c r="M4" t="s">
        <v>90</v>
      </c>
      <c r="V4" t="s">
        <v>91</v>
      </c>
      <c r="W4" t="s">
        <v>107</v>
      </c>
      <c r="X4" t="s">
        <v>93</v>
      </c>
      <c r="Z4" t="s">
        <v>94</v>
      </c>
      <c r="AB4">
        <v>1.6316804E-4</v>
      </c>
      <c r="AD4">
        <v>4.6619439999999999E-5</v>
      </c>
      <c r="AF4">
        <v>3.4964579999999999E-4</v>
      </c>
      <c r="AG4" t="s">
        <v>95</v>
      </c>
      <c r="AX4" t="s">
        <v>108</v>
      </c>
      <c r="AY4" t="s">
        <v>109</v>
      </c>
      <c r="AZ4" t="s">
        <v>110</v>
      </c>
      <c r="BC4">
        <v>3.1300000000000001E-2</v>
      </c>
      <c r="BH4" t="s">
        <v>99</v>
      </c>
      <c r="BO4" t="s">
        <v>111</v>
      </c>
      <c r="CD4" t="s">
        <v>112</v>
      </c>
      <c r="CE4">
        <v>180287</v>
      </c>
      <c r="CF4" t="s">
        <v>113</v>
      </c>
      <c r="CG4" t="s">
        <v>114</v>
      </c>
      <c r="CH4">
        <v>2004</v>
      </c>
    </row>
    <row r="5" spans="1:86" hidden="1" x14ac:dyDescent="0.25">
      <c r="A5">
        <v>330541</v>
      </c>
      <c r="B5" t="s">
        <v>86</v>
      </c>
      <c r="C5" t="s">
        <v>104</v>
      </c>
      <c r="D5" t="s">
        <v>105</v>
      </c>
      <c r="E5" t="s">
        <v>106</v>
      </c>
      <c r="F5">
        <v>95</v>
      </c>
      <c r="K5" t="s">
        <v>90</v>
      </c>
      <c r="L5" t="s">
        <v>90</v>
      </c>
      <c r="M5" t="s">
        <v>90</v>
      </c>
      <c r="V5" t="s">
        <v>91</v>
      </c>
      <c r="W5" t="s">
        <v>107</v>
      </c>
      <c r="X5" t="s">
        <v>93</v>
      </c>
      <c r="Z5" t="s">
        <v>94</v>
      </c>
      <c r="AB5">
        <v>6.2936244000000004E-4</v>
      </c>
      <c r="AD5">
        <v>3.7295551999999999E-4</v>
      </c>
      <c r="AF5">
        <v>8.8576935999999998E-4</v>
      </c>
      <c r="AG5" t="s">
        <v>95</v>
      </c>
      <c r="AX5" t="s">
        <v>108</v>
      </c>
      <c r="AY5" t="s">
        <v>109</v>
      </c>
      <c r="AZ5" t="s">
        <v>110</v>
      </c>
      <c r="BC5">
        <v>3.1300000000000001E-2</v>
      </c>
      <c r="BH5" t="s">
        <v>99</v>
      </c>
      <c r="BO5" t="s">
        <v>111</v>
      </c>
      <c r="CD5" t="s">
        <v>112</v>
      </c>
      <c r="CE5">
        <v>180287</v>
      </c>
      <c r="CF5" t="s">
        <v>113</v>
      </c>
      <c r="CG5" t="s">
        <v>114</v>
      </c>
      <c r="CH5">
        <v>2004</v>
      </c>
    </row>
    <row r="6" spans="1:86" hidden="1" x14ac:dyDescent="0.25">
      <c r="A6">
        <v>330541</v>
      </c>
      <c r="B6" t="s">
        <v>86</v>
      </c>
      <c r="C6" t="s">
        <v>104</v>
      </c>
      <c r="D6" t="s">
        <v>105</v>
      </c>
      <c r="E6" t="s">
        <v>106</v>
      </c>
      <c r="F6">
        <v>95</v>
      </c>
      <c r="K6" t="s">
        <v>90</v>
      </c>
      <c r="L6" t="s">
        <v>90</v>
      </c>
      <c r="M6" t="s">
        <v>90</v>
      </c>
      <c r="V6" t="s">
        <v>91</v>
      </c>
      <c r="W6" t="s">
        <v>107</v>
      </c>
      <c r="X6" t="s">
        <v>93</v>
      </c>
      <c r="Z6" t="s">
        <v>94</v>
      </c>
      <c r="AB6">
        <v>2.4708303200000003E-4</v>
      </c>
      <c r="AD6">
        <v>8.3914992000000004E-5</v>
      </c>
      <c r="AF6">
        <v>4.1957495999999999E-4</v>
      </c>
      <c r="AG6" t="s">
        <v>95</v>
      </c>
      <c r="AX6" t="s">
        <v>108</v>
      </c>
      <c r="AY6" t="s">
        <v>109</v>
      </c>
      <c r="AZ6" t="s">
        <v>110</v>
      </c>
      <c r="BC6">
        <v>3.1300000000000001E-2</v>
      </c>
      <c r="BH6" t="s">
        <v>99</v>
      </c>
      <c r="BO6" t="s">
        <v>111</v>
      </c>
      <c r="CD6" t="s">
        <v>112</v>
      </c>
      <c r="CE6">
        <v>180287</v>
      </c>
      <c r="CF6" t="s">
        <v>113</v>
      </c>
      <c r="CG6" t="s">
        <v>114</v>
      </c>
      <c r="CH6">
        <v>2004</v>
      </c>
    </row>
    <row r="7" spans="1:86" hidden="1" x14ac:dyDescent="0.25">
      <c r="A7">
        <v>330541</v>
      </c>
      <c r="B7" t="s">
        <v>86</v>
      </c>
      <c r="C7" t="s">
        <v>104</v>
      </c>
      <c r="D7" t="s">
        <v>105</v>
      </c>
      <c r="E7" t="s">
        <v>106</v>
      </c>
      <c r="F7">
        <v>95</v>
      </c>
      <c r="K7" t="s">
        <v>90</v>
      </c>
      <c r="L7" t="s">
        <v>90</v>
      </c>
      <c r="M7" t="s">
        <v>90</v>
      </c>
      <c r="V7" t="s">
        <v>91</v>
      </c>
      <c r="W7" t="s">
        <v>107</v>
      </c>
      <c r="X7" t="s">
        <v>93</v>
      </c>
      <c r="Z7" t="s">
        <v>94</v>
      </c>
      <c r="AB7">
        <v>2.5640692000000001E-3</v>
      </c>
      <c r="AG7" t="s">
        <v>95</v>
      </c>
      <c r="AX7" t="s">
        <v>108</v>
      </c>
      <c r="AY7" t="s">
        <v>109</v>
      </c>
      <c r="AZ7" t="s">
        <v>110</v>
      </c>
      <c r="BC7">
        <v>3.1300000000000001E-2</v>
      </c>
      <c r="BH7" t="s">
        <v>99</v>
      </c>
      <c r="BO7" t="s">
        <v>111</v>
      </c>
      <c r="CD7" t="s">
        <v>112</v>
      </c>
      <c r="CE7">
        <v>180287</v>
      </c>
      <c r="CF7" t="s">
        <v>113</v>
      </c>
      <c r="CG7" t="s">
        <v>114</v>
      </c>
      <c r="CH7">
        <v>2004</v>
      </c>
    </row>
    <row r="8" spans="1:86" hidden="1" x14ac:dyDescent="0.25">
      <c r="A8">
        <v>330541</v>
      </c>
      <c r="B8" t="s">
        <v>86</v>
      </c>
      <c r="C8" t="s">
        <v>104</v>
      </c>
      <c r="D8" t="s">
        <v>105</v>
      </c>
      <c r="E8" t="s">
        <v>106</v>
      </c>
      <c r="F8">
        <v>95</v>
      </c>
      <c r="K8" t="s">
        <v>90</v>
      </c>
      <c r="L8" t="s">
        <v>90</v>
      </c>
      <c r="M8" t="s">
        <v>90</v>
      </c>
      <c r="V8" t="s">
        <v>91</v>
      </c>
      <c r="W8" t="s">
        <v>107</v>
      </c>
      <c r="X8" t="s">
        <v>93</v>
      </c>
      <c r="Z8" t="s">
        <v>94</v>
      </c>
      <c r="AB8">
        <v>9.0907908000000003E-4</v>
      </c>
      <c r="AD8">
        <v>3.0302635999999999E-4</v>
      </c>
      <c r="AF8">
        <v>1.5151317999999999E-3</v>
      </c>
      <c r="AG8" t="s">
        <v>95</v>
      </c>
      <c r="AX8" t="s">
        <v>108</v>
      </c>
      <c r="AY8" t="s">
        <v>109</v>
      </c>
      <c r="AZ8" t="s">
        <v>110</v>
      </c>
      <c r="BC8">
        <v>3.1300000000000001E-2</v>
      </c>
      <c r="BH8" t="s">
        <v>99</v>
      </c>
      <c r="BO8" t="s">
        <v>111</v>
      </c>
      <c r="CD8" t="s">
        <v>112</v>
      </c>
      <c r="CE8">
        <v>180287</v>
      </c>
      <c r="CF8" t="s">
        <v>113</v>
      </c>
      <c r="CG8" t="s">
        <v>114</v>
      </c>
      <c r="CH8">
        <v>2004</v>
      </c>
    </row>
    <row r="9" spans="1:86" hidden="1" x14ac:dyDescent="0.25">
      <c r="A9">
        <v>330541</v>
      </c>
      <c r="B9" t="s">
        <v>86</v>
      </c>
      <c r="C9" t="s">
        <v>104</v>
      </c>
      <c r="D9" t="s">
        <v>105</v>
      </c>
      <c r="E9" t="s">
        <v>106</v>
      </c>
      <c r="F9">
        <v>95</v>
      </c>
      <c r="K9" t="s">
        <v>90</v>
      </c>
      <c r="L9" t="s">
        <v>90</v>
      </c>
      <c r="M9" t="s">
        <v>90</v>
      </c>
      <c r="V9" t="s">
        <v>91</v>
      </c>
      <c r="W9" t="s">
        <v>107</v>
      </c>
      <c r="X9" t="s">
        <v>93</v>
      </c>
      <c r="Z9" t="s">
        <v>94</v>
      </c>
      <c r="AB9">
        <v>4.4288467999999999E-4</v>
      </c>
      <c r="AD9">
        <v>3.7295551999999998E-5</v>
      </c>
      <c r="AF9">
        <v>8.3914991999999998E-4</v>
      </c>
      <c r="AG9" t="s">
        <v>95</v>
      </c>
      <c r="AX9" t="s">
        <v>108</v>
      </c>
      <c r="AY9" t="s">
        <v>109</v>
      </c>
      <c r="AZ9" t="s">
        <v>110</v>
      </c>
      <c r="BC9">
        <v>3.1300000000000001E-2</v>
      </c>
      <c r="BH9" t="s">
        <v>99</v>
      </c>
      <c r="BO9" t="s">
        <v>111</v>
      </c>
      <c r="CD9" t="s">
        <v>112</v>
      </c>
      <c r="CE9">
        <v>180287</v>
      </c>
      <c r="CF9" t="s">
        <v>113</v>
      </c>
      <c r="CG9" t="s">
        <v>114</v>
      </c>
      <c r="CH9">
        <v>2004</v>
      </c>
    </row>
    <row r="10" spans="1:86" hidden="1" x14ac:dyDescent="0.25">
      <c r="A10">
        <v>330541</v>
      </c>
      <c r="B10" t="s">
        <v>86</v>
      </c>
      <c r="D10" t="s">
        <v>115</v>
      </c>
      <c r="F10">
        <v>99.5</v>
      </c>
      <c r="K10" t="s">
        <v>116</v>
      </c>
      <c r="L10" t="s">
        <v>117</v>
      </c>
      <c r="M10" t="s">
        <v>90</v>
      </c>
      <c r="N10" t="s">
        <v>118</v>
      </c>
      <c r="V10" t="s">
        <v>91</v>
      </c>
      <c r="W10" t="s">
        <v>92</v>
      </c>
      <c r="X10" t="s">
        <v>93</v>
      </c>
      <c r="Y10" t="s">
        <v>119</v>
      </c>
      <c r="Z10" t="s">
        <v>94</v>
      </c>
      <c r="AB10">
        <v>1.7999999999999999E-2</v>
      </c>
      <c r="AD10">
        <v>1.2999999999999999E-2</v>
      </c>
      <c r="AF10">
        <v>0.02</v>
      </c>
      <c r="AG10" t="s">
        <v>95</v>
      </c>
      <c r="AX10" t="s">
        <v>108</v>
      </c>
      <c r="AY10" t="s">
        <v>120</v>
      </c>
      <c r="AZ10" t="s">
        <v>121</v>
      </c>
      <c r="BC10">
        <v>4</v>
      </c>
      <c r="BH10" t="s">
        <v>99</v>
      </c>
      <c r="BO10" t="s">
        <v>111</v>
      </c>
      <c r="CD10" t="s">
        <v>122</v>
      </c>
      <c r="CE10">
        <v>161002</v>
      </c>
      <c r="CF10" t="s">
        <v>123</v>
      </c>
      <c r="CG10" t="s">
        <v>124</v>
      </c>
      <c r="CH10">
        <v>2012</v>
      </c>
    </row>
    <row r="11" spans="1:86" hidden="1" x14ac:dyDescent="0.25">
      <c r="A11">
        <v>330541</v>
      </c>
      <c r="B11" t="s">
        <v>86</v>
      </c>
      <c r="D11" t="s">
        <v>115</v>
      </c>
      <c r="F11">
        <v>99.5</v>
      </c>
      <c r="K11" t="s">
        <v>125</v>
      </c>
      <c r="L11" t="s">
        <v>117</v>
      </c>
      <c r="M11" t="s">
        <v>90</v>
      </c>
      <c r="N11" t="s">
        <v>118</v>
      </c>
      <c r="V11" t="s">
        <v>91</v>
      </c>
      <c r="W11" t="s">
        <v>92</v>
      </c>
      <c r="X11" t="s">
        <v>93</v>
      </c>
      <c r="Y11" t="s">
        <v>119</v>
      </c>
      <c r="Z11" t="s">
        <v>94</v>
      </c>
      <c r="AB11">
        <v>1.5900000000000001E-3</v>
      </c>
      <c r="AD11">
        <v>8.9999999999999998E-4</v>
      </c>
      <c r="AF11">
        <v>2.0500000000000002E-3</v>
      </c>
      <c r="AG11" t="s">
        <v>95</v>
      </c>
      <c r="AX11" t="s">
        <v>108</v>
      </c>
      <c r="AY11" t="s">
        <v>120</v>
      </c>
      <c r="AZ11" t="s">
        <v>121</v>
      </c>
      <c r="BC11">
        <v>4</v>
      </c>
      <c r="BH11" t="s">
        <v>99</v>
      </c>
      <c r="BO11" t="s">
        <v>111</v>
      </c>
      <c r="CD11" t="s">
        <v>122</v>
      </c>
      <c r="CE11">
        <v>161002</v>
      </c>
      <c r="CF11" t="s">
        <v>123</v>
      </c>
      <c r="CG11" t="s">
        <v>124</v>
      </c>
      <c r="CH11">
        <v>2012</v>
      </c>
    </row>
    <row r="12" spans="1:86" hidden="1" x14ac:dyDescent="0.25">
      <c r="A12">
        <v>330541</v>
      </c>
      <c r="B12" t="s">
        <v>86</v>
      </c>
      <c r="D12" t="s">
        <v>115</v>
      </c>
      <c r="F12">
        <v>99.5</v>
      </c>
      <c r="K12" t="s">
        <v>126</v>
      </c>
      <c r="L12" t="s">
        <v>117</v>
      </c>
      <c r="M12" t="s">
        <v>90</v>
      </c>
      <c r="N12" t="s">
        <v>118</v>
      </c>
      <c r="V12" t="s">
        <v>91</v>
      </c>
      <c r="W12" t="s">
        <v>92</v>
      </c>
      <c r="X12" t="s">
        <v>93</v>
      </c>
      <c r="Y12" t="s">
        <v>119</v>
      </c>
      <c r="Z12" t="s">
        <v>94</v>
      </c>
      <c r="AB12">
        <v>1.26E-2</v>
      </c>
      <c r="AD12">
        <v>1.137E-2</v>
      </c>
      <c r="AF12">
        <v>1.2999999999999999E-2</v>
      </c>
      <c r="AG12" t="s">
        <v>95</v>
      </c>
      <c r="AX12" t="s">
        <v>108</v>
      </c>
      <c r="AY12" t="s">
        <v>120</v>
      </c>
      <c r="AZ12" t="s">
        <v>121</v>
      </c>
      <c r="BC12">
        <v>4</v>
      </c>
      <c r="BH12" t="s">
        <v>99</v>
      </c>
      <c r="BO12" t="s">
        <v>111</v>
      </c>
      <c r="CD12" t="s">
        <v>122</v>
      </c>
      <c r="CE12">
        <v>161002</v>
      </c>
      <c r="CF12" t="s">
        <v>123</v>
      </c>
      <c r="CG12" t="s">
        <v>124</v>
      </c>
      <c r="CH12">
        <v>2012</v>
      </c>
    </row>
    <row r="13" spans="1:86" hidden="1" x14ac:dyDescent="0.25">
      <c r="A13">
        <v>330541</v>
      </c>
      <c r="B13" t="s">
        <v>86</v>
      </c>
      <c r="D13" t="s">
        <v>115</v>
      </c>
      <c r="F13">
        <v>99.5</v>
      </c>
      <c r="K13" t="s">
        <v>127</v>
      </c>
      <c r="L13" t="s">
        <v>117</v>
      </c>
      <c r="M13" t="s">
        <v>90</v>
      </c>
      <c r="N13" t="s">
        <v>118</v>
      </c>
      <c r="V13" t="s">
        <v>91</v>
      </c>
      <c r="W13" t="s">
        <v>92</v>
      </c>
      <c r="X13" t="s">
        <v>93</v>
      </c>
      <c r="Y13" t="s">
        <v>119</v>
      </c>
      <c r="Z13" t="s">
        <v>94</v>
      </c>
      <c r="AB13">
        <v>3.1099999999999999E-3</v>
      </c>
      <c r="AD13">
        <v>2.0999999999999999E-3</v>
      </c>
      <c r="AF13">
        <v>4.2100000000000002E-3</v>
      </c>
      <c r="AG13" t="s">
        <v>95</v>
      </c>
      <c r="AX13" t="s">
        <v>108</v>
      </c>
      <c r="AY13" t="s">
        <v>120</v>
      </c>
      <c r="AZ13" t="s">
        <v>121</v>
      </c>
      <c r="BC13">
        <v>4</v>
      </c>
      <c r="BH13" t="s">
        <v>99</v>
      </c>
      <c r="BO13" t="s">
        <v>111</v>
      </c>
      <c r="CD13" t="s">
        <v>122</v>
      </c>
      <c r="CE13">
        <v>161002</v>
      </c>
      <c r="CF13" t="s">
        <v>123</v>
      </c>
      <c r="CG13" t="s">
        <v>124</v>
      </c>
      <c r="CH13">
        <v>2012</v>
      </c>
    </row>
    <row r="14" spans="1:86" hidden="1" x14ac:dyDescent="0.25">
      <c r="A14">
        <v>330541</v>
      </c>
      <c r="B14" t="s">
        <v>86</v>
      </c>
      <c r="D14" t="s">
        <v>115</v>
      </c>
      <c r="F14">
        <v>99.5</v>
      </c>
      <c r="K14" t="s">
        <v>128</v>
      </c>
      <c r="L14" t="s">
        <v>117</v>
      </c>
      <c r="M14" t="s">
        <v>90</v>
      </c>
      <c r="N14" t="s">
        <v>118</v>
      </c>
      <c r="V14" t="s">
        <v>91</v>
      </c>
      <c r="W14" t="s">
        <v>92</v>
      </c>
      <c r="X14" t="s">
        <v>93</v>
      </c>
      <c r="Y14" t="s">
        <v>119</v>
      </c>
      <c r="Z14" t="s">
        <v>94</v>
      </c>
      <c r="AB14">
        <v>0.106</v>
      </c>
      <c r="AD14">
        <v>7.6999999999999999E-2</v>
      </c>
      <c r="AF14">
        <v>0.129</v>
      </c>
      <c r="AG14" t="s">
        <v>95</v>
      </c>
      <c r="AX14" t="s">
        <v>108</v>
      </c>
      <c r="AY14" t="s">
        <v>120</v>
      </c>
      <c r="AZ14" t="s">
        <v>121</v>
      </c>
      <c r="BC14">
        <v>4</v>
      </c>
      <c r="BH14" t="s">
        <v>99</v>
      </c>
      <c r="BO14" t="s">
        <v>111</v>
      </c>
      <c r="CD14" t="s">
        <v>122</v>
      </c>
      <c r="CE14">
        <v>161002</v>
      </c>
      <c r="CF14" t="s">
        <v>123</v>
      </c>
      <c r="CG14" t="s">
        <v>124</v>
      </c>
      <c r="CH14">
        <v>2012</v>
      </c>
    </row>
    <row r="15" spans="1:86" hidden="1" x14ac:dyDescent="0.25">
      <c r="A15">
        <v>330541</v>
      </c>
      <c r="B15" t="s">
        <v>86</v>
      </c>
      <c r="D15" t="s">
        <v>115</v>
      </c>
      <c r="F15">
        <v>99.5</v>
      </c>
      <c r="K15" t="s">
        <v>129</v>
      </c>
      <c r="L15" t="s">
        <v>117</v>
      </c>
      <c r="M15" t="s">
        <v>90</v>
      </c>
      <c r="N15" t="s">
        <v>118</v>
      </c>
      <c r="V15" t="s">
        <v>91</v>
      </c>
      <c r="W15" t="s">
        <v>92</v>
      </c>
      <c r="X15" t="s">
        <v>93</v>
      </c>
      <c r="Y15" t="s">
        <v>119</v>
      </c>
      <c r="Z15" t="s">
        <v>94</v>
      </c>
      <c r="AB15">
        <v>3.0070000000000001</v>
      </c>
      <c r="AD15">
        <v>2.8090000000000002</v>
      </c>
      <c r="AF15">
        <v>3.173</v>
      </c>
      <c r="AG15" t="s">
        <v>95</v>
      </c>
      <c r="AX15" t="s">
        <v>108</v>
      </c>
      <c r="AY15" t="s">
        <v>120</v>
      </c>
      <c r="AZ15" t="s">
        <v>121</v>
      </c>
      <c r="BC15">
        <v>4</v>
      </c>
      <c r="BH15" t="s">
        <v>99</v>
      </c>
      <c r="BO15" t="s">
        <v>111</v>
      </c>
      <c r="CD15" t="s">
        <v>122</v>
      </c>
      <c r="CE15">
        <v>161002</v>
      </c>
      <c r="CF15" t="s">
        <v>123</v>
      </c>
      <c r="CG15" t="s">
        <v>124</v>
      </c>
      <c r="CH15">
        <v>2012</v>
      </c>
    </row>
    <row r="16" spans="1:86" hidden="1" x14ac:dyDescent="0.25">
      <c r="A16">
        <v>330541</v>
      </c>
      <c r="B16" t="s">
        <v>86</v>
      </c>
      <c r="D16" t="s">
        <v>115</v>
      </c>
      <c r="F16">
        <v>99.5</v>
      </c>
      <c r="K16" t="s">
        <v>130</v>
      </c>
      <c r="L16" t="s">
        <v>117</v>
      </c>
      <c r="M16" t="s">
        <v>90</v>
      </c>
      <c r="N16" t="s">
        <v>118</v>
      </c>
      <c r="V16" t="s">
        <v>91</v>
      </c>
      <c r="W16" t="s">
        <v>92</v>
      </c>
      <c r="X16" t="s">
        <v>93</v>
      </c>
      <c r="Y16" t="s">
        <v>119</v>
      </c>
      <c r="Z16" t="s">
        <v>94</v>
      </c>
      <c r="AB16">
        <v>3.15E-3</v>
      </c>
      <c r="AD16">
        <v>2.6099999999999999E-3</v>
      </c>
      <c r="AF16">
        <v>3.8700000000000002E-3</v>
      </c>
      <c r="AG16" t="s">
        <v>95</v>
      </c>
      <c r="AX16" t="s">
        <v>108</v>
      </c>
      <c r="AY16" t="s">
        <v>120</v>
      </c>
      <c r="AZ16" t="s">
        <v>121</v>
      </c>
      <c r="BC16">
        <v>4</v>
      </c>
      <c r="BH16" t="s">
        <v>99</v>
      </c>
      <c r="BO16" t="s">
        <v>111</v>
      </c>
      <c r="CD16" t="s">
        <v>122</v>
      </c>
      <c r="CE16">
        <v>161002</v>
      </c>
      <c r="CF16" t="s">
        <v>123</v>
      </c>
      <c r="CG16" t="s">
        <v>124</v>
      </c>
      <c r="CH16">
        <v>2012</v>
      </c>
    </row>
    <row r="17" spans="1:86" hidden="1" x14ac:dyDescent="0.25">
      <c r="A17">
        <v>330541</v>
      </c>
      <c r="B17" t="s">
        <v>86</v>
      </c>
      <c r="D17" t="s">
        <v>115</v>
      </c>
      <c r="F17">
        <v>99.5</v>
      </c>
      <c r="K17" t="s">
        <v>131</v>
      </c>
      <c r="L17" t="s">
        <v>117</v>
      </c>
      <c r="M17" t="s">
        <v>90</v>
      </c>
      <c r="N17" t="s">
        <v>118</v>
      </c>
      <c r="V17" t="s">
        <v>91</v>
      </c>
      <c r="W17" t="s">
        <v>92</v>
      </c>
      <c r="X17" t="s">
        <v>93</v>
      </c>
      <c r="Y17" t="s">
        <v>119</v>
      </c>
      <c r="Z17" t="s">
        <v>94</v>
      </c>
      <c r="AB17">
        <v>7.3999999999999996E-2</v>
      </c>
      <c r="AD17">
        <v>6.2E-2</v>
      </c>
      <c r="AF17">
        <v>8.8999999999999996E-2</v>
      </c>
      <c r="AG17" t="s">
        <v>95</v>
      </c>
      <c r="AX17" t="s">
        <v>108</v>
      </c>
      <c r="AY17" t="s">
        <v>120</v>
      </c>
      <c r="AZ17" t="s">
        <v>121</v>
      </c>
      <c r="BC17">
        <v>4</v>
      </c>
      <c r="BH17" t="s">
        <v>99</v>
      </c>
      <c r="BO17" t="s">
        <v>111</v>
      </c>
      <c r="CD17" t="s">
        <v>122</v>
      </c>
      <c r="CE17">
        <v>161002</v>
      </c>
      <c r="CF17" t="s">
        <v>123</v>
      </c>
      <c r="CG17" t="s">
        <v>124</v>
      </c>
      <c r="CH17">
        <v>2012</v>
      </c>
    </row>
    <row r="18" spans="1:86" hidden="1" x14ac:dyDescent="0.25">
      <c r="A18">
        <v>330541</v>
      </c>
      <c r="B18" t="s">
        <v>86</v>
      </c>
      <c r="D18" t="s">
        <v>115</v>
      </c>
      <c r="F18">
        <v>99.5</v>
      </c>
      <c r="K18" t="s">
        <v>132</v>
      </c>
      <c r="L18" t="s">
        <v>117</v>
      </c>
      <c r="M18" t="s">
        <v>90</v>
      </c>
      <c r="N18" t="s">
        <v>118</v>
      </c>
      <c r="V18" t="s">
        <v>91</v>
      </c>
      <c r="W18" t="s">
        <v>92</v>
      </c>
      <c r="X18" t="s">
        <v>93</v>
      </c>
      <c r="Y18" t="s">
        <v>119</v>
      </c>
      <c r="Z18" t="s">
        <v>94</v>
      </c>
      <c r="AB18">
        <v>6.8999999999999997E-5</v>
      </c>
      <c r="AD18">
        <v>6.2000000000000003E-5</v>
      </c>
      <c r="AF18">
        <v>7.2999999999999999E-5</v>
      </c>
      <c r="AG18" t="s">
        <v>95</v>
      </c>
      <c r="AX18" t="s">
        <v>108</v>
      </c>
      <c r="AY18" t="s">
        <v>120</v>
      </c>
      <c r="AZ18" t="s">
        <v>121</v>
      </c>
      <c r="BC18">
        <v>4</v>
      </c>
      <c r="BH18" t="s">
        <v>99</v>
      </c>
      <c r="BO18" t="s">
        <v>111</v>
      </c>
      <c r="CD18" t="s">
        <v>122</v>
      </c>
      <c r="CE18">
        <v>161002</v>
      </c>
      <c r="CF18" t="s">
        <v>123</v>
      </c>
      <c r="CG18" t="s">
        <v>124</v>
      </c>
      <c r="CH18">
        <v>2012</v>
      </c>
    </row>
    <row r="19" spans="1:86" hidden="1" x14ac:dyDescent="0.25">
      <c r="A19">
        <v>330541</v>
      </c>
      <c r="B19" t="s">
        <v>86</v>
      </c>
      <c r="D19" t="s">
        <v>115</v>
      </c>
      <c r="F19">
        <v>99.5</v>
      </c>
      <c r="K19" t="s">
        <v>133</v>
      </c>
      <c r="L19" t="s">
        <v>134</v>
      </c>
      <c r="M19" t="s">
        <v>90</v>
      </c>
      <c r="N19" t="s">
        <v>118</v>
      </c>
      <c r="V19" t="s">
        <v>91</v>
      </c>
      <c r="W19" t="s">
        <v>92</v>
      </c>
      <c r="X19" t="s">
        <v>93</v>
      </c>
      <c r="Y19" t="s">
        <v>119</v>
      </c>
      <c r="Z19" t="s">
        <v>94</v>
      </c>
      <c r="AB19">
        <v>0.26100000000000001</v>
      </c>
      <c r="AD19">
        <v>0.21</v>
      </c>
      <c r="AF19">
        <v>0.29199999999999998</v>
      </c>
      <c r="AG19" t="s">
        <v>95</v>
      </c>
      <c r="AX19" t="s">
        <v>108</v>
      </c>
      <c r="AY19" t="s">
        <v>120</v>
      </c>
      <c r="AZ19" t="s">
        <v>121</v>
      </c>
      <c r="BC19">
        <v>4</v>
      </c>
      <c r="BH19" t="s">
        <v>99</v>
      </c>
      <c r="BO19" t="s">
        <v>111</v>
      </c>
      <c r="CD19" t="s">
        <v>122</v>
      </c>
      <c r="CE19">
        <v>161002</v>
      </c>
      <c r="CF19" t="s">
        <v>123</v>
      </c>
      <c r="CG19" t="s">
        <v>124</v>
      </c>
      <c r="CH19">
        <v>2012</v>
      </c>
    </row>
    <row r="20" spans="1:86" hidden="1" x14ac:dyDescent="0.25">
      <c r="A20">
        <v>330541</v>
      </c>
      <c r="B20" t="s">
        <v>86</v>
      </c>
      <c r="D20" t="s">
        <v>115</v>
      </c>
      <c r="F20">
        <v>99.5</v>
      </c>
      <c r="K20" t="s">
        <v>135</v>
      </c>
      <c r="L20" t="s">
        <v>117</v>
      </c>
      <c r="M20" t="s">
        <v>90</v>
      </c>
      <c r="N20" t="s">
        <v>118</v>
      </c>
      <c r="V20" t="s">
        <v>91</v>
      </c>
      <c r="W20" t="s">
        <v>92</v>
      </c>
      <c r="X20" t="s">
        <v>93</v>
      </c>
      <c r="Y20" t="s">
        <v>119</v>
      </c>
      <c r="Z20" t="s">
        <v>94</v>
      </c>
      <c r="AB20">
        <v>0.90400000000000003</v>
      </c>
      <c r="AD20">
        <v>0.73899999999999999</v>
      </c>
      <c r="AF20">
        <v>1.1439999999999999</v>
      </c>
      <c r="AG20" t="s">
        <v>95</v>
      </c>
      <c r="AX20" t="s">
        <v>108</v>
      </c>
      <c r="AY20" t="s">
        <v>120</v>
      </c>
      <c r="AZ20" t="s">
        <v>121</v>
      </c>
      <c r="BC20">
        <v>4</v>
      </c>
      <c r="BH20" t="s">
        <v>99</v>
      </c>
      <c r="BO20" t="s">
        <v>111</v>
      </c>
      <c r="CD20" t="s">
        <v>122</v>
      </c>
      <c r="CE20">
        <v>161002</v>
      </c>
      <c r="CF20" t="s">
        <v>123</v>
      </c>
      <c r="CG20" t="s">
        <v>124</v>
      </c>
      <c r="CH20">
        <v>2012</v>
      </c>
    </row>
    <row r="21" spans="1:86" hidden="1" x14ac:dyDescent="0.25">
      <c r="A21">
        <v>330541</v>
      </c>
      <c r="B21" t="s">
        <v>86</v>
      </c>
      <c r="D21" t="s">
        <v>115</v>
      </c>
      <c r="K21" t="s">
        <v>130</v>
      </c>
      <c r="L21" t="s">
        <v>117</v>
      </c>
      <c r="M21" t="s">
        <v>90</v>
      </c>
      <c r="N21" t="s">
        <v>118</v>
      </c>
      <c r="V21" t="s">
        <v>91</v>
      </c>
      <c r="W21" t="s">
        <v>92</v>
      </c>
      <c r="X21" t="s">
        <v>93</v>
      </c>
      <c r="Y21" t="s">
        <v>136</v>
      </c>
      <c r="Z21" t="s">
        <v>137</v>
      </c>
      <c r="AB21">
        <v>7.6699999999999997E-3</v>
      </c>
      <c r="AD21">
        <v>2.7200000000000002E-3</v>
      </c>
      <c r="AF21">
        <v>1.2999999999999999E-2</v>
      </c>
      <c r="AG21" t="s">
        <v>95</v>
      </c>
      <c r="AX21" t="s">
        <v>108</v>
      </c>
      <c r="AY21" t="s">
        <v>120</v>
      </c>
      <c r="AZ21" t="s">
        <v>138</v>
      </c>
      <c r="BC21">
        <v>4</v>
      </c>
      <c r="BH21" t="s">
        <v>99</v>
      </c>
      <c r="BO21" t="s">
        <v>111</v>
      </c>
      <c r="CD21" t="s">
        <v>139</v>
      </c>
      <c r="CE21">
        <v>166513</v>
      </c>
      <c r="CF21" t="s">
        <v>140</v>
      </c>
      <c r="CG21" t="s">
        <v>141</v>
      </c>
      <c r="CH21">
        <v>2013</v>
      </c>
    </row>
    <row r="22" spans="1:86" hidden="1" x14ac:dyDescent="0.25">
      <c r="A22">
        <v>330541</v>
      </c>
      <c r="B22" t="s">
        <v>86</v>
      </c>
      <c r="D22" t="s">
        <v>115</v>
      </c>
      <c r="F22">
        <v>80</v>
      </c>
      <c r="K22" t="s">
        <v>142</v>
      </c>
      <c r="L22" t="s">
        <v>143</v>
      </c>
      <c r="M22" t="s">
        <v>90</v>
      </c>
      <c r="V22" t="s">
        <v>91</v>
      </c>
      <c r="W22" t="s">
        <v>92</v>
      </c>
      <c r="X22" t="s">
        <v>93</v>
      </c>
      <c r="Y22">
        <v>6</v>
      </c>
      <c r="Z22" t="s">
        <v>137</v>
      </c>
      <c r="AB22">
        <v>7.7819E-4</v>
      </c>
      <c r="AD22">
        <v>5.9624999999999999E-4</v>
      </c>
      <c r="AF22">
        <v>9.6013999999999995E-4</v>
      </c>
      <c r="AG22" t="s">
        <v>95</v>
      </c>
      <c r="AX22" t="s">
        <v>144</v>
      </c>
      <c r="AY22" t="s">
        <v>145</v>
      </c>
      <c r="AZ22" t="s">
        <v>138</v>
      </c>
      <c r="BC22">
        <v>1</v>
      </c>
      <c r="BH22" t="s">
        <v>99</v>
      </c>
      <c r="BO22" t="s">
        <v>111</v>
      </c>
      <c r="CD22" t="s">
        <v>146</v>
      </c>
      <c r="CE22">
        <v>170799</v>
      </c>
      <c r="CF22" t="s">
        <v>147</v>
      </c>
      <c r="CG22" t="s">
        <v>148</v>
      </c>
      <c r="CH22">
        <v>2015</v>
      </c>
    </row>
    <row r="23" spans="1:86" hidden="1" x14ac:dyDescent="0.25">
      <c r="A23">
        <v>330541</v>
      </c>
      <c r="B23" t="s">
        <v>86</v>
      </c>
      <c r="D23" t="s">
        <v>115</v>
      </c>
      <c r="K23" t="s">
        <v>125</v>
      </c>
      <c r="L23" t="s">
        <v>117</v>
      </c>
      <c r="M23" t="s">
        <v>90</v>
      </c>
      <c r="V23" t="s">
        <v>91</v>
      </c>
      <c r="W23" t="s">
        <v>92</v>
      </c>
      <c r="X23" t="s">
        <v>93</v>
      </c>
      <c r="Y23">
        <v>8</v>
      </c>
      <c r="Z23" t="s">
        <v>137</v>
      </c>
      <c r="AB23">
        <v>2.7E-2</v>
      </c>
      <c r="AD23">
        <v>2.4E-2</v>
      </c>
      <c r="AF23">
        <v>0.03</v>
      </c>
      <c r="AG23" t="s">
        <v>95</v>
      </c>
      <c r="AX23" t="s">
        <v>108</v>
      </c>
      <c r="AY23" t="s">
        <v>120</v>
      </c>
      <c r="AZ23" t="s">
        <v>138</v>
      </c>
      <c r="BC23">
        <v>4</v>
      </c>
      <c r="BH23" t="s">
        <v>99</v>
      </c>
      <c r="BO23" t="s">
        <v>111</v>
      </c>
      <c r="CD23" t="s">
        <v>139</v>
      </c>
      <c r="CE23">
        <v>166513</v>
      </c>
      <c r="CF23" t="s">
        <v>140</v>
      </c>
      <c r="CG23" t="s">
        <v>141</v>
      </c>
      <c r="CH23">
        <v>2013</v>
      </c>
    </row>
    <row r="24" spans="1:86" hidden="1" x14ac:dyDescent="0.25">
      <c r="A24">
        <v>330541</v>
      </c>
      <c r="B24" t="s">
        <v>86</v>
      </c>
      <c r="C24" t="s">
        <v>104</v>
      </c>
      <c r="D24" t="s">
        <v>105</v>
      </c>
      <c r="E24" t="s">
        <v>149</v>
      </c>
      <c r="F24">
        <v>99</v>
      </c>
      <c r="K24" t="s">
        <v>130</v>
      </c>
      <c r="L24" t="s">
        <v>117</v>
      </c>
      <c r="M24" t="s">
        <v>90</v>
      </c>
      <c r="V24" t="s">
        <v>91</v>
      </c>
      <c r="W24" t="s">
        <v>92</v>
      </c>
      <c r="X24" t="s">
        <v>93</v>
      </c>
      <c r="Y24">
        <v>5</v>
      </c>
      <c r="Z24" t="s">
        <v>94</v>
      </c>
      <c r="AB24">
        <v>5.6000000000000001E-2</v>
      </c>
      <c r="AG24" t="s">
        <v>95</v>
      </c>
      <c r="AX24" t="s">
        <v>108</v>
      </c>
      <c r="AY24" t="s">
        <v>150</v>
      </c>
      <c r="AZ24" t="s">
        <v>138</v>
      </c>
      <c r="BC24">
        <v>2</v>
      </c>
      <c r="BH24" t="s">
        <v>99</v>
      </c>
      <c r="BO24" t="s">
        <v>111</v>
      </c>
      <c r="CD24" t="s">
        <v>151</v>
      </c>
      <c r="CE24">
        <v>174505</v>
      </c>
      <c r="CF24" t="s">
        <v>152</v>
      </c>
      <c r="CG24" t="s">
        <v>153</v>
      </c>
      <c r="CH24">
        <v>2016</v>
      </c>
    </row>
    <row r="25" spans="1:86" hidden="1" x14ac:dyDescent="0.25">
      <c r="A25">
        <v>330541</v>
      </c>
      <c r="B25" t="s">
        <v>86</v>
      </c>
      <c r="D25" t="s">
        <v>115</v>
      </c>
      <c r="K25" t="s">
        <v>131</v>
      </c>
      <c r="L25" t="s">
        <v>117</v>
      </c>
      <c r="M25" t="s">
        <v>90</v>
      </c>
      <c r="V25" t="s">
        <v>91</v>
      </c>
      <c r="W25" t="s">
        <v>92</v>
      </c>
      <c r="X25" t="s">
        <v>93</v>
      </c>
      <c r="Y25">
        <v>8</v>
      </c>
      <c r="Z25" t="s">
        <v>137</v>
      </c>
      <c r="AB25">
        <v>9.0999999999999998E-2</v>
      </c>
      <c r="AD25">
        <v>4.7E-2</v>
      </c>
      <c r="AF25">
        <v>0.13400000000000001</v>
      </c>
      <c r="AG25" t="s">
        <v>95</v>
      </c>
      <c r="AX25" t="s">
        <v>108</v>
      </c>
      <c r="AY25" t="s">
        <v>120</v>
      </c>
      <c r="AZ25" t="s">
        <v>138</v>
      </c>
      <c r="BC25">
        <v>4</v>
      </c>
      <c r="BH25" t="s">
        <v>99</v>
      </c>
      <c r="BO25" t="s">
        <v>111</v>
      </c>
      <c r="CD25" t="s">
        <v>139</v>
      </c>
      <c r="CE25">
        <v>166513</v>
      </c>
      <c r="CF25" t="s">
        <v>140</v>
      </c>
      <c r="CG25" t="s">
        <v>141</v>
      </c>
      <c r="CH25">
        <v>2013</v>
      </c>
    </row>
    <row r="26" spans="1:86" hidden="1" x14ac:dyDescent="0.25">
      <c r="A26">
        <v>330541</v>
      </c>
      <c r="B26" t="s">
        <v>86</v>
      </c>
      <c r="D26" t="s">
        <v>115</v>
      </c>
      <c r="K26" t="s">
        <v>154</v>
      </c>
      <c r="L26" t="s">
        <v>117</v>
      </c>
      <c r="M26" t="s">
        <v>90</v>
      </c>
      <c r="N26" t="s">
        <v>118</v>
      </c>
      <c r="V26" t="s">
        <v>91</v>
      </c>
      <c r="W26" t="s">
        <v>92</v>
      </c>
      <c r="X26" t="s">
        <v>93</v>
      </c>
      <c r="Y26" t="s">
        <v>136</v>
      </c>
      <c r="Z26" t="s">
        <v>137</v>
      </c>
      <c r="AB26">
        <v>4.2999999999999997E-2</v>
      </c>
      <c r="AG26" t="s">
        <v>95</v>
      </c>
      <c r="AX26" t="s">
        <v>108</v>
      </c>
      <c r="AY26" t="s">
        <v>120</v>
      </c>
      <c r="AZ26" t="s">
        <v>138</v>
      </c>
      <c r="BC26">
        <v>4</v>
      </c>
      <c r="BH26" t="s">
        <v>99</v>
      </c>
      <c r="BO26" t="s">
        <v>111</v>
      </c>
      <c r="CD26" t="s">
        <v>155</v>
      </c>
      <c r="CE26">
        <v>166447</v>
      </c>
      <c r="CF26" t="s">
        <v>156</v>
      </c>
      <c r="CG26" t="s">
        <v>157</v>
      </c>
      <c r="CH26">
        <v>2014</v>
      </c>
    </row>
    <row r="27" spans="1:86" hidden="1" x14ac:dyDescent="0.25">
      <c r="A27">
        <v>330541</v>
      </c>
      <c r="B27" t="s">
        <v>86</v>
      </c>
      <c r="C27" t="s">
        <v>158</v>
      </c>
      <c r="D27" t="s">
        <v>115</v>
      </c>
      <c r="K27" t="s">
        <v>159</v>
      </c>
      <c r="L27" t="s">
        <v>90</v>
      </c>
      <c r="M27" t="s">
        <v>90</v>
      </c>
      <c r="N27" t="s">
        <v>118</v>
      </c>
      <c r="V27" t="s">
        <v>91</v>
      </c>
      <c r="W27" t="s">
        <v>107</v>
      </c>
      <c r="X27" t="s">
        <v>93</v>
      </c>
      <c r="Y27">
        <v>8</v>
      </c>
      <c r="Z27" t="s">
        <v>94</v>
      </c>
      <c r="AB27">
        <v>5.1281384000000001E-3</v>
      </c>
      <c r="AG27" t="s">
        <v>95</v>
      </c>
      <c r="AX27" t="s">
        <v>108</v>
      </c>
      <c r="AY27" t="s">
        <v>160</v>
      </c>
      <c r="AZ27" t="s">
        <v>138</v>
      </c>
      <c r="BC27">
        <v>3</v>
      </c>
      <c r="BH27" t="s">
        <v>99</v>
      </c>
      <c r="BO27" t="s">
        <v>111</v>
      </c>
      <c r="CD27" t="s">
        <v>161</v>
      </c>
      <c r="CE27">
        <v>112735</v>
      </c>
      <c r="CF27" t="s">
        <v>162</v>
      </c>
      <c r="CG27" t="s">
        <v>163</v>
      </c>
      <c r="CH27">
        <v>2008</v>
      </c>
    </row>
    <row r="28" spans="1:86" hidden="1" x14ac:dyDescent="0.25">
      <c r="A28">
        <v>330541</v>
      </c>
      <c r="B28" t="s">
        <v>86</v>
      </c>
      <c r="D28" t="s">
        <v>115</v>
      </c>
      <c r="K28" t="s">
        <v>164</v>
      </c>
      <c r="L28" t="s">
        <v>117</v>
      </c>
      <c r="M28" t="s">
        <v>90</v>
      </c>
      <c r="N28" t="s">
        <v>118</v>
      </c>
      <c r="V28" t="s">
        <v>91</v>
      </c>
      <c r="W28" t="s">
        <v>92</v>
      </c>
      <c r="X28" t="s">
        <v>93</v>
      </c>
      <c r="Y28" t="s">
        <v>136</v>
      </c>
      <c r="Z28" t="s">
        <v>137</v>
      </c>
      <c r="AB28">
        <v>5.8999999999999997E-2</v>
      </c>
      <c r="AG28" t="s">
        <v>95</v>
      </c>
      <c r="AX28" t="s">
        <v>108</v>
      </c>
      <c r="AY28" t="s">
        <v>120</v>
      </c>
      <c r="AZ28" t="s">
        <v>138</v>
      </c>
      <c r="BC28">
        <v>4</v>
      </c>
      <c r="BH28" t="s">
        <v>99</v>
      </c>
      <c r="BO28" t="s">
        <v>111</v>
      </c>
      <c r="CD28" t="s">
        <v>155</v>
      </c>
      <c r="CE28">
        <v>166447</v>
      </c>
      <c r="CF28" t="s">
        <v>156</v>
      </c>
      <c r="CG28" t="s">
        <v>157</v>
      </c>
      <c r="CH28">
        <v>2014</v>
      </c>
    </row>
    <row r="29" spans="1:86" hidden="1" x14ac:dyDescent="0.25">
      <c r="A29">
        <v>330541</v>
      </c>
      <c r="B29" t="s">
        <v>86</v>
      </c>
      <c r="D29" t="s">
        <v>115</v>
      </c>
      <c r="K29" t="s">
        <v>131</v>
      </c>
      <c r="L29" t="s">
        <v>117</v>
      </c>
      <c r="M29" t="s">
        <v>90</v>
      </c>
      <c r="N29" t="s">
        <v>118</v>
      </c>
      <c r="V29" t="s">
        <v>91</v>
      </c>
      <c r="W29" t="s">
        <v>92</v>
      </c>
      <c r="X29" t="s">
        <v>93</v>
      </c>
      <c r="Y29" t="s">
        <v>136</v>
      </c>
      <c r="Z29" t="s">
        <v>137</v>
      </c>
      <c r="AB29">
        <v>9.6000000000000002E-2</v>
      </c>
      <c r="AD29">
        <v>0</v>
      </c>
      <c r="AF29">
        <v>0.20699999999999999</v>
      </c>
      <c r="AG29" t="s">
        <v>95</v>
      </c>
      <c r="AX29" t="s">
        <v>108</v>
      </c>
      <c r="AY29" t="s">
        <v>120</v>
      </c>
      <c r="AZ29" t="s">
        <v>138</v>
      </c>
      <c r="BC29">
        <v>4</v>
      </c>
      <c r="BH29" t="s">
        <v>99</v>
      </c>
      <c r="BO29" t="s">
        <v>111</v>
      </c>
      <c r="CD29" t="s">
        <v>139</v>
      </c>
      <c r="CE29">
        <v>166513</v>
      </c>
      <c r="CF29" t="s">
        <v>140</v>
      </c>
      <c r="CG29" t="s">
        <v>141</v>
      </c>
      <c r="CH29">
        <v>2013</v>
      </c>
    </row>
    <row r="30" spans="1:86" hidden="1" x14ac:dyDescent="0.25">
      <c r="A30">
        <v>330541</v>
      </c>
      <c r="B30" t="s">
        <v>86</v>
      </c>
      <c r="C30" t="s">
        <v>104</v>
      </c>
      <c r="D30" t="s">
        <v>105</v>
      </c>
      <c r="E30" t="s">
        <v>149</v>
      </c>
      <c r="F30">
        <v>99</v>
      </c>
      <c r="K30" t="s">
        <v>165</v>
      </c>
      <c r="L30" t="s">
        <v>117</v>
      </c>
      <c r="M30" t="s">
        <v>90</v>
      </c>
      <c r="V30" t="s">
        <v>91</v>
      </c>
      <c r="W30" t="s">
        <v>92</v>
      </c>
      <c r="X30" t="s">
        <v>93</v>
      </c>
      <c r="Y30">
        <v>5</v>
      </c>
      <c r="Z30" t="s">
        <v>94</v>
      </c>
      <c r="AB30">
        <v>8.9999999999999998E-4</v>
      </c>
      <c r="AG30" t="s">
        <v>95</v>
      </c>
      <c r="AX30" t="s">
        <v>108</v>
      </c>
      <c r="AY30" t="s">
        <v>150</v>
      </c>
      <c r="AZ30" t="s">
        <v>138</v>
      </c>
      <c r="BC30">
        <v>2</v>
      </c>
      <c r="BH30" t="s">
        <v>99</v>
      </c>
      <c r="BO30" t="s">
        <v>111</v>
      </c>
      <c r="CD30" t="s">
        <v>151</v>
      </c>
      <c r="CE30">
        <v>174505</v>
      </c>
      <c r="CF30" t="s">
        <v>152</v>
      </c>
      <c r="CG30" t="s">
        <v>153</v>
      </c>
      <c r="CH30">
        <v>2016</v>
      </c>
    </row>
    <row r="31" spans="1:86" hidden="1" x14ac:dyDescent="0.25">
      <c r="A31">
        <v>330541</v>
      </c>
      <c r="B31" t="s">
        <v>86</v>
      </c>
      <c r="D31" t="s">
        <v>115</v>
      </c>
      <c r="K31" t="s">
        <v>116</v>
      </c>
      <c r="L31" t="s">
        <v>117</v>
      </c>
      <c r="M31" t="s">
        <v>90</v>
      </c>
      <c r="N31" t="s">
        <v>118</v>
      </c>
      <c r="V31" t="s">
        <v>91</v>
      </c>
      <c r="W31" t="s">
        <v>92</v>
      </c>
      <c r="X31" t="s">
        <v>93</v>
      </c>
      <c r="Y31" t="s">
        <v>136</v>
      </c>
      <c r="Z31" t="s">
        <v>137</v>
      </c>
      <c r="AB31">
        <v>1.7999999999999999E-2</v>
      </c>
      <c r="AD31">
        <v>9.1400000000000006E-3</v>
      </c>
      <c r="AF31">
        <v>2.5999999999999999E-2</v>
      </c>
      <c r="AG31" t="s">
        <v>95</v>
      </c>
      <c r="AX31" t="s">
        <v>108</v>
      </c>
      <c r="AY31" t="s">
        <v>120</v>
      </c>
      <c r="AZ31" t="s">
        <v>138</v>
      </c>
      <c r="BC31">
        <v>4</v>
      </c>
      <c r="BH31" t="s">
        <v>99</v>
      </c>
      <c r="BO31" t="s">
        <v>111</v>
      </c>
      <c r="CD31" t="s">
        <v>139</v>
      </c>
      <c r="CE31">
        <v>166513</v>
      </c>
      <c r="CF31" t="s">
        <v>140</v>
      </c>
      <c r="CG31" t="s">
        <v>141</v>
      </c>
      <c r="CH31">
        <v>2013</v>
      </c>
    </row>
    <row r="32" spans="1:86" hidden="1" x14ac:dyDescent="0.25">
      <c r="A32">
        <v>330541</v>
      </c>
      <c r="B32" t="s">
        <v>86</v>
      </c>
      <c r="D32" t="s">
        <v>115</v>
      </c>
      <c r="K32" t="s">
        <v>166</v>
      </c>
      <c r="L32" t="s">
        <v>117</v>
      </c>
      <c r="M32" t="s">
        <v>90</v>
      </c>
      <c r="V32" t="s">
        <v>91</v>
      </c>
      <c r="W32" t="s">
        <v>92</v>
      </c>
      <c r="X32" t="s">
        <v>93</v>
      </c>
      <c r="Y32">
        <v>8</v>
      </c>
      <c r="Z32" t="s">
        <v>137</v>
      </c>
      <c r="AB32">
        <v>2.1000000000000001E-2</v>
      </c>
      <c r="AD32">
        <v>1.4E-2</v>
      </c>
      <c r="AF32">
        <v>2.8000000000000001E-2</v>
      </c>
      <c r="AG32" t="s">
        <v>95</v>
      </c>
      <c r="AX32" t="s">
        <v>108</v>
      </c>
      <c r="AY32" t="s">
        <v>120</v>
      </c>
      <c r="AZ32" t="s">
        <v>138</v>
      </c>
      <c r="BC32">
        <v>4</v>
      </c>
      <c r="BH32" t="s">
        <v>99</v>
      </c>
      <c r="BO32" t="s">
        <v>111</v>
      </c>
      <c r="CD32" t="s">
        <v>139</v>
      </c>
      <c r="CE32">
        <v>166513</v>
      </c>
      <c r="CF32" t="s">
        <v>140</v>
      </c>
      <c r="CG32" t="s">
        <v>141</v>
      </c>
      <c r="CH32">
        <v>2013</v>
      </c>
    </row>
    <row r="33" spans="1:86" hidden="1" x14ac:dyDescent="0.25">
      <c r="A33">
        <v>330541</v>
      </c>
      <c r="B33" t="s">
        <v>86</v>
      </c>
      <c r="D33" t="s">
        <v>115</v>
      </c>
      <c r="K33" t="s">
        <v>126</v>
      </c>
      <c r="L33" t="s">
        <v>117</v>
      </c>
      <c r="M33" t="s">
        <v>90</v>
      </c>
      <c r="V33" t="s">
        <v>91</v>
      </c>
      <c r="W33" t="s">
        <v>92</v>
      </c>
      <c r="X33" t="s">
        <v>93</v>
      </c>
      <c r="Y33">
        <v>8</v>
      </c>
      <c r="Z33" t="s">
        <v>137</v>
      </c>
      <c r="AB33">
        <v>2.4E-2</v>
      </c>
      <c r="AD33">
        <v>0.02</v>
      </c>
      <c r="AF33">
        <v>2.8000000000000001E-2</v>
      </c>
      <c r="AG33" t="s">
        <v>95</v>
      </c>
      <c r="AX33" t="s">
        <v>108</v>
      </c>
      <c r="AY33" t="s">
        <v>120</v>
      </c>
      <c r="AZ33" t="s">
        <v>138</v>
      </c>
      <c r="BC33">
        <v>4</v>
      </c>
      <c r="BH33" t="s">
        <v>99</v>
      </c>
      <c r="BO33" t="s">
        <v>111</v>
      </c>
      <c r="CD33" t="s">
        <v>139</v>
      </c>
      <c r="CE33">
        <v>166513</v>
      </c>
      <c r="CF33" t="s">
        <v>140</v>
      </c>
      <c r="CG33" t="s">
        <v>141</v>
      </c>
      <c r="CH33">
        <v>2013</v>
      </c>
    </row>
    <row r="34" spans="1:86" hidden="1" x14ac:dyDescent="0.25">
      <c r="A34">
        <v>330541</v>
      </c>
      <c r="B34" t="s">
        <v>86</v>
      </c>
      <c r="D34" t="s">
        <v>115</v>
      </c>
      <c r="F34">
        <v>98</v>
      </c>
      <c r="K34" t="s">
        <v>167</v>
      </c>
      <c r="L34" t="s">
        <v>143</v>
      </c>
      <c r="M34" t="s">
        <v>90</v>
      </c>
      <c r="V34" t="s">
        <v>168</v>
      </c>
      <c r="W34" t="s">
        <v>107</v>
      </c>
      <c r="X34" t="s">
        <v>93</v>
      </c>
      <c r="Z34" t="s">
        <v>94</v>
      </c>
      <c r="AB34">
        <v>4.4000000000000002E-4</v>
      </c>
      <c r="AD34">
        <v>1.9000000000000001E-4</v>
      </c>
      <c r="AF34">
        <v>1E-3</v>
      </c>
      <c r="AG34" t="s">
        <v>95</v>
      </c>
      <c r="AX34" t="s">
        <v>108</v>
      </c>
      <c r="AY34" t="s">
        <v>160</v>
      </c>
      <c r="AZ34" t="s">
        <v>138</v>
      </c>
      <c r="BC34">
        <v>7</v>
      </c>
      <c r="BH34" t="s">
        <v>99</v>
      </c>
      <c r="BO34" t="s">
        <v>111</v>
      </c>
      <c r="CD34" t="s">
        <v>169</v>
      </c>
      <c r="CE34">
        <v>156339</v>
      </c>
      <c r="CF34" t="s">
        <v>170</v>
      </c>
      <c r="CG34" t="s">
        <v>171</v>
      </c>
      <c r="CH34">
        <v>2011</v>
      </c>
    </row>
    <row r="35" spans="1:86" hidden="1" x14ac:dyDescent="0.25">
      <c r="A35">
        <v>330541</v>
      </c>
      <c r="B35" t="s">
        <v>86</v>
      </c>
      <c r="D35" t="s">
        <v>115</v>
      </c>
      <c r="K35" t="s">
        <v>135</v>
      </c>
      <c r="L35" t="s">
        <v>117</v>
      </c>
      <c r="M35" t="s">
        <v>90</v>
      </c>
      <c r="N35" t="s">
        <v>118</v>
      </c>
      <c r="V35" t="s">
        <v>91</v>
      </c>
      <c r="W35" t="s">
        <v>92</v>
      </c>
      <c r="X35" t="s">
        <v>93</v>
      </c>
      <c r="Y35" t="s">
        <v>136</v>
      </c>
      <c r="Z35" t="s">
        <v>137</v>
      </c>
      <c r="AB35">
        <v>1.016</v>
      </c>
      <c r="AD35">
        <v>0.59799999999999998</v>
      </c>
      <c r="AF35">
        <v>1.4339999999999999</v>
      </c>
      <c r="AG35" t="s">
        <v>95</v>
      </c>
      <c r="AX35" t="s">
        <v>108</v>
      </c>
      <c r="AY35" t="s">
        <v>120</v>
      </c>
      <c r="AZ35" t="s">
        <v>138</v>
      </c>
      <c r="BC35">
        <v>4</v>
      </c>
      <c r="BH35" t="s">
        <v>99</v>
      </c>
      <c r="BO35" t="s">
        <v>111</v>
      </c>
      <c r="CD35" t="s">
        <v>139</v>
      </c>
      <c r="CE35">
        <v>166513</v>
      </c>
      <c r="CF35" t="s">
        <v>140</v>
      </c>
      <c r="CG35" t="s">
        <v>141</v>
      </c>
      <c r="CH35">
        <v>2013</v>
      </c>
    </row>
    <row r="36" spans="1:86" hidden="1" x14ac:dyDescent="0.25">
      <c r="A36">
        <v>330541</v>
      </c>
      <c r="B36" t="s">
        <v>86</v>
      </c>
      <c r="C36" t="s">
        <v>104</v>
      </c>
      <c r="D36" t="s">
        <v>105</v>
      </c>
      <c r="E36" t="s">
        <v>149</v>
      </c>
      <c r="F36">
        <v>99</v>
      </c>
      <c r="K36" t="s">
        <v>126</v>
      </c>
      <c r="L36" t="s">
        <v>117</v>
      </c>
      <c r="M36" t="s">
        <v>90</v>
      </c>
      <c r="V36" t="s">
        <v>91</v>
      </c>
      <c r="W36" t="s">
        <v>92</v>
      </c>
      <c r="X36" t="s">
        <v>93</v>
      </c>
      <c r="Y36">
        <v>5</v>
      </c>
      <c r="Z36" t="s">
        <v>94</v>
      </c>
      <c r="AB36">
        <v>3.0000000000000001E-3</v>
      </c>
      <c r="AG36" t="s">
        <v>95</v>
      </c>
      <c r="AX36" t="s">
        <v>108</v>
      </c>
      <c r="AY36" t="s">
        <v>150</v>
      </c>
      <c r="AZ36" t="s">
        <v>138</v>
      </c>
      <c r="BC36">
        <v>2</v>
      </c>
      <c r="BH36" t="s">
        <v>99</v>
      </c>
      <c r="BO36" t="s">
        <v>111</v>
      </c>
      <c r="CD36" t="s">
        <v>151</v>
      </c>
      <c r="CE36">
        <v>174505</v>
      </c>
      <c r="CF36" t="s">
        <v>152</v>
      </c>
      <c r="CG36" t="s">
        <v>153</v>
      </c>
      <c r="CH36">
        <v>2016</v>
      </c>
    </row>
    <row r="37" spans="1:86" hidden="1" x14ac:dyDescent="0.25">
      <c r="A37">
        <v>330541</v>
      </c>
      <c r="B37" t="s">
        <v>86</v>
      </c>
      <c r="D37" t="s">
        <v>115</v>
      </c>
      <c r="K37" t="s">
        <v>172</v>
      </c>
      <c r="L37" t="s">
        <v>117</v>
      </c>
      <c r="M37" t="s">
        <v>90</v>
      </c>
      <c r="V37" t="s">
        <v>91</v>
      </c>
      <c r="W37" t="s">
        <v>92</v>
      </c>
      <c r="X37" t="s">
        <v>93</v>
      </c>
      <c r="Y37">
        <v>8</v>
      </c>
      <c r="Z37" t="s">
        <v>137</v>
      </c>
      <c r="AB37">
        <v>0.69299999999999995</v>
      </c>
      <c r="AD37">
        <v>0</v>
      </c>
      <c r="AF37">
        <v>1.5049999999999999</v>
      </c>
      <c r="AG37" t="s">
        <v>95</v>
      </c>
      <c r="AX37" t="s">
        <v>108</v>
      </c>
      <c r="AY37" t="s">
        <v>120</v>
      </c>
      <c r="AZ37" t="s">
        <v>138</v>
      </c>
      <c r="BC37">
        <v>4</v>
      </c>
      <c r="BH37" t="s">
        <v>99</v>
      </c>
      <c r="BO37" t="s">
        <v>111</v>
      </c>
      <c r="CD37" t="s">
        <v>139</v>
      </c>
      <c r="CE37">
        <v>166513</v>
      </c>
      <c r="CF37" t="s">
        <v>140</v>
      </c>
      <c r="CG37" t="s">
        <v>141</v>
      </c>
      <c r="CH37">
        <v>2013</v>
      </c>
    </row>
    <row r="38" spans="1:86" hidden="1" x14ac:dyDescent="0.25">
      <c r="A38">
        <v>330541</v>
      </c>
      <c r="B38" t="s">
        <v>86</v>
      </c>
      <c r="C38" t="s">
        <v>158</v>
      </c>
      <c r="D38" t="s">
        <v>115</v>
      </c>
      <c r="K38" t="s">
        <v>173</v>
      </c>
      <c r="L38" t="s">
        <v>117</v>
      </c>
      <c r="M38" t="s">
        <v>90</v>
      </c>
      <c r="N38" t="s">
        <v>118</v>
      </c>
      <c r="V38" t="s">
        <v>91</v>
      </c>
      <c r="W38" t="s">
        <v>107</v>
      </c>
      <c r="X38" t="s">
        <v>93</v>
      </c>
      <c r="Y38">
        <v>8</v>
      </c>
      <c r="Z38" t="s">
        <v>94</v>
      </c>
      <c r="AB38">
        <v>1.00231796E-3</v>
      </c>
      <c r="AG38" t="s">
        <v>95</v>
      </c>
      <c r="AX38" t="s">
        <v>108</v>
      </c>
      <c r="AY38" t="s">
        <v>109</v>
      </c>
      <c r="AZ38" t="s">
        <v>138</v>
      </c>
      <c r="BC38">
        <v>3</v>
      </c>
      <c r="BH38" t="s">
        <v>99</v>
      </c>
      <c r="BO38" t="s">
        <v>111</v>
      </c>
      <c r="CD38" t="s">
        <v>161</v>
      </c>
      <c r="CE38">
        <v>112735</v>
      </c>
      <c r="CF38" t="s">
        <v>162</v>
      </c>
      <c r="CG38" t="s">
        <v>163</v>
      </c>
      <c r="CH38">
        <v>2008</v>
      </c>
    </row>
    <row r="39" spans="1:86" hidden="1" x14ac:dyDescent="0.25">
      <c r="A39">
        <v>330541</v>
      </c>
      <c r="B39" t="s">
        <v>86</v>
      </c>
      <c r="C39" t="s">
        <v>158</v>
      </c>
      <c r="D39" t="s">
        <v>115</v>
      </c>
      <c r="K39" t="s">
        <v>159</v>
      </c>
      <c r="L39" t="s">
        <v>90</v>
      </c>
      <c r="M39" t="s">
        <v>90</v>
      </c>
      <c r="N39" t="s">
        <v>118</v>
      </c>
      <c r="V39" t="s">
        <v>91</v>
      </c>
      <c r="W39" t="s">
        <v>107</v>
      </c>
      <c r="X39" t="s">
        <v>93</v>
      </c>
      <c r="Y39">
        <v>8</v>
      </c>
      <c r="Z39" t="s">
        <v>94</v>
      </c>
      <c r="AB39">
        <v>2.1678039599999999E-3</v>
      </c>
      <c r="AG39" t="s">
        <v>95</v>
      </c>
      <c r="AX39" t="s">
        <v>108</v>
      </c>
      <c r="AY39" t="s">
        <v>174</v>
      </c>
      <c r="AZ39" t="s">
        <v>138</v>
      </c>
      <c r="BC39">
        <v>3</v>
      </c>
      <c r="BH39" t="s">
        <v>99</v>
      </c>
      <c r="BO39" t="s">
        <v>111</v>
      </c>
      <c r="CD39" t="s">
        <v>161</v>
      </c>
      <c r="CE39">
        <v>112735</v>
      </c>
      <c r="CF39" t="s">
        <v>162</v>
      </c>
      <c r="CG39" t="s">
        <v>163</v>
      </c>
      <c r="CH39">
        <v>2008</v>
      </c>
    </row>
    <row r="40" spans="1:86" hidden="1" x14ac:dyDescent="0.25">
      <c r="A40">
        <v>330541</v>
      </c>
      <c r="B40" t="s">
        <v>86</v>
      </c>
      <c r="C40" t="s">
        <v>104</v>
      </c>
      <c r="D40" t="s">
        <v>105</v>
      </c>
      <c r="E40" t="s">
        <v>149</v>
      </c>
      <c r="F40">
        <v>99</v>
      </c>
      <c r="K40" t="s">
        <v>175</v>
      </c>
      <c r="L40" t="s">
        <v>117</v>
      </c>
      <c r="M40" t="s">
        <v>90</v>
      </c>
      <c r="V40" t="s">
        <v>91</v>
      </c>
      <c r="W40" t="s">
        <v>92</v>
      </c>
      <c r="X40" t="s">
        <v>93</v>
      </c>
      <c r="Y40">
        <v>5</v>
      </c>
      <c r="Z40" t="s">
        <v>94</v>
      </c>
      <c r="AB40">
        <v>4.0000000000000003E-5</v>
      </c>
      <c r="AG40" t="s">
        <v>95</v>
      </c>
      <c r="AX40" t="s">
        <v>108</v>
      </c>
      <c r="AY40" t="s">
        <v>150</v>
      </c>
      <c r="AZ40" t="s">
        <v>138</v>
      </c>
      <c r="BC40">
        <v>2</v>
      </c>
      <c r="BH40" t="s">
        <v>99</v>
      </c>
      <c r="BO40" t="s">
        <v>111</v>
      </c>
      <c r="CD40" t="s">
        <v>151</v>
      </c>
      <c r="CE40">
        <v>174505</v>
      </c>
      <c r="CF40" t="s">
        <v>152</v>
      </c>
      <c r="CG40" t="s">
        <v>153</v>
      </c>
      <c r="CH40">
        <v>2016</v>
      </c>
    </row>
    <row r="41" spans="1:86" hidden="1" x14ac:dyDescent="0.25">
      <c r="A41">
        <v>330541</v>
      </c>
      <c r="B41" t="s">
        <v>86</v>
      </c>
      <c r="D41" t="s">
        <v>115</v>
      </c>
      <c r="K41" t="s">
        <v>176</v>
      </c>
      <c r="L41" t="s">
        <v>90</v>
      </c>
      <c r="M41" t="s">
        <v>90</v>
      </c>
      <c r="N41" t="s">
        <v>118</v>
      </c>
      <c r="V41" t="s">
        <v>91</v>
      </c>
      <c r="W41" t="s">
        <v>92</v>
      </c>
      <c r="X41" t="s">
        <v>93</v>
      </c>
      <c r="Y41" t="s">
        <v>136</v>
      </c>
      <c r="Z41" t="s">
        <v>137</v>
      </c>
      <c r="AB41">
        <v>0.40300000000000002</v>
      </c>
      <c r="AG41" t="s">
        <v>95</v>
      </c>
      <c r="AX41" t="s">
        <v>108</v>
      </c>
      <c r="AY41" t="s">
        <v>120</v>
      </c>
      <c r="AZ41" t="s">
        <v>138</v>
      </c>
      <c r="BC41">
        <v>4</v>
      </c>
      <c r="BH41" t="s">
        <v>99</v>
      </c>
      <c r="BO41" t="s">
        <v>111</v>
      </c>
      <c r="CD41" t="s">
        <v>155</v>
      </c>
      <c r="CE41">
        <v>166447</v>
      </c>
      <c r="CF41" t="s">
        <v>156</v>
      </c>
      <c r="CG41" t="s">
        <v>157</v>
      </c>
      <c r="CH41">
        <v>2014</v>
      </c>
    </row>
    <row r="42" spans="1:86" hidden="1" x14ac:dyDescent="0.25">
      <c r="A42">
        <v>330541</v>
      </c>
      <c r="B42" t="s">
        <v>86</v>
      </c>
      <c r="D42" t="s">
        <v>115</v>
      </c>
      <c r="F42">
        <v>98</v>
      </c>
      <c r="K42" t="s">
        <v>177</v>
      </c>
      <c r="L42" t="s">
        <v>178</v>
      </c>
      <c r="M42" t="s">
        <v>90</v>
      </c>
      <c r="V42" t="s">
        <v>168</v>
      </c>
      <c r="W42" t="s">
        <v>107</v>
      </c>
      <c r="X42" t="s">
        <v>93</v>
      </c>
      <c r="Z42" t="s">
        <v>94</v>
      </c>
      <c r="AB42">
        <v>22</v>
      </c>
      <c r="AD42">
        <v>17</v>
      </c>
      <c r="AF42">
        <v>28</v>
      </c>
      <c r="AG42" t="s">
        <v>95</v>
      </c>
      <c r="AX42" t="s">
        <v>144</v>
      </c>
      <c r="AY42" t="s">
        <v>145</v>
      </c>
      <c r="AZ42" t="s">
        <v>138</v>
      </c>
      <c r="BA42" t="s">
        <v>179</v>
      </c>
      <c r="BC42">
        <v>1</v>
      </c>
      <c r="BH42" t="s">
        <v>99</v>
      </c>
      <c r="BO42" t="s">
        <v>111</v>
      </c>
      <c r="CD42" t="s">
        <v>169</v>
      </c>
      <c r="CE42">
        <v>156339</v>
      </c>
      <c r="CF42" t="s">
        <v>170</v>
      </c>
      <c r="CG42" t="s">
        <v>171</v>
      </c>
      <c r="CH42">
        <v>2011</v>
      </c>
    </row>
    <row r="43" spans="1:86" hidden="1" x14ac:dyDescent="0.25">
      <c r="A43">
        <v>330541</v>
      </c>
      <c r="B43" t="s">
        <v>86</v>
      </c>
      <c r="C43" t="s">
        <v>104</v>
      </c>
      <c r="D43" t="s">
        <v>105</v>
      </c>
      <c r="E43" t="s">
        <v>149</v>
      </c>
      <c r="F43">
        <v>99</v>
      </c>
      <c r="K43" t="s">
        <v>180</v>
      </c>
      <c r="L43" t="s">
        <v>117</v>
      </c>
      <c r="M43" t="s">
        <v>90</v>
      </c>
      <c r="V43" t="s">
        <v>91</v>
      </c>
      <c r="W43" t="s">
        <v>92</v>
      </c>
      <c r="X43" t="s">
        <v>93</v>
      </c>
      <c r="Y43">
        <v>5</v>
      </c>
      <c r="Z43" t="s">
        <v>94</v>
      </c>
      <c r="AB43">
        <v>1.0999999999999999E-2</v>
      </c>
      <c r="AG43" t="s">
        <v>95</v>
      </c>
      <c r="AX43" t="s">
        <v>108</v>
      </c>
      <c r="AY43" t="s">
        <v>150</v>
      </c>
      <c r="AZ43" t="s">
        <v>138</v>
      </c>
      <c r="BC43">
        <v>2</v>
      </c>
      <c r="BH43" t="s">
        <v>99</v>
      </c>
      <c r="BO43" t="s">
        <v>111</v>
      </c>
      <c r="CD43" t="s">
        <v>151</v>
      </c>
      <c r="CE43">
        <v>174505</v>
      </c>
      <c r="CF43" t="s">
        <v>152</v>
      </c>
      <c r="CG43" t="s">
        <v>153</v>
      </c>
      <c r="CH43">
        <v>2016</v>
      </c>
    </row>
    <row r="44" spans="1:86" hidden="1" x14ac:dyDescent="0.25">
      <c r="A44">
        <v>330541</v>
      </c>
      <c r="B44" t="s">
        <v>86</v>
      </c>
      <c r="D44" t="s">
        <v>115</v>
      </c>
      <c r="K44" t="s">
        <v>133</v>
      </c>
      <c r="L44" t="s">
        <v>134</v>
      </c>
      <c r="M44" t="s">
        <v>90</v>
      </c>
      <c r="V44" t="s">
        <v>91</v>
      </c>
      <c r="W44" t="s">
        <v>92</v>
      </c>
      <c r="X44" t="s">
        <v>93</v>
      </c>
      <c r="Y44">
        <v>8</v>
      </c>
      <c r="Z44" t="s">
        <v>137</v>
      </c>
      <c r="AB44">
        <v>0.185</v>
      </c>
      <c r="AD44">
        <v>2.4E-2</v>
      </c>
      <c r="AF44">
        <v>0.34599999999999997</v>
      </c>
      <c r="AG44" t="s">
        <v>95</v>
      </c>
      <c r="AX44" t="s">
        <v>108</v>
      </c>
      <c r="AY44" t="s">
        <v>120</v>
      </c>
      <c r="AZ44" t="s">
        <v>138</v>
      </c>
      <c r="BC44">
        <v>4</v>
      </c>
      <c r="BH44" t="s">
        <v>99</v>
      </c>
      <c r="BO44" t="s">
        <v>111</v>
      </c>
      <c r="CD44" t="s">
        <v>139</v>
      </c>
      <c r="CE44">
        <v>166513</v>
      </c>
      <c r="CF44" t="s">
        <v>140</v>
      </c>
      <c r="CG44" t="s">
        <v>141</v>
      </c>
      <c r="CH44">
        <v>2013</v>
      </c>
    </row>
    <row r="45" spans="1:86" hidden="1" x14ac:dyDescent="0.25">
      <c r="A45">
        <v>330541</v>
      </c>
      <c r="B45" t="s">
        <v>86</v>
      </c>
      <c r="D45" t="s">
        <v>115</v>
      </c>
      <c r="K45" t="s">
        <v>127</v>
      </c>
      <c r="L45" t="s">
        <v>117</v>
      </c>
      <c r="M45" t="s">
        <v>90</v>
      </c>
      <c r="V45" t="s">
        <v>91</v>
      </c>
      <c r="W45" t="s">
        <v>92</v>
      </c>
      <c r="X45" t="s">
        <v>93</v>
      </c>
      <c r="Y45">
        <v>8</v>
      </c>
      <c r="Z45" t="s">
        <v>137</v>
      </c>
      <c r="AB45">
        <v>0.09</v>
      </c>
      <c r="AD45">
        <v>0</v>
      </c>
      <c r="AF45">
        <v>0.222</v>
      </c>
      <c r="AG45" t="s">
        <v>95</v>
      </c>
      <c r="AX45" t="s">
        <v>108</v>
      </c>
      <c r="AY45" t="s">
        <v>120</v>
      </c>
      <c r="AZ45" t="s">
        <v>138</v>
      </c>
      <c r="BC45">
        <v>4</v>
      </c>
      <c r="BH45" t="s">
        <v>99</v>
      </c>
      <c r="BO45" t="s">
        <v>111</v>
      </c>
      <c r="CD45" t="s">
        <v>139</v>
      </c>
      <c r="CE45">
        <v>166513</v>
      </c>
      <c r="CF45" t="s">
        <v>140</v>
      </c>
      <c r="CG45" t="s">
        <v>141</v>
      </c>
      <c r="CH45">
        <v>2013</v>
      </c>
    </row>
    <row r="46" spans="1:86" hidden="1" x14ac:dyDescent="0.25">
      <c r="A46">
        <v>330541</v>
      </c>
      <c r="B46" t="s">
        <v>86</v>
      </c>
      <c r="D46" t="s">
        <v>115</v>
      </c>
      <c r="K46" t="s">
        <v>126</v>
      </c>
      <c r="L46" t="s">
        <v>117</v>
      </c>
      <c r="M46" t="s">
        <v>90</v>
      </c>
      <c r="N46" t="s">
        <v>118</v>
      </c>
      <c r="V46" t="s">
        <v>91</v>
      </c>
      <c r="W46" t="s">
        <v>92</v>
      </c>
      <c r="X46" t="s">
        <v>93</v>
      </c>
      <c r="Y46" t="s">
        <v>136</v>
      </c>
      <c r="Z46" t="s">
        <v>137</v>
      </c>
      <c r="AB46">
        <v>0.214</v>
      </c>
      <c r="AD46">
        <v>0</v>
      </c>
      <c r="AF46">
        <v>0.433</v>
      </c>
      <c r="AG46" t="s">
        <v>95</v>
      </c>
      <c r="AX46" t="s">
        <v>108</v>
      </c>
      <c r="AY46" t="s">
        <v>120</v>
      </c>
      <c r="AZ46" t="s">
        <v>138</v>
      </c>
      <c r="BC46">
        <v>4</v>
      </c>
      <c r="BH46" t="s">
        <v>99</v>
      </c>
      <c r="BO46" t="s">
        <v>111</v>
      </c>
      <c r="CD46" t="s">
        <v>139</v>
      </c>
      <c r="CE46">
        <v>166513</v>
      </c>
      <c r="CF46" t="s">
        <v>140</v>
      </c>
      <c r="CG46" t="s">
        <v>141</v>
      </c>
      <c r="CH46">
        <v>2013</v>
      </c>
    </row>
    <row r="47" spans="1:86" hidden="1" x14ac:dyDescent="0.25">
      <c r="A47">
        <v>330541</v>
      </c>
      <c r="B47" t="s">
        <v>86</v>
      </c>
      <c r="D47" t="s">
        <v>115</v>
      </c>
      <c r="K47" t="s">
        <v>128</v>
      </c>
      <c r="L47" t="s">
        <v>117</v>
      </c>
      <c r="M47" t="s">
        <v>90</v>
      </c>
      <c r="V47" t="s">
        <v>91</v>
      </c>
      <c r="W47" t="s">
        <v>92</v>
      </c>
      <c r="X47" t="s">
        <v>93</v>
      </c>
      <c r="Y47">
        <v>8</v>
      </c>
      <c r="Z47" t="s">
        <v>137</v>
      </c>
      <c r="AB47">
        <v>0.38</v>
      </c>
      <c r="AD47">
        <v>6.4000000000000001E-2</v>
      </c>
      <c r="AF47">
        <v>0.69699999999999995</v>
      </c>
      <c r="AG47" t="s">
        <v>95</v>
      </c>
      <c r="AX47" t="s">
        <v>108</v>
      </c>
      <c r="AY47" t="s">
        <v>120</v>
      </c>
      <c r="AZ47" t="s">
        <v>138</v>
      </c>
      <c r="BC47">
        <v>4</v>
      </c>
      <c r="BH47" t="s">
        <v>99</v>
      </c>
      <c r="BO47" t="s">
        <v>111</v>
      </c>
      <c r="CD47" t="s">
        <v>139</v>
      </c>
      <c r="CE47">
        <v>166513</v>
      </c>
      <c r="CF47" t="s">
        <v>140</v>
      </c>
      <c r="CG47" t="s">
        <v>141</v>
      </c>
      <c r="CH47">
        <v>2013</v>
      </c>
    </row>
    <row r="48" spans="1:86" hidden="1" x14ac:dyDescent="0.25">
      <c r="A48">
        <v>330541</v>
      </c>
      <c r="B48" t="s">
        <v>86</v>
      </c>
      <c r="D48" t="s">
        <v>115</v>
      </c>
      <c r="K48" t="s">
        <v>128</v>
      </c>
      <c r="L48" t="s">
        <v>117</v>
      </c>
      <c r="M48" t="s">
        <v>90</v>
      </c>
      <c r="N48" t="s">
        <v>118</v>
      </c>
      <c r="V48" t="s">
        <v>91</v>
      </c>
      <c r="W48" t="s">
        <v>92</v>
      </c>
      <c r="X48" t="s">
        <v>93</v>
      </c>
      <c r="Y48" t="s">
        <v>136</v>
      </c>
      <c r="Z48" t="s">
        <v>137</v>
      </c>
      <c r="AB48">
        <v>0.19600000000000001</v>
      </c>
      <c r="AD48">
        <v>3.6999999999999998E-2</v>
      </c>
      <c r="AF48">
        <v>0.35399999999999998</v>
      </c>
      <c r="AG48" t="s">
        <v>95</v>
      </c>
      <c r="AX48" t="s">
        <v>108</v>
      </c>
      <c r="AY48" t="s">
        <v>120</v>
      </c>
      <c r="AZ48" t="s">
        <v>138</v>
      </c>
      <c r="BC48">
        <v>4</v>
      </c>
      <c r="BH48" t="s">
        <v>99</v>
      </c>
      <c r="BO48" t="s">
        <v>111</v>
      </c>
      <c r="CD48" t="s">
        <v>139</v>
      </c>
      <c r="CE48">
        <v>166513</v>
      </c>
      <c r="CF48" t="s">
        <v>140</v>
      </c>
      <c r="CG48" t="s">
        <v>141</v>
      </c>
      <c r="CH48">
        <v>2013</v>
      </c>
    </row>
    <row r="49" spans="1:86" hidden="1" x14ac:dyDescent="0.25">
      <c r="A49">
        <v>330541</v>
      </c>
      <c r="B49" t="s">
        <v>86</v>
      </c>
      <c r="D49" t="s">
        <v>115</v>
      </c>
      <c r="K49" t="s">
        <v>116</v>
      </c>
      <c r="L49" t="s">
        <v>117</v>
      </c>
      <c r="M49" t="s">
        <v>90</v>
      </c>
      <c r="V49" t="s">
        <v>91</v>
      </c>
      <c r="W49" t="s">
        <v>92</v>
      </c>
      <c r="X49" t="s">
        <v>93</v>
      </c>
      <c r="Y49">
        <v>8</v>
      </c>
      <c r="Z49" t="s">
        <v>137</v>
      </c>
      <c r="AB49">
        <v>7.6000000000000004E-4</v>
      </c>
      <c r="AD49">
        <v>6.8999999999999997E-5</v>
      </c>
      <c r="AF49">
        <v>1.4499999999999999E-3</v>
      </c>
      <c r="AG49" t="s">
        <v>95</v>
      </c>
      <c r="AX49" t="s">
        <v>108</v>
      </c>
      <c r="AY49" t="s">
        <v>120</v>
      </c>
      <c r="AZ49" t="s">
        <v>138</v>
      </c>
      <c r="BC49">
        <v>4</v>
      </c>
      <c r="BH49" t="s">
        <v>99</v>
      </c>
      <c r="BO49" t="s">
        <v>111</v>
      </c>
      <c r="CD49" t="s">
        <v>139</v>
      </c>
      <c r="CE49">
        <v>166513</v>
      </c>
      <c r="CF49" t="s">
        <v>140</v>
      </c>
      <c r="CG49" t="s">
        <v>141</v>
      </c>
      <c r="CH49">
        <v>2013</v>
      </c>
    </row>
    <row r="50" spans="1:86" hidden="1" x14ac:dyDescent="0.25">
      <c r="A50">
        <v>330541</v>
      </c>
      <c r="B50" t="s">
        <v>86</v>
      </c>
      <c r="D50" t="s">
        <v>115</v>
      </c>
      <c r="K50" t="s">
        <v>130</v>
      </c>
      <c r="L50" t="s">
        <v>117</v>
      </c>
      <c r="M50" t="s">
        <v>90</v>
      </c>
      <c r="V50" t="s">
        <v>91</v>
      </c>
      <c r="W50" t="s">
        <v>92</v>
      </c>
      <c r="X50" t="s">
        <v>93</v>
      </c>
      <c r="Y50">
        <v>8</v>
      </c>
      <c r="Z50" t="s">
        <v>137</v>
      </c>
      <c r="AB50">
        <v>4.4999999999999998E-2</v>
      </c>
      <c r="AD50">
        <v>2.5000000000000001E-2</v>
      </c>
      <c r="AF50">
        <v>6.6000000000000003E-2</v>
      </c>
      <c r="AG50" t="s">
        <v>95</v>
      </c>
      <c r="AX50" t="s">
        <v>108</v>
      </c>
      <c r="AY50" t="s">
        <v>120</v>
      </c>
      <c r="AZ50" t="s">
        <v>138</v>
      </c>
      <c r="BC50">
        <v>4</v>
      </c>
      <c r="BH50" t="s">
        <v>99</v>
      </c>
      <c r="BO50" t="s">
        <v>111</v>
      </c>
      <c r="CD50" t="s">
        <v>139</v>
      </c>
      <c r="CE50">
        <v>166513</v>
      </c>
      <c r="CF50" t="s">
        <v>140</v>
      </c>
      <c r="CG50" t="s">
        <v>141</v>
      </c>
      <c r="CH50">
        <v>2013</v>
      </c>
    </row>
    <row r="51" spans="1:86" hidden="1" x14ac:dyDescent="0.25">
      <c r="A51">
        <v>330541</v>
      </c>
      <c r="B51" t="s">
        <v>86</v>
      </c>
      <c r="C51" t="s">
        <v>104</v>
      </c>
      <c r="D51" t="s">
        <v>105</v>
      </c>
      <c r="E51" t="s">
        <v>149</v>
      </c>
      <c r="F51">
        <v>99</v>
      </c>
      <c r="K51" t="s">
        <v>181</v>
      </c>
      <c r="L51" t="s">
        <v>117</v>
      </c>
      <c r="M51" t="s">
        <v>90</v>
      </c>
      <c r="V51" t="s">
        <v>91</v>
      </c>
      <c r="W51" t="s">
        <v>92</v>
      </c>
      <c r="X51" t="s">
        <v>93</v>
      </c>
      <c r="Y51">
        <v>5</v>
      </c>
      <c r="Z51" t="s">
        <v>94</v>
      </c>
      <c r="AB51">
        <v>2E-3</v>
      </c>
      <c r="AG51" t="s">
        <v>95</v>
      </c>
      <c r="AX51" t="s">
        <v>108</v>
      </c>
      <c r="AY51" t="s">
        <v>150</v>
      </c>
      <c r="AZ51" t="s">
        <v>138</v>
      </c>
      <c r="BC51">
        <v>2</v>
      </c>
      <c r="BH51" t="s">
        <v>99</v>
      </c>
      <c r="BO51" t="s">
        <v>111</v>
      </c>
      <c r="CD51" t="s">
        <v>151</v>
      </c>
      <c r="CE51">
        <v>174505</v>
      </c>
      <c r="CF51" t="s">
        <v>152</v>
      </c>
      <c r="CG51" t="s">
        <v>153</v>
      </c>
      <c r="CH51">
        <v>2016</v>
      </c>
    </row>
    <row r="52" spans="1:86" hidden="1" x14ac:dyDescent="0.25">
      <c r="A52">
        <v>330541</v>
      </c>
      <c r="B52" t="s">
        <v>86</v>
      </c>
      <c r="D52" t="s">
        <v>115</v>
      </c>
      <c r="K52" t="s">
        <v>127</v>
      </c>
      <c r="L52" t="s">
        <v>117</v>
      </c>
      <c r="M52" t="s">
        <v>90</v>
      </c>
      <c r="N52" t="s">
        <v>118</v>
      </c>
      <c r="V52" t="s">
        <v>91</v>
      </c>
      <c r="W52" t="s">
        <v>92</v>
      </c>
      <c r="X52" t="s">
        <v>93</v>
      </c>
      <c r="Y52" t="s">
        <v>136</v>
      </c>
      <c r="Z52" t="s">
        <v>137</v>
      </c>
      <c r="AB52">
        <v>3.98E-3</v>
      </c>
      <c r="AD52">
        <v>1.9E-3</v>
      </c>
      <c r="AF52">
        <v>6.0600000000000003E-3</v>
      </c>
      <c r="AG52" t="s">
        <v>95</v>
      </c>
      <c r="AX52" t="s">
        <v>108</v>
      </c>
      <c r="AY52" t="s">
        <v>120</v>
      </c>
      <c r="AZ52" t="s">
        <v>138</v>
      </c>
      <c r="BC52">
        <v>4</v>
      </c>
      <c r="BH52" t="s">
        <v>99</v>
      </c>
      <c r="BO52" t="s">
        <v>111</v>
      </c>
      <c r="CD52" t="s">
        <v>139</v>
      </c>
      <c r="CE52">
        <v>166513</v>
      </c>
      <c r="CF52" t="s">
        <v>140</v>
      </c>
      <c r="CG52" t="s">
        <v>141</v>
      </c>
      <c r="CH52">
        <v>2013</v>
      </c>
    </row>
    <row r="53" spans="1:86" hidden="1" x14ac:dyDescent="0.25">
      <c r="A53">
        <v>330541</v>
      </c>
      <c r="B53" t="s">
        <v>86</v>
      </c>
      <c r="D53" t="s">
        <v>115</v>
      </c>
      <c r="K53" t="s">
        <v>172</v>
      </c>
      <c r="L53" t="s">
        <v>117</v>
      </c>
      <c r="M53" t="s">
        <v>90</v>
      </c>
      <c r="N53" t="s">
        <v>118</v>
      </c>
      <c r="V53" t="s">
        <v>91</v>
      </c>
      <c r="W53" t="s">
        <v>92</v>
      </c>
      <c r="X53" t="s">
        <v>93</v>
      </c>
      <c r="Y53" t="s">
        <v>136</v>
      </c>
      <c r="Z53" t="s">
        <v>137</v>
      </c>
      <c r="AB53">
        <v>3.218</v>
      </c>
      <c r="AD53">
        <v>2.665</v>
      </c>
      <c r="AF53">
        <v>3.77</v>
      </c>
      <c r="AG53" t="s">
        <v>95</v>
      </c>
      <c r="AX53" t="s">
        <v>108</v>
      </c>
      <c r="AY53" t="s">
        <v>120</v>
      </c>
      <c r="AZ53" t="s">
        <v>138</v>
      </c>
      <c r="BC53">
        <v>4</v>
      </c>
      <c r="BH53" t="s">
        <v>99</v>
      </c>
      <c r="BO53" t="s">
        <v>111</v>
      </c>
      <c r="CD53" t="s">
        <v>139</v>
      </c>
      <c r="CE53">
        <v>166513</v>
      </c>
      <c r="CF53" t="s">
        <v>140</v>
      </c>
      <c r="CG53" t="s">
        <v>141</v>
      </c>
      <c r="CH53">
        <v>2013</v>
      </c>
    </row>
    <row r="54" spans="1:86" hidden="1" x14ac:dyDescent="0.25">
      <c r="A54">
        <v>330541</v>
      </c>
      <c r="B54" t="s">
        <v>86</v>
      </c>
      <c r="C54" t="s">
        <v>158</v>
      </c>
      <c r="D54" t="s">
        <v>115</v>
      </c>
      <c r="K54" t="s">
        <v>173</v>
      </c>
      <c r="L54" t="s">
        <v>117</v>
      </c>
      <c r="M54" t="s">
        <v>90</v>
      </c>
      <c r="N54" t="s">
        <v>118</v>
      </c>
      <c r="V54" t="s">
        <v>91</v>
      </c>
      <c r="W54" t="s">
        <v>107</v>
      </c>
      <c r="X54" t="s">
        <v>93</v>
      </c>
      <c r="Y54">
        <v>8</v>
      </c>
      <c r="Z54" t="s">
        <v>94</v>
      </c>
      <c r="AB54">
        <v>2.3309720000000002E-3</v>
      </c>
      <c r="AG54" t="s">
        <v>95</v>
      </c>
      <c r="AX54" t="s">
        <v>108</v>
      </c>
      <c r="AY54" t="s">
        <v>160</v>
      </c>
      <c r="AZ54" t="s">
        <v>138</v>
      </c>
      <c r="BC54">
        <v>3</v>
      </c>
      <c r="BH54" t="s">
        <v>99</v>
      </c>
      <c r="BO54" t="s">
        <v>111</v>
      </c>
      <c r="CD54" t="s">
        <v>161</v>
      </c>
      <c r="CE54">
        <v>112735</v>
      </c>
      <c r="CF54" t="s">
        <v>162</v>
      </c>
      <c r="CG54" t="s">
        <v>163</v>
      </c>
      <c r="CH54">
        <v>2008</v>
      </c>
    </row>
    <row r="55" spans="1:86" hidden="1" x14ac:dyDescent="0.25">
      <c r="A55">
        <v>330541</v>
      </c>
      <c r="B55" t="s">
        <v>86</v>
      </c>
      <c r="C55" t="s">
        <v>104</v>
      </c>
      <c r="D55" t="s">
        <v>105</v>
      </c>
      <c r="E55" t="s">
        <v>149</v>
      </c>
      <c r="F55">
        <v>99</v>
      </c>
      <c r="K55" t="s">
        <v>182</v>
      </c>
      <c r="L55" t="s">
        <v>117</v>
      </c>
      <c r="M55" t="s">
        <v>90</v>
      </c>
      <c r="V55" t="s">
        <v>91</v>
      </c>
      <c r="W55" t="s">
        <v>92</v>
      </c>
      <c r="X55" t="s">
        <v>93</v>
      </c>
      <c r="Y55">
        <v>5</v>
      </c>
      <c r="Z55" t="s">
        <v>94</v>
      </c>
      <c r="AA55" t="s">
        <v>106</v>
      </c>
      <c r="AB55">
        <v>0.5</v>
      </c>
      <c r="AG55" t="s">
        <v>95</v>
      </c>
      <c r="AX55" t="s">
        <v>108</v>
      </c>
      <c r="AY55" t="s">
        <v>150</v>
      </c>
      <c r="AZ55" t="s">
        <v>138</v>
      </c>
      <c r="BC55">
        <v>2</v>
      </c>
      <c r="BH55" t="s">
        <v>99</v>
      </c>
      <c r="BO55" t="s">
        <v>111</v>
      </c>
      <c r="CD55" t="s">
        <v>151</v>
      </c>
      <c r="CE55">
        <v>174505</v>
      </c>
      <c r="CF55" t="s">
        <v>152</v>
      </c>
      <c r="CG55" t="s">
        <v>153</v>
      </c>
      <c r="CH55">
        <v>2016</v>
      </c>
    </row>
    <row r="56" spans="1:86" hidden="1" x14ac:dyDescent="0.25">
      <c r="A56">
        <v>330541</v>
      </c>
      <c r="B56" t="s">
        <v>86</v>
      </c>
      <c r="C56" t="s">
        <v>158</v>
      </c>
      <c r="D56" t="s">
        <v>115</v>
      </c>
      <c r="K56" t="s">
        <v>173</v>
      </c>
      <c r="L56" t="s">
        <v>117</v>
      </c>
      <c r="M56" t="s">
        <v>90</v>
      </c>
      <c r="N56" t="s">
        <v>118</v>
      </c>
      <c r="V56" t="s">
        <v>91</v>
      </c>
      <c r="W56" t="s">
        <v>107</v>
      </c>
      <c r="X56" t="s">
        <v>93</v>
      </c>
      <c r="Y56">
        <v>8</v>
      </c>
      <c r="Z56" t="s">
        <v>94</v>
      </c>
      <c r="AB56">
        <v>5.8274300000000004E-4</v>
      </c>
      <c r="AG56" t="s">
        <v>95</v>
      </c>
      <c r="AX56" t="s">
        <v>108</v>
      </c>
      <c r="AY56" t="s">
        <v>174</v>
      </c>
      <c r="AZ56" t="s">
        <v>138</v>
      </c>
      <c r="BC56">
        <v>3</v>
      </c>
      <c r="BH56" t="s">
        <v>99</v>
      </c>
      <c r="BO56" t="s">
        <v>111</v>
      </c>
      <c r="CD56" t="s">
        <v>161</v>
      </c>
      <c r="CE56">
        <v>112735</v>
      </c>
      <c r="CF56" t="s">
        <v>162</v>
      </c>
      <c r="CG56" t="s">
        <v>163</v>
      </c>
      <c r="CH56">
        <v>2008</v>
      </c>
    </row>
    <row r="57" spans="1:86" hidden="1" x14ac:dyDescent="0.25">
      <c r="A57">
        <v>330541</v>
      </c>
      <c r="B57" t="s">
        <v>86</v>
      </c>
      <c r="C57" t="s">
        <v>158</v>
      </c>
      <c r="D57" t="s">
        <v>115</v>
      </c>
      <c r="K57" t="s">
        <v>159</v>
      </c>
      <c r="L57" t="s">
        <v>90</v>
      </c>
      <c r="M57" t="s">
        <v>90</v>
      </c>
      <c r="N57" t="s">
        <v>118</v>
      </c>
      <c r="V57" t="s">
        <v>91</v>
      </c>
      <c r="W57" t="s">
        <v>107</v>
      </c>
      <c r="X57" t="s">
        <v>93</v>
      </c>
      <c r="Y57">
        <v>8</v>
      </c>
      <c r="Z57" t="s">
        <v>94</v>
      </c>
      <c r="AB57">
        <v>1.09555684E-3</v>
      </c>
      <c r="AG57" t="s">
        <v>95</v>
      </c>
      <c r="AX57" t="s">
        <v>108</v>
      </c>
      <c r="AY57" t="s">
        <v>109</v>
      </c>
      <c r="AZ57" t="s">
        <v>138</v>
      </c>
      <c r="BC57">
        <v>3</v>
      </c>
      <c r="BH57" t="s">
        <v>99</v>
      </c>
      <c r="BO57" t="s">
        <v>111</v>
      </c>
      <c r="CD57" t="s">
        <v>161</v>
      </c>
      <c r="CE57">
        <v>112735</v>
      </c>
      <c r="CF57" t="s">
        <v>162</v>
      </c>
      <c r="CG57" t="s">
        <v>163</v>
      </c>
      <c r="CH57">
        <v>2008</v>
      </c>
    </row>
    <row r="58" spans="1:86" hidden="1" x14ac:dyDescent="0.25">
      <c r="A58">
        <v>330541</v>
      </c>
      <c r="B58" t="s">
        <v>86</v>
      </c>
      <c r="D58" t="s">
        <v>115</v>
      </c>
      <c r="K58" t="s">
        <v>133</v>
      </c>
      <c r="L58" t="s">
        <v>134</v>
      </c>
      <c r="M58" t="s">
        <v>90</v>
      </c>
      <c r="N58" t="s">
        <v>118</v>
      </c>
      <c r="V58" t="s">
        <v>91</v>
      </c>
      <c r="W58" t="s">
        <v>92</v>
      </c>
      <c r="X58" t="s">
        <v>93</v>
      </c>
      <c r="Y58" t="s">
        <v>136</v>
      </c>
      <c r="Z58" t="s">
        <v>137</v>
      </c>
      <c r="AB58">
        <v>0.64400000000000002</v>
      </c>
      <c r="AD58">
        <v>0</v>
      </c>
      <c r="AF58">
        <v>2.782</v>
      </c>
      <c r="AG58" t="s">
        <v>95</v>
      </c>
      <c r="AX58" t="s">
        <v>108</v>
      </c>
      <c r="AY58" t="s">
        <v>120</v>
      </c>
      <c r="AZ58" t="s">
        <v>138</v>
      </c>
      <c r="BC58">
        <v>4</v>
      </c>
      <c r="BH58" t="s">
        <v>99</v>
      </c>
      <c r="BO58" t="s">
        <v>111</v>
      </c>
      <c r="CD58" t="s">
        <v>139</v>
      </c>
      <c r="CE58">
        <v>166513</v>
      </c>
      <c r="CF58" t="s">
        <v>140</v>
      </c>
      <c r="CG58" t="s">
        <v>141</v>
      </c>
      <c r="CH58">
        <v>2013</v>
      </c>
    </row>
    <row r="59" spans="1:86" hidden="1" x14ac:dyDescent="0.25">
      <c r="A59">
        <v>330541</v>
      </c>
      <c r="B59" t="s">
        <v>86</v>
      </c>
      <c r="D59" t="s">
        <v>115</v>
      </c>
      <c r="K59" t="s">
        <v>125</v>
      </c>
      <c r="L59" t="s">
        <v>117</v>
      </c>
      <c r="M59" t="s">
        <v>90</v>
      </c>
      <c r="N59" t="s">
        <v>118</v>
      </c>
      <c r="V59" t="s">
        <v>91</v>
      </c>
      <c r="W59" t="s">
        <v>92</v>
      </c>
      <c r="X59" t="s">
        <v>93</v>
      </c>
      <c r="Y59" t="s">
        <v>136</v>
      </c>
      <c r="Z59" t="s">
        <v>137</v>
      </c>
      <c r="AB59">
        <v>2.7399999999999998E-3</v>
      </c>
      <c r="AD59">
        <v>0</v>
      </c>
      <c r="AF59">
        <v>6.3E-3</v>
      </c>
      <c r="AG59" t="s">
        <v>95</v>
      </c>
      <c r="AX59" t="s">
        <v>108</v>
      </c>
      <c r="AY59" t="s">
        <v>120</v>
      </c>
      <c r="AZ59" t="s">
        <v>138</v>
      </c>
      <c r="BC59">
        <v>4</v>
      </c>
      <c r="BH59" t="s">
        <v>99</v>
      </c>
      <c r="BO59" t="s">
        <v>111</v>
      </c>
      <c r="CD59" t="s">
        <v>139</v>
      </c>
      <c r="CE59">
        <v>166513</v>
      </c>
      <c r="CF59" t="s">
        <v>140</v>
      </c>
      <c r="CG59" t="s">
        <v>141</v>
      </c>
      <c r="CH59">
        <v>2013</v>
      </c>
    </row>
    <row r="60" spans="1:86" hidden="1" x14ac:dyDescent="0.25">
      <c r="A60">
        <v>330541</v>
      </c>
      <c r="B60" t="s">
        <v>86</v>
      </c>
      <c r="D60" t="s">
        <v>115</v>
      </c>
      <c r="K60" t="s">
        <v>135</v>
      </c>
      <c r="L60" t="s">
        <v>117</v>
      </c>
      <c r="M60" t="s">
        <v>90</v>
      </c>
      <c r="V60" t="s">
        <v>91</v>
      </c>
      <c r="W60" t="s">
        <v>92</v>
      </c>
      <c r="X60" t="s">
        <v>93</v>
      </c>
      <c r="Y60">
        <v>8</v>
      </c>
      <c r="Z60" t="s">
        <v>137</v>
      </c>
      <c r="AB60">
        <v>5.2999999999999999E-2</v>
      </c>
      <c r="AD60">
        <v>5.7400000000000003E-3</v>
      </c>
      <c r="AF60">
        <v>0.10100000000000001</v>
      </c>
      <c r="AG60" t="s">
        <v>95</v>
      </c>
      <c r="AX60" t="s">
        <v>108</v>
      </c>
      <c r="AY60" t="s">
        <v>120</v>
      </c>
      <c r="AZ60" t="s">
        <v>138</v>
      </c>
      <c r="BC60">
        <v>4</v>
      </c>
      <c r="BH60" t="s">
        <v>99</v>
      </c>
      <c r="BO60" t="s">
        <v>111</v>
      </c>
      <c r="CD60" t="s">
        <v>139</v>
      </c>
      <c r="CE60">
        <v>166513</v>
      </c>
      <c r="CF60" t="s">
        <v>140</v>
      </c>
      <c r="CG60" t="s">
        <v>141</v>
      </c>
      <c r="CH60">
        <v>2013</v>
      </c>
    </row>
    <row r="61" spans="1:86" hidden="1" x14ac:dyDescent="0.25">
      <c r="A61">
        <v>330541</v>
      </c>
      <c r="B61" t="s">
        <v>86</v>
      </c>
      <c r="D61" t="s">
        <v>115</v>
      </c>
      <c r="K61" t="s">
        <v>166</v>
      </c>
      <c r="L61" t="s">
        <v>117</v>
      </c>
      <c r="M61" t="s">
        <v>90</v>
      </c>
      <c r="N61" t="s">
        <v>118</v>
      </c>
      <c r="V61" t="s">
        <v>91</v>
      </c>
      <c r="W61" t="s">
        <v>92</v>
      </c>
      <c r="X61" t="s">
        <v>93</v>
      </c>
      <c r="Y61" t="s">
        <v>136</v>
      </c>
      <c r="Z61" t="s">
        <v>137</v>
      </c>
      <c r="AB61">
        <v>1.1E-4</v>
      </c>
      <c r="AD61">
        <v>6.3999999999999997E-5</v>
      </c>
      <c r="AF61">
        <v>2.7E-4</v>
      </c>
      <c r="AG61" t="s">
        <v>95</v>
      </c>
      <c r="AX61" t="s">
        <v>108</v>
      </c>
      <c r="AY61" t="s">
        <v>120</v>
      </c>
      <c r="AZ61" t="s">
        <v>138</v>
      </c>
      <c r="BC61">
        <v>4</v>
      </c>
      <c r="BH61" t="s">
        <v>99</v>
      </c>
      <c r="BO61" t="s">
        <v>111</v>
      </c>
      <c r="CD61" t="s">
        <v>139</v>
      </c>
      <c r="CE61">
        <v>166513</v>
      </c>
      <c r="CF61" t="s">
        <v>140</v>
      </c>
      <c r="CG61" t="s">
        <v>141</v>
      </c>
      <c r="CH61">
        <v>2013</v>
      </c>
    </row>
    <row r="62" spans="1:86" hidden="1" x14ac:dyDescent="0.25">
      <c r="A62">
        <v>330541</v>
      </c>
      <c r="B62" t="s">
        <v>86</v>
      </c>
      <c r="C62" t="s">
        <v>183</v>
      </c>
      <c r="D62" t="s">
        <v>115</v>
      </c>
      <c r="F62">
        <v>80</v>
      </c>
      <c r="K62" t="s">
        <v>184</v>
      </c>
      <c r="L62" t="s">
        <v>89</v>
      </c>
      <c r="M62" t="s">
        <v>90</v>
      </c>
      <c r="V62" t="s">
        <v>91</v>
      </c>
      <c r="W62" t="s">
        <v>92</v>
      </c>
      <c r="X62" t="s">
        <v>93</v>
      </c>
      <c r="Z62" t="s">
        <v>94</v>
      </c>
      <c r="AB62">
        <v>0.2330972</v>
      </c>
      <c r="AG62" t="s">
        <v>95</v>
      </c>
      <c r="AX62" t="s">
        <v>108</v>
      </c>
      <c r="AY62" t="s">
        <v>150</v>
      </c>
      <c r="AZ62" t="s">
        <v>185</v>
      </c>
      <c r="BC62">
        <v>5</v>
      </c>
      <c r="BH62" t="s">
        <v>99</v>
      </c>
      <c r="BO62" t="s">
        <v>111</v>
      </c>
      <c r="CD62" t="s">
        <v>186</v>
      </c>
      <c r="CE62">
        <v>69879</v>
      </c>
      <c r="CF62" t="s">
        <v>187</v>
      </c>
      <c r="CG62" t="s">
        <v>188</v>
      </c>
      <c r="CH62">
        <v>1998</v>
      </c>
    </row>
    <row r="63" spans="1:86" hidden="1" x14ac:dyDescent="0.25">
      <c r="A63">
        <v>330541</v>
      </c>
      <c r="B63" t="s">
        <v>86</v>
      </c>
      <c r="C63" t="s">
        <v>183</v>
      </c>
      <c r="D63" t="s">
        <v>115</v>
      </c>
      <c r="K63" t="s">
        <v>189</v>
      </c>
      <c r="L63" t="s">
        <v>190</v>
      </c>
      <c r="M63" t="s">
        <v>90</v>
      </c>
      <c r="N63" t="s">
        <v>118</v>
      </c>
      <c r="V63" t="s">
        <v>91</v>
      </c>
      <c r="W63" t="s">
        <v>107</v>
      </c>
      <c r="X63" t="s">
        <v>93</v>
      </c>
      <c r="Z63" t="s">
        <v>94</v>
      </c>
      <c r="AB63">
        <v>0.02</v>
      </c>
      <c r="AG63" t="s">
        <v>95</v>
      </c>
      <c r="AX63" t="s">
        <v>144</v>
      </c>
      <c r="AY63" t="s">
        <v>109</v>
      </c>
      <c r="AZ63" t="s">
        <v>185</v>
      </c>
      <c r="BC63">
        <v>6.25E-2</v>
      </c>
      <c r="BH63" t="s">
        <v>99</v>
      </c>
      <c r="BO63" t="s">
        <v>111</v>
      </c>
      <c r="CD63" t="s">
        <v>191</v>
      </c>
      <c r="CE63">
        <v>9211</v>
      </c>
      <c r="CF63" t="s">
        <v>192</v>
      </c>
      <c r="CG63" t="s">
        <v>193</v>
      </c>
      <c r="CH63">
        <v>1972</v>
      </c>
    </row>
    <row r="64" spans="1:86" hidden="1" x14ac:dyDescent="0.25">
      <c r="A64">
        <v>330541</v>
      </c>
      <c r="B64" t="s">
        <v>86</v>
      </c>
      <c r="C64" t="s">
        <v>183</v>
      </c>
      <c r="D64" t="s">
        <v>115</v>
      </c>
      <c r="F64">
        <v>80</v>
      </c>
      <c r="K64" t="s">
        <v>194</v>
      </c>
      <c r="L64" t="s">
        <v>143</v>
      </c>
      <c r="M64" t="s">
        <v>90</v>
      </c>
      <c r="V64" t="s">
        <v>91</v>
      </c>
      <c r="W64" t="s">
        <v>92</v>
      </c>
      <c r="X64" t="s">
        <v>93</v>
      </c>
      <c r="Z64" t="s">
        <v>94</v>
      </c>
      <c r="AB64">
        <v>0.2330972</v>
      </c>
      <c r="AG64" t="s">
        <v>95</v>
      </c>
      <c r="AX64" t="s">
        <v>108</v>
      </c>
      <c r="AY64" t="s">
        <v>150</v>
      </c>
      <c r="AZ64" t="s">
        <v>185</v>
      </c>
      <c r="BC64">
        <v>5</v>
      </c>
      <c r="BH64" t="s">
        <v>99</v>
      </c>
      <c r="BO64" t="s">
        <v>111</v>
      </c>
      <c r="CD64" t="s">
        <v>186</v>
      </c>
      <c r="CE64">
        <v>69879</v>
      </c>
      <c r="CF64" t="s">
        <v>187</v>
      </c>
      <c r="CG64" t="s">
        <v>188</v>
      </c>
      <c r="CH64">
        <v>1998</v>
      </c>
    </row>
    <row r="65" spans="1:86" hidden="1" x14ac:dyDescent="0.25">
      <c r="A65">
        <v>330541</v>
      </c>
      <c r="B65" t="s">
        <v>86</v>
      </c>
      <c r="C65" t="s">
        <v>183</v>
      </c>
      <c r="D65" t="s">
        <v>115</v>
      </c>
      <c r="K65" t="s">
        <v>195</v>
      </c>
      <c r="L65" t="s">
        <v>89</v>
      </c>
      <c r="M65" t="s">
        <v>90</v>
      </c>
      <c r="N65" t="s">
        <v>118</v>
      </c>
      <c r="V65" t="s">
        <v>91</v>
      </c>
      <c r="W65" t="s">
        <v>107</v>
      </c>
      <c r="X65" t="s">
        <v>93</v>
      </c>
      <c r="Z65" t="s">
        <v>94</v>
      </c>
      <c r="AB65">
        <v>0.03</v>
      </c>
      <c r="AG65" t="s">
        <v>95</v>
      </c>
      <c r="AX65" t="s">
        <v>108</v>
      </c>
      <c r="AY65" t="s">
        <v>160</v>
      </c>
      <c r="AZ65" t="s">
        <v>185</v>
      </c>
      <c r="BC65">
        <v>10</v>
      </c>
      <c r="BH65" t="s">
        <v>99</v>
      </c>
      <c r="BO65" t="s">
        <v>111</v>
      </c>
      <c r="CD65" t="s">
        <v>191</v>
      </c>
      <c r="CE65">
        <v>9211</v>
      </c>
      <c r="CF65" t="s">
        <v>192</v>
      </c>
      <c r="CG65" t="s">
        <v>193</v>
      </c>
      <c r="CH65">
        <v>1972</v>
      </c>
    </row>
    <row r="66" spans="1:86" hidden="1" x14ac:dyDescent="0.25">
      <c r="A66">
        <v>330541</v>
      </c>
      <c r="B66" t="s">
        <v>86</v>
      </c>
      <c r="C66" t="s">
        <v>183</v>
      </c>
      <c r="D66" t="s">
        <v>115</v>
      </c>
      <c r="K66" t="s">
        <v>189</v>
      </c>
      <c r="L66" t="s">
        <v>190</v>
      </c>
      <c r="M66" t="s">
        <v>90</v>
      </c>
      <c r="N66" t="s">
        <v>118</v>
      </c>
      <c r="V66" t="s">
        <v>91</v>
      </c>
      <c r="W66" t="s">
        <v>107</v>
      </c>
      <c r="X66" t="s">
        <v>93</v>
      </c>
      <c r="Z66" t="s">
        <v>94</v>
      </c>
      <c r="AB66">
        <v>0.03</v>
      </c>
      <c r="AG66" t="s">
        <v>95</v>
      </c>
      <c r="AX66" t="s">
        <v>108</v>
      </c>
      <c r="AY66" t="s">
        <v>160</v>
      </c>
      <c r="AZ66" t="s">
        <v>185</v>
      </c>
      <c r="BC66">
        <v>10</v>
      </c>
      <c r="BH66" t="s">
        <v>99</v>
      </c>
      <c r="BO66" t="s">
        <v>111</v>
      </c>
      <c r="CD66" t="s">
        <v>191</v>
      </c>
      <c r="CE66">
        <v>9211</v>
      </c>
      <c r="CF66" t="s">
        <v>192</v>
      </c>
      <c r="CG66" t="s">
        <v>193</v>
      </c>
      <c r="CH66">
        <v>1972</v>
      </c>
    </row>
    <row r="67" spans="1:86" hidden="1" x14ac:dyDescent="0.25">
      <c r="A67">
        <v>330541</v>
      </c>
      <c r="B67" t="s">
        <v>86</v>
      </c>
      <c r="C67" t="s">
        <v>183</v>
      </c>
      <c r="D67" t="s">
        <v>115</v>
      </c>
      <c r="K67" t="s">
        <v>195</v>
      </c>
      <c r="L67" t="s">
        <v>89</v>
      </c>
      <c r="M67" t="s">
        <v>90</v>
      </c>
      <c r="N67" t="s">
        <v>118</v>
      </c>
      <c r="V67" t="s">
        <v>91</v>
      </c>
      <c r="W67" t="s">
        <v>107</v>
      </c>
      <c r="X67" t="s">
        <v>93</v>
      </c>
      <c r="Z67" t="s">
        <v>94</v>
      </c>
      <c r="AB67">
        <v>0.05</v>
      </c>
      <c r="AG67" t="s">
        <v>95</v>
      </c>
      <c r="AX67" t="s">
        <v>144</v>
      </c>
      <c r="AY67" t="s">
        <v>109</v>
      </c>
      <c r="AZ67" t="s">
        <v>185</v>
      </c>
      <c r="BC67">
        <v>6.25E-2</v>
      </c>
      <c r="BH67" t="s">
        <v>99</v>
      </c>
      <c r="BO67" t="s">
        <v>111</v>
      </c>
      <c r="CD67" t="s">
        <v>191</v>
      </c>
      <c r="CE67">
        <v>9211</v>
      </c>
      <c r="CF67" t="s">
        <v>192</v>
      </c>
      <c r="CG67" t="s">
        <v>193</v>
      </c>
      <c r="CH67">
        <v>1972</v>
      </c>
    </row>
    <row r="68" spans="1:86" hidden="1" x14ac:dyDescent="0.25">
      <c r="A68">
        <v>330541</v>
      </c>
      <c r="B68" t="s">
        <v>86</v>
      </c>
      <c r="D68" t="s">
        <v>115</v>
      </c>
      <c r="K68" t="s">
        <v>90</v>
      </c>
      <c r="L68" t="s">
        <v>90</v>
      </c>
      <c r="M68" t="s">
        <v>90</v>
      </c>
      <c r="N68" t="s">
        <v>118</v>
      </c>
      <c r="V68" t="s">
        <v>91</v>
      </c>
      <c r="W68" t="s">
        <v>92</v>
      </c>
      <c r="X68" t="s">
        <v>93</v>
      </c>
      <c r="Z68" t="s">
        <v>137</v>
      </c>
      <c r="AB68">
        <v>0.13</v>
      </c>
      <c r="AD68">
        <v>0.13</v>
      </c>
      <c r="AF68">
        <v>8</v>
      </c>
      <c r="AG68" t="s">
        <v>95</v>
      </c>
      <c r="AX68" t="s">
        <v>196</v>
      </c>
      <c r="AY68" t="s">
        <v>197</v>
      </c>
      <c r="AZ68" t="s">
        <v>185</v>
      </c>
      <c r="BC68">
        <v>14</v>
      </c>
      <c r="BH68" t="s">
        <v>99</v>
      </c>
      <c r="BO68" t="s">
        <v>111</v>
      </c>
      <c r="CD68" t="s">
        <v>198</v>
      </c>
      <c r="CE68">
        <v>11239</v>
      </c>
      <c r="CF68" t="s">
        <v>199</v>
      </c>
      <c r="CG68" t="s">
        <v>200</v>
      </c>
      <c r="CH68">
        <v>1984</v>
      </c>
    </row>
    <row r="69" spans="1:86" hidden="1" x14ac:dyDescent="0.25">
      <c r="A69">
        <v>330541</v>
      </c>
      <c r="B69" t="s">
        <v>86</v>
      </c>
      <c r="D69" t="s">
        <v>115</v>
      </c>
      <c r="K69" t="s">
        <v>90</v>
      </c>
      <c r="L69" t="s">
        <v>90</v>
      </c>
      <c r="M69" t="s">
        <v>90</v>
      </c>
      <c r="V69" t="s">
        <v>91</v>
      </c>
      <c r="W69" t="s">
        <v>107</v>
      </c>
      <c r="X69" t="s">
        <v>93</v>
      </c>
      <c r="Y69">
        <v>6</v>
      </c>
      <c r="Z69" t="s">
        <v>137</v>
      </c>
      <c r="AB69">
        <v>8.4999999999999995E-4</v>
      </c>
      <c r="AG69" t="s">
        <v>95</v>
      </c>
      <c r="AX69" t="s">
        <v>201</v>
      </c>
      <c r="AY69" t="s">
        <v>202</v>
      </c>
      <c r="AZ69" t="s">
        <v>203</v>
      </c>
      <c r="BC69">
        <v>0.41670000000000001</v>
      </c>
      <c r="BH69" t="s">
        <v>99</v>
      </c>
      <c r="BO69" t="s">
        <v>111</v>
      </c>
      <c r="CD69" t="s">
        <v>204</v>
      </c>
      <c r="CE69">
        <v>75334</v>
      </c>
      <c r="CF69" t="s">
        <v>205</v>
      </c>
      <c r="CG69" t="s">
        <v>206</v>
      </c>
      <c r="CH69">
        <v>2003</v>
      </c>
    </row>
    <row r="70" spans="1:86" hidden="1" x14ac:dyDescent="0.25">
      <c r="A70">
        <v>330541</v>
      </c>
      <c r="B70" t="s">
        <v>86</v>
      </c>
      <c r="D70" t="s">
        <v>115</v>
      </c>
      <c r="K70" t="s">
        <v>90</v>
      </c>
      <c r="L70" t="s">
        <v>90</v>
      </c>
      <c r="M70" t="s">
        <v>90</v>
      </c>
      <c r="V70" t="s">
        <v>91</v>
      </c>
      <c r="W70" t="s">
        <v>107</v>
      </c>
      <c r="X70" t="s">
        <v>93</v>
      </c>
      <c r="Y70">
        <v>6</v>
      </c>
      <c r="Z70" t="s">
        <v>137</v>
      </c>
      <c r="AB70">
        <v>1.1999999999999999E-3</v>
      </c>
      <c r="AG70" t="s">
        <v>95</v>
      </c>
      <c r="AX70" t="s">
        <v>201</v>
      </c>
      <c r="AY70" t="s">
        <v>202</v>
      </c>
      <c r="AZ70" t="s">
        <v>203</v>
      </c>
      <c r="BC70">
        <v>0.41670000000000001</v>
      </c>
      <c r="BH70" t="s">
        <v>99</v>
      </c>
      <c r="BO70" t="s">
        <v>111</v>
      </c>
      <c r="CD70" t="s">
        <v>204</v>
      </c>
      <c r="CE70">
        <v>75334</v>
      </c>
      <c r="CF70" t="s">
        <v>205</v>
      </c>
      <c r="CG70" t="s">
        <v>206</v>
      </c>
      <c r="CH70">
        <v>2003</v>
      </c>
    </row>
    <row r="71" spans="1:86" hidden="1" x14ac:dyDescent="0.25">
      <c r="A71">
        <v>330541</v>
      </c>
      <c r="B71" t="s">
        <v>86</v>
      </c>
      <c r="D71" t="s">
        <v>115</v>
      </c>
      <c r="F71">
        <v>98.4</v>
      </c>
      <c r="K71" t="s">
        <v>90</v>
      </c>
      <c r="L71" t="s">
        <v>90</v>
      </c>
      <c r="M71" t="s">
        <v>90</v>
      </c>
      <c r="V71" t="s">
        <v>91</v>
      </c>
      <c r="W71" t="s">
        <v>92</v>
      </c>
      <c r="X71" t="s">
        <v>93</v>
      </c>
      <c r="Y71">
        <v>5</v>
      </c>
      <c r="Z71" t="s">
        <v>94</v>
      </c>
      <c r="AB71">
        <v>5.0000000000000001E-3</v>
      </c>
      <c r="AG71" t="s">
        <v>95</v>
      </c>
      <c r="AX71" t="s">
        <v>144</v>
      </c>
      <c r="AY71" t="s">
        <v>109</v>
      </c>
      <c r="AZ71" t="s">
        <v>207</v>
      </c>
      <c r="BA71" t="s">
        <v>179</v>
      </c>
      <c r="BC71">
        <v>0.125</v>
      </c>
      <c r="BH71" t="s">
        <v>99</v>
      </c>
      <c r="BO71" t="s">
        <v>111</v>
      </c>
      <c r="CD71" t="s">
        <v>208</v>
      </c>
      <c r="CE71">
        <v>112913</v>
      </c>
      <c r="CF71" t="s">
        <v>209</v>
      </c>
      <c r="CG71" t="s">
        <v>210</v>
      </c>
      <c r="CH71">
        <v>2008</v>
      </c>
    </row>
    <row r="72" spans="1:86" hidden="1" x14ac:dyDescent="0.25">
      <c r="A72">
        <v>330541</v>
      </c>
      <c r="B72" t="s">
        <v>86</v>
      </c>
      <c r="D72" t="s">
        <v>115</v>
      </c>
      <c r="F72">
        <v>98.6</v>
      </c>
      <c r="K72" t="s">
        <v>211</v>
      </c>
      <c r="L72" t="s">
        <v>212</v>
      </c>
      <c r="M72" t="s">
        <v>90</v>
      </c>
      <c r="P72">
        <v>48</v>
      </c>
      <c r="U72" t="s">
        <v>213</v>
      </c>
      <c r="V72" t="s">
        <v>91</v>
      </c>
      <c r="W72" t="s">
        <v>92</v>
      </c>
      <c r="X72" t="s">
        <v>93</v>
      </c>
      <c r="Y72">
        <v>5</v>
      </c>
      <c r="Z72" t="s">
        <v>94</v>
      </c>
      <c r="AB72">
        <v>3.4964580000000002E-2</v>
      </c>
      <c r="AG72" t="s">
        <v>95</v>
      </c>
      <c r="AX72" t="s">
        <v>108</v>
      </c>
      <c r="AY72" t="s">
        <v>160</v>
      </c>
      <c r="AZ72" t="s">
        <v>214</v>
      </c>
      <c r="BC72">
        <v>4</v>
      </c>
      <c r="BH72" t="s">
        <v>99</v>
      </c>
      <c r="BO72" t="s">
        <v>111</v>
      </c>
      <c r="CD72" t="s">
        <v>215</v>
      </c>
      <c r="CE72">
        <v>63613</v>
      </c>
      <c r="CF72" t="s">
        <v>216</v>
      </c>
      <c r="CG72" t="s">
        <v>217</v>
      </c>
      <c r="CH72">
        <v>1997</v>
      </c>
    </row>
    <row r="73" spans="1:86" hidden="1" x14ac:dyDescent="0.25">
      <c r="A73">
        <v>330541</v>
      </c>
      <c r="B73" t="s">
        <v>86</v>
      </c>
      <c r="C73" t="s">
        <v>158</v>
      </c>
      <c r="D73" t="s">
        <v>115</v>
      </c>
      <c r="K73" t="s">
        <v>218</v>
      </c>
      <c r="L73" t="s">
        <v>89</v>
      </c>
      <c r="M73" t="s">
        <v>90</v>
      </c>
      <c r="P73">
        <v>3</v>
      </c>
      <c r="U73" t="s">
        <v>219</v>
      </c>
      <c r="V73" t="s">
        <v>91</v>
      </c>
      <c r="W73" t="s">
        <v>220</v>
      </c>
      <c r="X73" t="s">
        <v>93</v>
      </c>
      <c r="Y73">
        <v>11</v>
      </c>
      <c r="Z73" t="s">
        <v>94</v>
      </c>
      <c r="AB73" s="281">
        <v>2</v>
      </c>
      <c r="AG73" t="s">
        <v>95</v>
      </c>
      <c r="AX73" t="s">
        <v>108</v>
      </c>
      <c r="AY73" t="s">
        <v>160</v>
      </c>
      <c r="AZ73" t="s">
        <v>214</v>
      </c>
      <c r="BE73">
        <v>5</v>
      </c>
      <c r="BG73">
        <v>30</v>
      </c>
      <c r="BH73" t="s">
        <v>99</v>
      </c>
      <c r="BO73" t="s">
        <v>111</v>
      </c>
      <c r="CD73" t="s">
        <v>221</v>
      </c>
      <c r="CE73">
        <v>4871</v>
      </c>
      <c r="CF73" t="s">
        <v>222</v>
      </c>
      <c r="CG73" t="s">
        <v>223</v>
      </c>
      <c r="CH73">
        <v>1975</v>
      </c>
    </row>
    <row r="74" spans="1:86" hidden="1" x14ac:dyDescent="0.25">
      <c r="A74">
        <v>330541</v>
      </c>
      <c r="B74" t="s">
        <v>86</v>
      </c>
      <c r="D74" t="s">
        <v>115</v>
      </c>
      <c r="K74" t="s">
        <v>154</v>
      </c>
      <c r="L74" t="s">
        <v>117</v>
      </c>
      <c r="M74" t="s">
        <v>90</v>
      </c>
      <c r="N74" t="s">
        <v>118</v>
      </c>
      <c r="V74" t="s">
        <v>91</v>
      </c>
      <c r="W74" t="s">
        <v>92</v>
      </c>
      <c r="X74" t="s">
        <v>93</v>
      </c>
      <c r="Y74" t="s">
        <v>136</v>
      </c>
      <c r="Z74" t="s">
        <v>137</v>
      </c>
      <c r="AB74">
        <v>0.21</v>
      </c>
      <c r="AG74" t="s">
        <v>95</v>
      </c>
      <c r="AX74" t="s">
        <v>108</v>
      </c>
      <c r="AY74" t="s">
        <v>120</v>
      </c>
      <c r="AZ74" t="s">
        <v>214</v>
      </c>
      <c r="BC74">
        <v>4</v>
      </c>
      <c r="BH74" t="s">
        <v>99</v>
      </c>
      <c r="BO74" t="s">
        <v>111</v>
      </c>
      <c r="CD74" t="s">
        <v>155</v>
      </c>
      <c r="CE74">
        <v>166447</v>
      </c>
      <c r="CF74" t="s">
        <v>156</v>
      </c>
      <c r="CG74" t="s">
        <v>157</v>
      </c>
      <c r="CH74">
        <v>2014</v>
      </c>
    </row>
    <row r="75" spans="1:86" x14ac:dyDescent="0.25">
      <c r="A75">
        <v>330541</v>
      </c>
      <c r="B75" t="s">
        <v>86</v>
      </c>
      <c r="C75" t="s">
        <v>104</v>
      </c>
      <c r="D75" t="s">
        <v>115</v>
      </c>
      <c r="K75" t="s">
        <v>224</v>
      </c>
      <c r="L75" t="s">
        <v>89</v>
      </c>
      <c r="M75" t="s">
        <v>90</v>
      </c>
      <c r="R75">
        <v>14</v>
      </c>
      <c r="T75">
        <v>28</v>
      </c>
      <c r="U75" t="s">
        <v>99</v>
      </c>
      <c r="V75" t="s">
        <v>91</v>
      </c>
      <c r="W75" t="s">
        <v>92</v>
      </c>
      <c r="X75" t="s">
        <v>93</v>
      </c>
      <c r="Z75" t="s">
        <v>94</v>
      </c>
      <c r="AB75" s="281">
        <v>1.38E-2</v>
      </c>
      <c r="AD75">
        <v>9.2999999999999992E-3</v>
      </c>
      <c r="AF75">
        <v>2.0400000000000001E-2</v>
      </c>
      <c r="AG75" t="s">
        <v>95</v>
      </c>
      <c r="AX75" t="s">
        <v>108</v>
      </c>
      <c r="AY75" t="s">
        <v>109</v>
      </c>
      <c r="AZ75" t="s">
        <v>214</v>
      </c>
      <c r="BC75">
        <v>1.3899999999999999E-2</v>
      </c>
      <c r="BH75" t="s">
        <v>99</v>
      </c>
      <c r="BO75" t="s">
        <v>111</v>
      </c>
      <c r="CD75" t="s">
        <v>225</v>
      </c>
      <c r="CE75">
        <v>83755</v>
      </c>
      <c r="CF75" t="s">
        <v>226</v>
      </c>
      <c r="CG75" t="s">
        <v>227</v>
      </c>
      <c r="CH75">
        <v>2005</v>
      </c>
    </row>
    <row r="76" spans="1:86" hidden="1" x14ac:dyDescent="0.25">
      <c r="A76">
        <v>330541</v>
      </c>
      <c r="B76" t="s">
        <v>86</v>
      </c>
      <c r="D76" t="s">
        <v>115</v>
      </c>
      <c r="F76">
        <v>99.5</v>
      </c>
      <c r="K76" t="s">
        <v>132</v>
      </c>
      <c r="L76" t="s">
        <v>117</v>
      </c>
      <c r="M76" t="s">
        <v>90</v>
      </c>
      <c r="N76" t="s">
        <v>118</v>
      </c>
      <c r="V76" t="s">
        <v>91</v>
      </c>
      <c r="W76" t="s">
        <v>92</v>
      </c>
      <c r="X76" t="s">
        <v>93</v>
      </c>
      <c r="Y76" t="s">
        <v>119</v>
      </c>
      <c r="Z76" t="s">
        <v>94</v>
      </c>
      <c r="AB76" s="281">
        <v>4.0299999999999997E-3</v>
      </c>
      <c r="AD76">
        <v>3.9300000000000003E-3</v>
      </c>
      <c r="AF76">
        <v>4.1599999999999996E-3</v>
      </c>
      <c r="AG76" t="s">
        <v>95</v>
      </c>
      <c r="AX76" t="s">
        <v>108</v>
      </c>
      <c r="AY76" t="s">
        <v>120</v>
      </c>
      <c r="AZ76" t="s">
        <v>214</v>
      </c>
      <c r="BC76">
        <v>4</v>
      </c>
      <c r="BH76" t="s">
        <v>99</v>
      </c>
      <c r="BO76" t="s">
        <v>111</v>
      </c>
      <c r="CD76" t="s">
        <v>122</v>
      </c>
      <c r="CE76">
        <v>161002</v>
      </c>
      <c r="CF76" t="s">
        <v>123</v>
      </c>
      <c r="CG76" t="s">
        <v>124</v>
      </c>
      <c r="CH76">
        <v>2012</v>
      </c>
    </row>
    <row r="77" spans="1:86" hidden="1" x14ac:dyDescent="0.25">
      <c r="A77">
        <v>330541</v>
      </c>
      <c r="B77" t="s">
        <v>86</v>
      </c>
      <c r="D77" t="s">
        <v>115</v>
      </c>
      <c r="K77" t="s">
        <v>125</v>
      </c>
      <c r="L77" t="s">
        <v>117</v>
      </c>
      <c r="M77" t="s">
        <v>90</v>
      </c>
      <c r="V77" t="s">
        <v>91</v>
      </c>
      <c r="W77" t="s">
        <v>92</v>
      </c>
      <c r="X77" t="s">
        <v>93</v>
      </c>
      <c r="Y77">
        <v>8</v>
      </c>
      <c r="Z77" t="s">
        <v>137</v>
      </c>
      <c r="AB77">
        <v>4.9000000000000002E-2</v>
      </c>
      <c r="AD77">
        <v>4.2999999999999997E-2</v>
      </c>
      <c r="AF77">
        <v>5.5E-2</v>
      </c>
      <c r="AG77" t="s">
        <v>95</v>
      </c>
      <c r="AX77" t="s">
        <v>108</v>
      </c>
      <c r="AY77" t="s">
        <v>120</v>
      </c>
      <c r="AZ77" t="s">
        <v>214</v>
      </c>
      <c r="BC77">
        <v>4</v>
      </c>
      <c r="BH77" t="s">
        <v>99</v>
      </c>
      <c r="BO77" t="s">
        <v>111</v>
      </c>
      <c r="CD77" t="s">
        <v>139</v>
      </c>
      <c r="CE77">
        <v>166513</v>
      </c>
      <c r="CF77" t="s">
        <v>140</v>
      </c>
      <c r="CG77" t="s">
        <v>141</v>
      </c>
      <c r="CH77">
        <v>2013</v>
      </c>
    </row>
    <row r="78" spans="1:86" hidden="1" x14ac:dyDescent="0.25">
      <c r="A78">
        <v>330541</v>
      </c>
      <c r="B78" t="s">
        <v>86</v>
      </c>
      <c r="C78" t="s">
        <v>104</v>
      </c>
      <c r="D78" t="s">
        <v>105</v>
      </c>
      <c r="E78" t="s">
        <v>149</v>
      </c>
      <c r="F78">
        <v>99</v>
      </c>
      <c r="K78" t="s">
        <v>130</v>
      </c>
      <c r="L78" t="s">
        <v>117</v>
      </c>
      <c r="M78" t="s">
        <v>90</v>
      </c>
      <c r="V78" t="s">
        <v>91</v>
      </c>
      <c r="W78" t="s">
        <v>92</v>
      </c>
      <c r="X78" t="s">
        <v>93</v>
      </c>
      <c r="Y78">
        <v>5</v>
      </c>
      <c r="Z78" t="s">
        <v>94</v>
      </c>
      <c r="AA78" t="s">
        <v>106</v>
      </c>
      <c r="AB78" s="281">
        <v>0.5</v>
      </c>
      <c r="AG78" t="s">
        <v>95</v>
      </c>
      <c r="AX78" t="s">
        <v>108</v>
      </c>
      <c r="AY78" t="s">
        <v>150</v>
      </c>
      <c r="AZ78" t="s">
        <v>214</v>
      </c>
      <c r="BC78">
        <v>2</v>
      </c>
      <c r="BH78" t="s">
        <v>99</v>
      </c>
      <c r="BO78" t="s">
        <v>111</v>
      </c>
      <c r="CD78" t="s">
        <v>151</v>
      </c>
      <c r="CE78">
        <v>174505</v>
      </c>
      <c r="CF78" t="s">
        <v>152</v>
      </c>
      <c r="CG78" t="s">
        <v>153</v>
      </c>
      <c r="CH78">
        <v>2016</v>
      </c>
    </row>
    <row r="79" spans="1:86" hidden="1" x14ac:dyDescent="0.25">
      <c r="A79">
        <v>330541</v>
      </c>
      <c r="B79" t="s">
        <v>86</v>
      </c>
      <c r="D79" t="s">
        <v>115</v>
      </c>
      <c r="F79">
        <v>99.5</v>
      </c>
      <c r="K79" t="s">
        <v>131</v>
      </c>
      <c r="L79" t="s">
        <v>117</v>
      </c>
      <c r="M79" t="s">
        <v>90</v>
      </c>
      <c r="N79" t="s">
        <v>118</v>
      </c>
      <c r="V79" t="s">
        <v>91</v>
      </c>
      <c r="W79" t="s">
        <v>92</v>
      </c>
      <c r="X79" t="s">
        <v>93</v>
      </c>
      <c r="Y79" t="s">
        <v>119</v>
      </c>
      <c r="Z79" t="s">
        <v>94</v>
      </c>
      <c r="AB79" s="281">
        <v>0.46300000000000002</v>
      </c>
      <c r="AD79">
        <v>0.311</v>
      </c>
      <c r="AF79">
        <v>0.65800000000000003</v>
      </c>
      <c r="AG79" t="s">
        <v>95</v>
      </c>
      <c r="AX79" t="s">
        <v>108</v>
      </c>
      <c r="AY79" t="s">
        <v>120</v>
      </c>
      <c r="AZ79" t="s">
        <v>214</v>
      </c>
      <c r="BC79">
        <v>4</v>
      </c>
      <c r="BH79" t="s">
        <v>99</v>
      </c>
      <c r="BO79" t="s">
        <v>111</v>
      </c>
      <c r="CD79" t="s">
        <v>122</v>
      </c>
      <c r="CE79">
        <v>161002</v>
      </c>
      <c r="CF79" t="s">
        <v>123</v>
      </c>
      <c r="CG79" t="s">
        <v>124</v>
      </c>
      <c r="CH79">
        <v>2012</v>
      </c>
    </row>
    <row r="80" spans="1:86" hidden="1" x14ac:dyDescent="0.25">
      <c r="A80">
        <v>330541</v>
      </c>
      <c r="B80" t="s">
        <v>86</v>
      </c>
      <c r="D80" t="s">
        <v>115</v>
      </c>
      <c r="K80" t="s">
        <v>131</v>
      </c>
      <c r="L80" t="s">
        <v>117</v>
      </c>
      <c r="M80" t="s">
        <v>90</v>
      </c>
      <c r="V80" t="s">
        <v>91</v>
      </c>
      <c r="W80" t="s">
        <v>92</v>
      </c>
      <c r="X80" t="s">
        <v>93</v>
      </c>
      <c r="Y80">
        <v>8</v>
      </c>
      <c r="Z80" t="s">
        <v>137</v>
      </c>
      <c r="AB80">
        <v>0.13900000000000001</v>
      </c>
      <c r="AD80">
        <v>0.127</v>
      </c>
      <c r="AF80">
        <v>0.151</v>
      </c>
      <c r="AG80" t="s">
        <v>95</v>
      </c>
      <c r="AX80" t="s">
        <v>108</v>
      </c>
      <c r="AY80" t="s">
        <v>120</v>
      </c>
      <c r="AZ80" t="s">
        <v>214</v>
      </c>
      <c r="BC80">
        <v>4</v>
      </c>
      <c r="BH80" t="s">
        <v>99</v>
      </c>
      <c r="BO80" t="s">
        <v>111</v>
      </c>
      <c r="CD80" t="s">
        <v>139</v>
      </c>
      <c r="CE80">
        <v>166513</v>
      </c>
      <c r="CF80" t="s">
        <v>140</v>
      </c>
      <c r="CG80" t="s">
        <v>141</v>
      </c>
      <c r="CH80">
        <v>2013</v>
      </c>
    </row>
    <row r="81" spans="1:86" hidden="1" x14ac:dyDescent="0.25">
      <c r="A81">
        <v>330541</v>
      </c>
      <c r="B81" t="s">
        <v>86</v>
      </c>
      <c r="D81" t="s">
        <v>115</v>
      </c>
      <c r="K81" t="s">
        <v>228</v>
      </c>
      <c r="L81" t="s">
        <v>117</v>
      </c>
      <c r="M81" t="s">
        <v>90</v>
      </c>
      <c r="V81" t="s">
        <v>91</v>
      </c>
      <c r="W81" t="s">
        <v>107</v>
      </c>
      <c r="X81" t="s">
        <v>93</v>
      </c>
      <c r="Z81" t="s">
        <v>137</v>
      </c>
      <c r="AB81">
        <v>3.1E-2</v>
      </c>
      <c r="AG81" t="s">
        <v>95</v>
      </c>
      <c r="AX81" t="s">
        <v>144</v>
      </c>
      <c r="AY81" t="s">
        <v>109</v>
      </c>
      <c r="AZ81" t="s">
        <v>214</v>
      </c>
      <c r="BC81">
        <v>6.25E-2</v>
      </c>
      <c r="BH81" t="s">
        <v>99</v>
      </c>
      <c r="BO81" t="s">
        <v>111</v>
      </c>
      <c r="CD81" t="s">
        <v>229</v>
      </c>
      <c r="CE81">
        <v>8860</v>
      </c>
      <c r="CF81" t="s">
        <v>230</v>
      </c>
      <c r="CG81" t="s">
        <v>231</v>
      </c>
      <c r="CH81">
        <v>1973</v>
      </c>
    </row>
    <row r="82" spans="1:86" hidden="1" x14ac:dyDescent="0.25">
      <c r="A82">
        <v>330541</v>
      </c>
      <c r="B82" t="s">
        <v>86</v>
      </c>
      <c r="C82" t="s">
        <v>158</v>
      </c>
      <c r="D82" t="s">
        <v>115</v>
      </c>
      <c r="K82" t="s">
        <v>173</v>
      </c>
      <c r="L82" t="s">
        <v>117</v>
      </c>
      <c r="M82" t="s">
        <v>90</v>
      </c>
      <c r="N82" t="s">
        <v>118</v>
      </c>
      <c r="V82" t="s">
        <v>91</v>
      </c>
      <c r="W82" t="s">
        <v>107</v>
      </c>
      <c r="X82" t="s">
        <v>93</v>
      </c>
      <c r="Y82">
        <v>8</v>
      </c>
      <c r="Z82" t="s">
        <v>94</v>
      </c>
      <c r="AB82" s="281">
        <v>3.7295551999999999E-3</v>
      </c>
      <c r="AG82" t="s">
        <v>95</v>
      </c>
      <c r="AX82" t="s">
        <v>108</v>
      </c>
      <c r="AY82" t="s">
        <v>174</v>
      </c>
      <c r="AZ82" t="s">
        <v>214</v>
      </c>
      <c r="BC82">
        <v>3</v>
      </c>
      <c r="BH82" t="s">
        <v>99</v>
      </c>
      <c r="BO82" t="s">
        <v>111</v>
      </c>
      <c r="CD82" t="s">
        <v>161</v>
      </c>
      <c r="CE82">
        <v>112735</v>
      </c>
      <c r="CF82" t="s">
        <v>162</v>
      </c>
      <c r="CG82" t="s">
        <v>163</v>
      </c>
      <c r="CH82">
        <v>2008</v>
      </c>
    </row>
    <row r="83" spans="1:86" hidden="1" x14ac:dyDescent="0.25">
      <c r="A83">
        <v>330541</v>
      </c>
      <c r="B83" t="s">
        <v>86</v>
      </c>
      <c r="C83" t="s">
        <v>104</v>
      </c>
      <c r="D83" t="s">
        <v>115</v>
      </c>
      <c r="K83" t="s">
        <v>232</v>
      </c>
      <c r="L83" t="s">
        <v>89</v>
      </c>
      <c r="M83" t="s">
        <v>90</v>
      </c>
      <c r="R83">
        <v>14</v>
      </c>
      <c r="T83">
        <v>28</v>
      </c>
      <c r="U83" t="s">
        <v>99</v>
      </c>
      <c r="V83" t="s">
        <v>91</v>
      </c>
      <c r="W83" t="s">
        <v>92</v>
      </c>
      <c r="X83" t="s">
        <v>93</v>
      </c>
      <c r="Z83" t="s">
        <v>94</v>
      </c>
      <c r="AB83" s="281">
        <v>1.0800000000000001E-2</v>
      </c>
      <c r="AD83">
        <v>8.5000000000000006E-3</v>
      </c>
      <c r="AF83">
        <v>1.3599999999999999E-2</v>
      </c>
      <c r="AG83" t="s">
        <v>95</v>
      </c>
      <c r="AX83" t="s">
        <v>108</v>
      </c>
      <c r="AY83" t="s">
        <v>109</v>
      </c>
      <c r="AZ83" t="s">
        <v>214</v>
      </c>
      <c r="BC83">
        <v>1.3899999999999999E-2</v>
      </c>
      <c r="BH83" t="s">
        <v>99</v>
      </c>
      <c r="BO83" t="s">
        <v>111</v>
      </c>
      <c r="CD83" t="s">
        <v>225</v>
      </c>
      <c r="CE83">
        <v>83755</v>
      </c>
      <c r="CF83" t="s">
        <v>226</v>
      </c>
      <c r="CG83" t="s">
        <v>227</v>
      </c>
      <c r="CH83">
        <v>2005</v>
      </c>
    </row>
    <row r="84" spans="1:86" x14ac:dyDescent="0.25">
      <c r="A84">
        <v>330541</v>
      </c>
      <c r="B84" t="s">
        <v>86</v>
      </c>
      <c r="C84" t="s">
        <v>183</v>
      </c>
      <c r="D84" t="s">
        <v>115</v>
      </c>
      <c r="F84">
        <v>98.5</v>
      </c>
      <c r="K84" t="s">
        <v>224</v>
      </c>
      <c r="L84" t="s">
        <v>89</v>
      </c>
      <c r="M84" t="s">
        <v>90</v>
      </c>
      <c r="N84" t="s">
        <v>233</v>
      </c>
      <c r="O84" t="s">
        <v>234</v>
      </c>
      <c r="P84">
        <v>24</v>
      </c>
      <c r="U84" t="s">
        <v>213</v>
      </c>
      <c r="V84" t="s">
        <v>91</v>
      </c>
      <c r="W84" t="s">
        <v>92</v>
      </c>
      <c r="X84" t="s">
        <v>93</v>
      </c>
      <c r="Z84" t="s">
        <v>94</v>
      </c>
      <c r="AA84" t="s">
        <v>234</v>
      </c>
      <c r="AB84" s="281">
        <v>0.1</v>
      </c>
      <c r="AG84" t="s">
        <v>95</v>
      </c>
      <c r="AX84" t="s">
        <v>108</v>
      </c>
      <c r="AY84" t="s">
        <v>160</v>
      </c>
      <c r="AZ84" t="s">
        <v>214</v>
      </c>
      <c r="BC84">
        <v>3</v>
      </c>
      <c r="BH84" t="s">
        <v>99</v>
      </c>
      <c r="BO84" t="s">
        <v>111</v>
      </c>
      <c r="CD84" t="s">
        <v>235</v>
      </c>
      <c r="CE84">
        <v>102051</v>
      </c>
      <c r="CF84" t="s">
        <v>236</v>
      </c>
      <c r="CG84" t="s">
        <v>237</v>
      </c>
      <c r="CH84">
        <v>2003</v>
      </c>
    </row>
    <row r="85" spans="1:86" hidden="1" x14ac:dyDescent="0.25">
      <c r="A85">
        <v>330541</v>
      </c>
      <c r="B85" t="s">
        <v>86</v>
      </c>
      <c r="D85" t="s">
        <v>115</v>
      </c>
      <c r="K85" t="s">
        <v>90</v>
      </c>
      <c r="L85" t="s">
        <v>90</v>
      </c>
      <c r="M85" t="s">
        <v>90</v>
      </c>
      <c r="V85" t="s">
        <v>91</v>
      </c>
      <c r="W85" t="s">
        <v>107</v>
      </c>
      <c r="X85" t="s">
        <v>93</v>
      </c>
      <c r="Y85">
        <v>6</v>
      </c>
      <c r="Z85" t="s">
        <v>137</v>
      </c>
      <c r="AB85">
        <v>2.7000000000000001E-3</v>
      </c>
      <c r="AG85" t="s">
        <v>95</v>
      </c>
      <c r="AX85" t="s">
        <v>201</v>
      </c>
      <c r="AY85" t="s">
        <v>202</v>
      </c>
      <c r="AZ85" t="s">
        <v>214</v>
      </c>
      <c r="BC85">
        <v>0.41670000000000001</v>
      </c>
      <c r="BH85" t="s">
        <v>99</v>
      </c>
      <c r="BO85" t="s">
        <v>111</v>
      </c>
      <c r="CD85" t="s">
        <v>204</v>
      </c>
      <c r="CE85">
        <v>75334</v>
      </c>
      <c r="CF85" t="s">
        <v>205</v>
      </c>
      <c r="CG85" t="s">
        <v>206</v>
      </c>
      <c r="CH85">
        <v>2003</v>
      </c>
    </row>
    <row r="86" spans="1:86" hidden="1" x14ac:dyDescent="0.25">
      <c r="A86">
        <v>330541</v>
      </c>
      <c r="B86" t="s">
        <v>86</v>
      </c>
      <c r="D86" t="s">
        <v>115</v>
      </c>
      <c r="K86" t="s">
        <v>189</v>
      </c>
      <c r="L86" t="s">
        <v>190</v>
      </c>
      <c r="M86" t="s">
        <v>90</v>
      </c>
      <c r="V86" t="s">
        <v>91</v>
      </c>
      <c r="W86" t="s">
        <v>107</v>
      </c>
      <c r="X86" t="s">
        <v>93</v>
      </c>
      <c r="Z86" t="s">
        <v>137</v>
      </c>
      <c r="AB86">
        <v>0.01</v>
      </c>
      <c r="AG86" t="s">
        <v>95</v>
      </c>
      <c r="AX86" t="s">
        <v>144</v>
      </c>
      <c r="AY86" t="s">
        <v>109</v>
      </c>
      <c r="AZ86" t="s">
        <v>214</v>
      </c>
      <c r="BC86">
        <v>6.25E-2</v>
      </c>
      <c r="BH86" t="s">
        <v>99</v>
      </c>
      <c r="BO86" t="s">
        <v>111</v>
      </c>
      <c r="CD86" t="s">
        <v>229</v>
      </c>
      <c r="CE86">
        <v>8860</v>
      </c>
      <c r="CF86" t="s">
        <v>230</v>
      </c>
      <c r="CG86" t="s">
        <v>231</v>
      </c>
      <c r="CH86">
        <v>1973</v>
      </c>
    </row>
    <row r="87" spans="1:86" hidden="1" x14ac:dyDescent="0.25">
      <c r="A87">
        <v>330541</v>
      </c>
      <c r="B87" t="s">
        <v>86</v>
      </c>
      <c r="D87" t="s">
        <v>115</v>
      </c>
      <c r="K87" t="s">
        <v>238</v>
      </c>
      <c r="L87" t="s">
        <v>89</v>
      </c>
      <c r="M87" t="s">
        <v>90</v>
      </c>
      <c r="V87" t="s">
        <v>91</v>
      </c>
      <c r="W87" t="s">
        <v>107</v>
      </c>
      <c r="X87" t="s">
        <v>93</v>
      </c>
      <c r="Z87" t="s">
        <v>137</v>
      </c>
      <c r="AB87">
        <v>1.9E-2</v>
      </c>
      <c r="AG87" t="s">
        <v>95</v>
      </c>
      <c r="AX87" t="s">
        <v>144</v>
      </c>
      <c r="AY87" t="s">
        <v>109</v>
      </c>
      <c r="AZ87" t="s">
        <v>214</v>
      </c>
      <c r="BC87">
        <v>6.25E-2</v>
      </c>
      <c r="BH87" t="s">
        <v>99</v>
      </c>
      <c r="BO87" t="s">
        <v>111</v>
      </c>
      <c r="CD87" t="s">
        <v>229</v>
      </c>
      <c r="CE87">
        <v>8860</v>
      </c>
      <c r="CF87" t="s">
        <v>230</v>
      </c>
      <c r="CG87" t="s">
        <v>231</v>
      </c>
      <c r="CH87">
        <v>1973</v>
      </c>
    </row>
    <row r="88" spans="1:86" hidden="1" x14ac:dyDescent="0.25">
      <c r="A88">
        <v>330541</v>
      </c>
      <c r="B88" t="s">
        <v>86</v>
      </c>
      <c r="D88" t="s">
        <v>115</v>
      </c>
      <c r="F88">
        <v>97.7</v>
      </c>
      <c r="K88" t="s">
        <v>239</v>
      </c>
      <c r="L88" t="s">
        <v>89</v>
      </c>
      <c r="M88" t="s">
        <v>90</v>
      </c>
      <c r="N88" t="s">
        <v>118</v>
      </c>
      <c r="V88" t="s">
        <v>168</v>
      </c>
      <c r="W88" t="s">
        <v>92</v>
      </c>
      <c r="X88" t="s">
        <v>93</v>
      </c>
      <c r="Y88">
        <v>7</v>
      </c>
      <c r="Z88" t="s">
        <v>94</v>
      </c>
      <c r="AB88" s="281">
        <v>2.3E-2</v>
      </c>
      <c r="AG88" t="s">
        <v>95</v>
      </c>
      <c r="AX88" t="s">
        <v>108</v>
      </c>
      <c r="AY88" t="s">
        <v>160</v>
      </c>
      <c r="AZ88" t="s">
        <v>214</v>
      </c>
      <c r="BC88">
        <v>3</v>
      </c>
      <c r="BH88" t="s">
        <v>99</v>
      </c>
      <c r="BO88" t="s">
        <v>111</v>
      </c>
      <c r="CD88" t="s">
        <v>240</v>
      </c>
      <c r="CE88">
        <v>116910</v>
      </c>
      <c r="CF88" t="s">
        <v>241</v>
      </c>
      <c r="CG88" t="s">
        <v>242</v>
      </c>
      <c r="CH88">
        <v>2009</v>
      </c>
    </row>
    <row r="89" spans="1:86" hidden="1" x14ac:dyDescent="0.25">
      <c r="A89">
        <v>330541</v>
      </c>
      <c r="B89" t="s">
        <v>86</v>
      </c>
      <c r="D89" t="s">
        <v>115</v>
      </c>
      <c r="F89">
        <v>98.6</v>
      </c>
      <c r="K89" t="s">
        <v>211</v>
      </c>
      <c r="L89" t="s">
        <v>212</v>
      </c>
      <c r="M89" t="s">
        <v>90</v>
      </c>
      <c r="P89">
        <v>48</v>
      </c>
      <c r="U89" t="s">
        <v>213</v>
      </c>
      <c r="V89" t="s">
        <v>91</v>
      </c>
      <c r="W89" t="s">
        <v>92</v>
      </c>
      <c r="X89" t="s">
        <v>93</v>
      </c>
      <c r="Y89">
        <v>6</v>
      </c>
      <c r="Z89" t="s">
        <v>94</v>
      </c>
      <c r="AB89">
        <v>3.4964580000000002E-2</v>
      </c>
      <c r="AG89" t="s">
        <v>95</v>
      </c>
      <c r="AX89" t="s">
        <v>108</v>
      </c>
      <c r="AY89" t="s">
        <v>160</v>
      </c>
      <c r="AZ89" t="s">
        <v>214</v>
      </c>
      <c r="BC89">
        <v>4</v>
      </c>
      <c r="BH89" t="s">
        <v>99</v>
      </c>
      <c r="BO89" t="s">
        <v>111</v>
      </c>
      <c r="CD89" t="s">
        <v>215</v>
      </c>
      <c r="CE89">
        <v>63613</v>
      </c>
      <c r="CF89" t="s">
        <v>216</v>
      </c>
      <c r="CG89" t="s">
        <v>217</v>
      </c>
      <c r="CH89">
        <v>1997</v>
      </c>
    </row>
    <row r="90" spans="1:86" hidden="1" x14ac:dyDescent="0.25">
      <c r="A90">
        <v>330541</v>
      </c>
      <c r="B90" t="s">
        <v>86</v>
      </c>
      <c r="D90" t="s">
        <v>115</v>
      </c>
      <c r="E90" t="s">
        <v>106</v>
      </c>
      <c r="F90">
        <v>99.5</v>
      </c>
      <c r="K90" t="s">
        <v>243</v>
      </c>
      <c r="L90" t="s">
        <v>89</v>
      </c>
      <c r="M90" t="s">
        <v>90</v>
      </c>
      <c r="V90" t="s">
        <v>91</v>
      </c>
      <c r="W90" t="s">
        <v>92</v>
      </c>
      <c r="X90" t="s">
        <v>93</v>
      </c>
      <c r="Z90" t="s">
        <v>94</v>
      </c>
      <c r="AB90" s="281">
        <v>9.3238880000000007E-3</v>
      </c>
      <c r="AD90">
        <v>6.9929160000000001E-3</v>
      </c>
      <c r="AF90">
        <v>9.3238880000000007E-3</v>
      </c>
      <c r="AG90" t="s">
        <v>95</v>
      </c>
      <c r="AX90" t="s">
        <v>108</v>
      </c>
      <c r="AY90" t="s">
        <v>160</v>
      </c>
      <c r="AZ90" t="s">
        <v>214</v>
      </c>
      <c r="BC90">
        <v>1</v>
      </c>
      <c r="BH90" t="s">
        <v>99</v>
      </c>
      <c r="BO90" t="s">
        <v>111</v>
      </c>
      <c r="CD90" t="s">
        <v>244</v>
      </c>
      <c r="CE90">
        <v>155441</v>
      </c>
      <c r="CF90" t="s">
        <v>245</v>
      </c>
      <c r="CG90" t="s">
        <v>246</v>
      </c>
      <c r="CH90">
        <v>2011</v>
      </c>
    </row>
    <row r="91" spans="1:86" hidden="1" x14ac:dyDescent="0.25">
      <c r="A91">
        <v>330541</v>
      </c>
      <c r="B91" t="s">
        <v>86</v>
      </c>
      <c r="D91" t="s">
        <v>115</v>
      </c>
      <c r="F91">
        <v>99.5</v>
      </c>
      <c r="K91" t="s">
        <v>130</v>
      </c>
      <c r="L91" t="s">
        <v>117</v>
      </c>
      <c r="M91" t="s">
        <v>90</v>
      </c>
      <c r="N91" t="s">
        <v>118</v>
      </c>
      <c r="V91" t="s">
        <v>91</v>
      </c>
      <c r="W91" t="s">
        <v>92</v>
      </c>
      <c r="X91" t="s">
        <v>93</v>
      </c>
      <c r="Y91" t="s">
        <v>119</v>
      </c>
      <c r="Z91" t="s">
        <v>94</v>
      </c>
      <c r="AB91" s="281">
        <v>0.108</v>
      </c>
      <c r="AD91">
        <v>8.8999999999999996E-2</v>
      </c>
      <c r="AF91">
        <v>0.13700000000000001</v>
      </c>
      <c r="AG91" t="s">
        <v>95</v>
      </c>
      <c r="AX91" t="s">
        <v>108</v>
      </c>
      <c r="AY91" t="s">
        <v>120</v>
      </c>
      <c r="AZ91" t="s">
        <v>214</v>
      </c>
      <c r="BC91">
        <v>4</v>
      </c>
      <c r="BH91" t="s">
        <v>99</v>
      </c>
      <c r="BO91" t="s">
        <v>111</v>
      </c>
      <c r="CD91" t="s">
        <v>122</v>
      </c>
      <c r="CE91">
        <v>161002</v>
      </c>
      <c r="CF91" t="s">
        <v>123</v>
      </c>
      <c r="CG91" t="s">
        <v>124</v>
      </c>
      <c r="CH91">
        <v>2012</v>
      </c>
    </row>
    <row r="92" spans="1:86" hidden="1" x14ac:dyDescent="0.25">
      <c r="A92">
        <v>330541</v>
      </c>
      <c r="B92" t="s">
        <v>86</v>
      </c>
      <c r="D92" t="s">
        <v>115</v>
      </c>
      <c r="F92">
        <v>98</v>
      </c>
      <c r="K92" t="s">
        <v>167</v>
      </c>
      <c r="L92" t="s">
        <v>143</v>
      </c>
      <c r="M92" t="s">
        <v>90</v>
      </c>
      <c r="V92" t="s">
        <v>168</v>
      </c>
      <c r="W92" t="s">
        <v>107</v>
      </c>
      <c r="X92" t="s">
        <v>93</v>
      </c>
      <c r="Z92" t="s">
        <v>94</v>
      </c>
      <c r="AB92" s="281">
        <v>4.7000000000000002E-3</v>
      </c>
      <c r="AD92">
        <v>3.0000000000000001E-3</v>
      </c>
      <c r="AF92">
        <v>7.3000000000000001E-3</v>
      </c>
      <c r="AG92" t="s">
        <v>95</v>
      </c>
      <c r="AX92" t="s">
        <v>108</v>
      </c>
      <c r="AY92" t="s">
        <v>160</v>
      </c>
      <c r="AZ92" t="s">
        <v>214</v>
      </c>
      <c r="BC92">
        <v>7</v>
      </c>
      <c r="BH92" t="s">
        <v>99</v>
      </c>
      <c r="BO92" t="s">
        <v>111</v>
      </c>
      <c r="CD92" t="s">
        <v>169</v>
      </c>
      <c r="CE92">
        <v>156339</v>
      </c>
      <c r="CF92" t="s">
        <v>170</v>
      </c>
      <c r="CG92" t="s">
        <v>171</v>
      </c>
      <c r="CH92">
        <v>2011</v>
      </c>
    </row>
    <row r="93" spans="1:86" hidden="1" x14ac:dyDescent="0.25">
      <c r="A93">
        <v>330541</v>
      </c>
      <c r="B93" t="s">
        <v>86</v>
      </c>
      <c r="C93" t="s">
        <v>158</v>
      </c>
      <c r="D93" t="s">
        <v>115</v>
      </c>
      <c r="K93" t="s">
        <v>247</v>
      </c>
      <c r="L93" t="s">
        <v>90</v>
      </c>
      <c r="M93" t="s">
        <v>90</v>
      </c>
      <c r="P93">
        <v>3</v>
      </c>
      <c r="U93" t="s">
        <v>219</v>
      </c>
      <c r="V93" t="s">
        <v>91</v>
      </c>
      <c r="W93" t="s">
        <v>220</v>
      </c>
      <c r="X93" t="s">
        <v>93</v>
      </c>
      <c r="Y93">
        <v>11</v>
      </c>
      <c r="Z93" t="s">
        <v>94</v>
      </c>
      <c r="AD93">
        <v>0.2</v>
      </c>
      <c r="AF93">
        <v>2</v>
      </c>
      <c r="AG93" t="s">
        <v>95</v>
      </c>
      <c r="AX93" t="s">
        <v>108</v>
      </c>
      <c r="AY93" t="s">
        <v>160</v>
      </c>
      <c r="AZ93" t="s">
        <v>214</v>
      </c>
      <c r="BE93">
        <v>5</v>
      </c>
      <c r="BG93">
        <v>30</v>
      </c>
      <c r="BH93" t="s">
        <v>99</v>
      </c>
      <c r="BO93" t="s">
        <v>111</v>
      </c>
      <c r="CD93" t="s">
        <v>221</v>
      </c>
      <c r="CE93">
        <v>4871</v>
      </c>
      <c r="CF93" t="s">
        <v>222</v>
      </c>
      <c r="CG93" t="s">
        <v>223</v>
      </c>
      <c r="CH93">
        <v>1975</v>
      </c>
    </row>
    <row r="94" spans="1:86" hidden="1" x14ac:dyDescent="0.25">
      <c r="A94">
        <v>330541</v>
      </c>
      <c r="B94" t="s">
        <v>86</v>
      </c>
      <c r="D94" t="s">
        <v>115</v>
      </c>
      <c r="F94">
        <v>99.5</v>
      </c>
      <c r="K94" t="s">
        <v>129</v>
      </c>
      <c r="L94" t="s">
        <v>117</v>
      </c>
      <c r="M94" t="s">
        <v>90</v>
      </c>
      <c r="N94" t="s">
        <v>118</v>
      </c>
      <c r="V94" t="s">
        <v>91</v>
      </c>
      <c r="W94" t="s">
        <v>92</v>
      </c>
      <c r="X94" t="s">
        <v>93</v>
      </c>
      <c r="Y94" t="s">
        <v>119</v>
      </c>
      <c r="Z94" t="s">
        <v>94</v>
      </c>
      <c r="AB94" s="281">
        <v>4.2359999999999998</v>
      </c>
      <c r="AD94">
        <v>3.9049999999999998</v>
      </c>
      <c r="AF94">
        <v>4.5289999999999999</v>
      </c>
      <c r="AG94" t="s">
        <v>95</v>
      </c>
      <c r="AX94" t="s">
        <v>108</v>
      </c>
      <c r="AY94" t="s">
        <v>120</v>
      </c>
      <c r="AZ94" t="s">
        <v>214</v>
      </c>
      <c r="BC94">
        <v>4</v>
      </c>
      <c r="BH94" t="s">
        <v>99</v>
      </c>
      <c r="BO94" t="s">
        <v>111</v>
      </c>
      <c r="CD94" t="s">
        <v>122</v>
      </c>
      <c r="CE94">
        <v>161002</v>
      </c>
      <c r="CF94" t="s">
        <v>123</v>
      </c>
      <c r="CG94" t="s">
        <v>124</v>
      </c>
      <c r="CH94">
        <v>2012</v>
      </c>
    </row>
    <row r="95" spans="1:86" hidden="1" x14ac:dyDescent="0.25">
      <c r="A95">
        <v>330541</v>
      </c>
      <c r="B95" t="s">
        <v>86</v>
      </c>
      <c r="D95" t="s">
        <v>115</v>
      </c>
      <c r="K95" t="s">
        <v>248</v>
      </c>
      <c r="L95" t="s">
        <v>117</v>
      </c>
      <c r="M95" t="s">
        <v>90</v>
      </c>
      <c r="V95" t="s">
        <v>168</v>
      </c>
      <c r="W95" t="s">
        <v>92</v>
      </c>
      <c r="X95" t="s">
        <v>93</v>
      </c>
      <c r="Y95">
        <v>6</v>
      </c>
      <c r="Z95" t="s">
        <v>137</v>
      </c>
      <c r="AB95"/>
      <c r="AC95" t="s">
        <v>106</v>
      </c>
      <c r="AD95">
        <v>5.0000000000000001E-3</v>
      </c>
      <c r="AE95" t="s">
        <v>234</v>
      </c>
      <c r="AF95">
        <v>0.01</v>
      </c>
      <c r="AG95" t="s">
        <v>95</v>
      </c>
      <c r="AX95" t="s">
        <v>108</v>
      </c>
      <c r="AY95" t="s">
        <v>160</v>
      </c>
      <c r="AZ95" t="s">
        <v>214</v>
      </c>
      <c r="BE95">
        <v>4</v>
      </c>
      <c r="BG95">
        <v>6</v>
      </c>
      <c r="BH95" t="s">
        <v>99</v>
      </c>
      <c r="BO95" t="s">
        <v>111</v>
      </c>
      <c r="CD95" t="s">
        <v>249</v>
      </c>
      <c r="CE95">
        <v>170085</v>
      </c>
      <c r="CF95" t="s">
        <v>250</v>
      </c>
      <c r="CG95" t="s">
        <v>251</v>
      </c>
      <c r="CH95">
        <v>2011</v>
      </c>
    </row>
    <row r="96" spans="1:86" hidden="1" x14ac:dyDescent="0.25">
      <c r="A96">
        <v>330541</v>
      </c>
      <c r="B96" t="s">
        <v>86</v>
      </c>
      <c r="D96" t="s">
        <v>115</v>
      </c>
      <c r="K96" t="s">
        <v>252</v>
      </c>
      <c r="L96" t="s">
        <v>117</v>
      </c>
      <c r="M96" t="s">
        <v>90</v>
      </c>
      <c r="V96" t="s">
        <v>168</v>
      </c>
      <c r="W96" t="s">
        <v>92</v>
      </c>
      <c r="X96" t="s">
        <v>93</v>
      </c>
      <c r="Y96">
        <v>6</v>
      </c>
      <c r="Z96" t="s">
        <v>137</v>
      </c>
      <c r="AB96"/>
      <c r="AC96" t="s">
        <v>106</v>
      </c>
      <c r="AD96">
        <v>5.0000000000000001E-3</v>
      </c>
      <c r="AE96" t="s">
        <v>234</v>
      </c>
      <c r="AF96">
        <v>0.01</v>
      </c>
      <c r="AG96" t="s">
        <v>95</v>
      </c>
      <c r="AX96" t="s">
        <v>108</v>
      </c>
      <c r="AY96" t="s">
        <v>160</v>
      </c>
      <c r="AZ96" t="s">
        <v>214</v>
      </c>
      <c r="BE96">
        <v>4</v>
      </c>
      <c r="BG96">
        <v>6</v>
      </c>
      <c r="BH96" t="s">
        <v>99</v>
      </c>
      <c r="BO96" t="s">
        <v>111</v>
      </c>
      <c r="CD96" t="s">
        <v>249</v>
      </c>
      <c r="CE96">
        <v>170085</v>
      </c>
      <c r="CF96" t="s">
        <v>250</v>
      </c>
      <c r="CG96" t="s">
        <v>251</v>
      </c>
      <c r="CH96">
        <v>2011</v>
      </c>
    </row>
    <row r="97" spans="1:86" hidden="1" x14ac:dyDescent="0.25">
      <c r="A97">
        <v>330541</v>
      </c>
      <c r="B97" t="s">
        <v>86</v>
      </c>
      <c r="D97" t="s">
        <v>115</v>
      </c>
      <c r="E97" t="s">
        <v>149</v>
      </c>
      <c r="F97">
        <v>99</v>
      </c>
      <c r="K97" t="s">
        <v>253</v>
      </c>
      <c r="L97" t="s">
        <v>117</v>
      </c>
      <c r="M97" t="s">
        <v>90</v>
      </c>
      <c r="N97" t="s">
        <v>118</v>
      </c>
      <c r="V97" t="s">
        <v>91</v>
      </c>
      <c r="W97" t="s">
        <v>92</v>
      </c>
      <c r="X97" t="s">
        <v>93</v>
      </c>
      <c r="Y97">
        <v>8</v>
      </c>
      <c r="Z97" t="s">
        <v>94</v>
      </c>
      <c r="AB97" s="281">
        <v>2.5000000000000001E-2</v>
      </c>
      <c r="AG97" t="s">
        <v>95</v>
      </c>
      <c r="AX97" t="s">
        <v>108</v>
      </c>
      <c r="AY97" t="s">
        <v>160</v>
      </c>
      <c r="AZ97" t="s">
        <v>214</v>
      </c>
      <c r="BC97">
        <v>4</v>
      </c>
      <c r="BH97" t="s">
        <v>99</v>
      </c>
      <c r="BO97" t="s">
        <v>111</v>
      </c>
      <c r="CD97" t="s">
        <v>254</v>
      </c>
      <c r="CE97">
        <v>101987</v>
      </c>
      <c r="CF97" t="s">
        <v>255</v>
      </c>
      <c r="CG97" t="s">
        <v>256</v>
      </c>
      <c r="CH97">
        <v>2007</v>
      </c>
    </row>
    <row r="98" spans="1:86" hidden="1" x14ac:dyDescent="0.25">
      <c r="A98">
        <v>330541</v>
      </c>
      <c r="B98" t="s">
        <v>86</v>
      </c>
      <c r="D98" t="s">
        <v>115</v>
      </c>
      <c r="F98">
        <v>99</v>
      </c>
      <c r="K98" t="s">
        <v>90</v>
      </c>
      <c r="L98" t="s">
        <v>90</v>
      </c>
      <c r="M98" t="s">
        <v>90</v>
      </c>
      <c r="V98" t="s">
        <v>257</v>
      </c>
      <c r="W98" t="s">
        <v>107</v>
      </c>
      <c r="X98" t="s">
        <v>93</v>
      </c>
      <c r="Z98" t="s">
        <v>94</v>
      </c>
      <c r="AB98">
        <v>2.3309720000000002E-3</v>
      </c>
      <c r="AG98" t="s">
        <v>95</v>
      </c>
      <c r="AX98" t="s">
        <v>144</v>
      </c>
      <c r="AY98" t="s">
        <v>109</v>
      </c>
      <c r="AZ98" t="s">
        <v>214</v>
      </c>
      <c r="BC98">
        <v>4.1700000000000001E-2</v>
      </c>
      <c r="BH98" t="s">
        <v>99</v>
      </c>
      <c r="BO98" t="s">
        <v>111</v>
      </c>
      <c r="CD98" t="s">
        <v>258</v>
      </c>
      <c r="CE98">
        <v>6117</v>
      </c>
      <c r="CF98" t="s">
        <v>259</v>
      </c>
      <c r="CG98" t="s">
        <v>260</v>
      </c>
      <c r="CH98">
        <v>1992</v>
      </c>
    </row>
    <row r="99" spans="1:86" hidden="1" x14ac:dyDescent="0.25">
      <c r="A99">
        <v>330541</v>
      </c>
      <c r="B99" t="s">
        <v>86</v>
      </c>
      <c r="D99" t="s">
        <v>115</v>
      </c>
      <c r="K99" t="s">
        <v>129</v>
      </c>
      <c r="L99" t="s">
        <v>117</v>
      </c>
      <c r="M99" t="s">
        <v>90</v>
      </c>
      <c r="V99" t="s">
        <v>168</v>
      </c>
      <c r="W99" t="s">
        <v>92</v>
      </c>
      <c r="X99" t="s">
        <v>93</v>
      </c>
      <c r="Y99">
        <v>6</v>
      </c>
      <c r="Z99" t="s">
        <v>137</v>
      </c>
      <c r="AB99"/>
      <c r="AC99" t="s">
        <v>106</v>
      </c>
      <c r="AD99">
        <v>0.01</v>
      </c>
      <c r="AE99" t="s">
        <v>234</v>
      </c>
      <c r="AF99">
        <v>1.4999999999999999E-2</v>
      </c>
      <c r="AG99" t="s">
        <v>95</v>
      </c>
      <c r="AX99" t="s">
        <v>108</v>
      </c>
      <c r="AY99" t="s">
        <v>160</v>
      </c>
      <c r="AZ99" t="s">
        <v>214</v>
      </c>
      <c r="BE99">
        <v>4</v>
      </c>
      <c r="BG99">
        <v>6</v>
      </c>
      <c r="BH99" t="s">
        <v>99</v>
      </c>
      <c r="BO99" t="s">
        <v>111</v>
      </c>
      <c r="CD99" t="s">
        <v>249</v>
      </c>
      <c r="CE99">
        <v>170085</v>
      </c>
      <c r="CF99" t="s">
        <v>250</v>
      </c>
      <c r="CG99" t="s">
        <v>251</v>
      </c>
      <c r="CH99">
        <v>2011</v>
      </c>
    </row>
    <row r="100" spans="1:86" x14ac:dyDescent="0.25">
      <c r="A100">
        <v>330541</v>
      </c>
      <c r="B100" t="s">
        <v>86</v>
      </c>
      <c r="D100" t="s">
        <v>115</v>
      </c>
      <c r="K100" t="s">
        <v>224</v>
      </c>
      <c r="L100" t="s">
        <v>89</v>
      </c>
      <c r="M100" t="s">
        <v>90</v>
      </c>
      <c r="W100" t="s">
        <v>92</v>
      </c>
      <c r="X100" t="s">
        <v>93</v>
      </c>
      <c r="Z100" t="s">
        <v>137</v>
      </c>
      <c r="AB100">
        <v>4.4999999999999998E-2</v>
      </c>
      <c r="AG100" t="s">
        <v>95</v>
      </c>
      <c r="AX100" t="s">
        <v>108</v>
      </c>
      <c r="AY100" t="s">
        <v>160</v>
      </c>
      <c r="AZ100" t="s">
        <v>214</v>
      </c>
      <c r="BC100">
        <v>3</v>
      </c>
      <c r="BH100" t="s">
        <v>99</v>
      </c>
      <c r="BO100" t="s">
        <v>111</v>
      </c>
      <c r="CD100" t="s">
        <v>261</v>
      </c>
      <c r="CE100">
        <v>112129</v>
      </c>
      <c r="CF100" t="s">
        <v>262</v>
      </c>
      <c r="CG100" t="s">
        <v>263</v>
      </c>
      <c r="CH100">
        <v>2002</v>
      </c>
    </row>
    <row r="101" spans="1:86" hidden="1" x14ac:dyDescent="0.25">
      <c r="A101">
        <v>330541</v>
      </c>
      <c r="B101" t="s">
        <v>86</v>
      </c>
      <c r="C101" t="s">
        <v>104</v>
      </c>
      <c r="D101" t="s">
        <v>105</v>
      </c>
      <c r="E101" t="s">
        <v>149</v>
      </c>
      <c r="F101">
        <v>99</v>
      </c>
      <c r="K101" t="s">
        <v>126</v>
      </c>
      <c r="L101" t="s">
        <v>117</v>
      </c>
      <c r="M101" t="s">
        <v>90</v>
      </c>
      <c r="V101" t="s">
        <v>91</v>
      </c>
      <c r="W101" t="s">
        <v>92</v>
      </c>
      <c r="X101" t="s">
        <v>93</v>
      </c>
      <c r="Y101">
        <v>5</v>
      </c>
      <c r="Z101" t="s">
        <v>94</v>
      </c>
      <c r="AA101" t="s">
        <v>106</v>
      </c>
      <c r="AB101" s="281">
        <v>0.5</v>
      </c>
      <c r="AG101" t="s">
        <v>95</v>
      </c>
      <c r="AX101" t="s">
        <v>108</v>
      </c>
      <c r="AY101" t="s">
        <v>150</v>
      </c>
      <c r="AZ101" t="s">
        <v>214</v>
      </c>
      <c r="BC101">
        <v>2</v>
      </c>
      <c r="BH101" t="s">
        <v>99</v>
      </c>
      <c r="BO101" t="s">
        <v>111</v>
      </c>
      <c r="CD101" t="s">
        <v>151</v>
      </c>
      <c r="CE101">
        <v>174505</v>
      </c>
      <c r="CF101" t="s">
        <v>152</v>
      </c>
      <c r="CG101" t="s">
        <v>153</v>
      </c>
      <c r="CH101">
        <v>2016</v>
      </c>
    </row>
    <row r="102" spans="1:86" hidden="1" x14ac:dyDescent="0.25">
      <c r="A102">
        <v>330541</v>
      </c>
      <c r="B102" t="s">
        <v>86</v>
      </c>
      <c r="C102" t="s">
        <v>158</v>
      </c>
      <c r="D102" t="s">
        <v>115</v>
      </c>
      <c r="K102" t="s">
        <v>173</v>
      </c>
      <c r="L102" t="s">
        <v>117</v>
      </c>
      <c r="M102" t="s">
        <v>90</v>
      </c>
      <c r="N102" t="s">
        <v>118</v>
      </c>
      <c r="V102" t="s">
        <v>91</v>
      </c>
      <c r="W102" t="s">
        <v>107</v>
      </c>
      <c r="X102" t="s">
        <v>93</v>
      </c>
      <c r="Y102">
        <v>8</v>
      </c>
      <c r="Z102" t="s">
        <v>94</v>
      </c>
      <c r="AB102" s="281">
        <v>7.6922075999999997E-3</v>
      </c>
      <c r="AG102" t="s">
        <v>95</v>
      </c>
      <c r="AX102" t="s">
        <v>108</v>
      </c>
      <c r="AY102" t="s">
        <v>160</v>
      </c>
      <c r="AZ102" t="s">
        <v>214</v>
      </c>
      <c r="BC102">
        <v>3</v>
      </c>
      <c r="BH102" t="s">
        <v>99</v>
      </c>
      <c r="BO102" t="s">
        <v>111</v>
      </c>
      <c r="CD102" t="s">
        <v>161</v>
      </c>
      <c r="CE102">
        <v>112735</v>
      </c>
      <c r="CF102" t="s">
        <v>162</v>
      </c>
      <c r="CG102" t="s">
        <v>163</v>
      </c>
      <c r="CH102">
        <v>2008</v>
      </c>
    </row>
    <row r="103" spans="1:86" hidden="1" x14ac:dyDescent="0.25">
      <c r="A103">
        <v>330541</v>
      </c>
      <c r="B103" t="s">
        <v>86</v>
      </c>
      <c r="D103" t="s">
        <v>115</v>
      </c>
      <c r="K103" t="s">
        <v>172</v>
      </c>
      <c r="L103" t="s">
        <v>117</v>
      </c>
      <c r="M103" t="s">
        <v>90</v>
      </c>
      <c r="V103" t="s">
        <v>91</v>
      </c>
      <c r="W103" t="s">
        <v>92</v>
      </c>
      <c r="X103" t="s">
        <v>93</v>
      </c>
      <c r="Y103">
        <v>8</v>
      </c>
      <c r="Z103" t="s">
        <v>137</v>
      </c>
      <c r="AB103">
        <v>2.6059999999999999</v>
      </c>
      <c r="AD103">
        <v>1.016</v>
      </c>
      <c r="AF103">
        <v>4.1970000000000001</v>
      </c>
      <c r="AG103" t="s">
        <v>95</v>
      </c>
      <c r="AX103" t="s">
        <v>108</v>
      </c>
      <c r="AY103" t="s">
        <v>120</v>
      </c>
      <c r="AZ103" t="s">
        <v>214</v>
      </c>
      <c r="BC103">
        <v>4</v>
      </c>
      <c r="BH103" t="s">
        <v>99</v>
      </c>
      <c r="BO103" t="s">
        <v>111</v>
      </c>
      <c r="CD103" t="s">
        <v>139</v>
      </c>
      <c r="CE103">
        <v>166513</v>
      </c>
      <c r="CF103" t="s">
        <v>140</v>
      </c>
      <c r="CG103" t="s">
        <v>141</v>
      </c>
      <c r="CH103">
        <v>2013</v>
      </c>
    </row>
    <row r="104" spans="1:86" hidden="1" x14ac:dyDescent="0.25">
      <c r="A104">
        <v>330541</v>
      </c>
      <c r="B104" t="s">
        <v>86</v>
      </c>
      <c r="D104" t="s">
        <v>115</v>
      </c>
      <c r="K104" t="s">
        <v>264</v>
      </c>
      <c r="L104" t="s">
        <v>212</v>
      </c>
      <c r="M104" t="s">
        <v>90</v>
      </c>
      <c r="V104" t="s">
        <v>91</v>
      </c>
      <c r="W104" t="s">
        <v>107</v>
      </c>
      <c r="X104" t="s">
        <v>93</v>
      </c>
      <c r="Z104" t="s">
        <v>137</v>
      </c>
      <c r="AB104">
        <v>2.4E-2</v>
      </c>
      <c r="AG104" t="s">
        <v>95</v>
      </c>
      <c r="AX104" t="s">
        <v>144</v>
      </c>
      <c r="AY104" t="s">
        <v>109</v>
      </c>
      <c r="AZ104" t="s">
        <v>214</v>
      </c>
      <c r="BC104">
        <v>6.25E-2</v>
      </c>
      <c r="BH104" t="s">
        <v>99</v>
      </c>
      <c r="BO104" t="s">
        <v>111</v>
      </c>
      <c r="CD104" t="s">
        <v>229</v>
      </c>
      <c r="CE104">
        <v>8860</v>
      </c>
      <c r="CF104" t="s">
        <v>230</v>
      </c>
      <c r="CG104" t="s">
        <v>231</v>
      </c>
      <c r="CH104">
        <v>1973</v>
      </c>
    </row>
    <row r="105" spans="1:86" hidden="1" x14ac:dyDescent="0.25">
      <c r="A105">
        <v>330541</v>
      </c>
      <c r="B105" t="s">
        <v>86</v>
      </c>
      <c r="C105" t="s">
        <v>104</v>
      </c>
      <c r="D105" t="s">
        <v>105</v>
      </c>
      <c r="E105" t="s">
        <v>106</v>
      </c>
      <c r="F105">
        <v>95</v>
      </c>
      <c r="K105" t="s">
        <v>90</v>
      </c>
      <c r="L105" t="s">
        <v>90</v>
      </c>
      <c r="M105" t="s">
        <v>90</v>
      </c>
      <c r="V105" t="s">
        <v>91</v>
      </c>
      <c r="W105" t="s">
        <v>107</v>
      </c>
      <c r="X105" t="s">
        <v>93</v>
      </c>
      <c r="Z105" t="s">
        <v>94</v>
      </c>
      <c r="AB105" s="281">
        <v>1.1421762800000001E-2</v>
      </c>
      <c r="AD105">
        <v>4.4288467999999996E-3</v>
      </c>
      <c r="AF105">
        <v>1.81815816E-2</v>
      </c>
      <c r="AG105" t="s">
        <v>95</v>
      </c>
      <c r="AX105" t="s">
        <v>108</v>
      </c>
      <c r="AY105" t="s">
        <v>109</v>
      </c>
      <c r="AZ105" t="s">
        <v>214</v>
      </c>
      <c r="BC105">
        <v>3.1300000000000001E-2</v>
      </c>
      <c r="BH105" t="s">
        <v>99</v>
      </c>
      <c r="BO105" t="s">
        <v>111</v>
      </c>
      <c r="CD105" t="s">
        <v>112</v>
      </c>
      <c r="CE105">
        <v>180287</v>
      </c>
      <c r="CF105" t="s">
        <v>113</v>
      </c>
      <c r="CG105" t="s">
        <v>114</v>
      </c>
      <c r="CH105">
        <v>2004</v>
      </c>
    </row>
    <row r="106" spans="1:86" hidden="1" x14ac:dyDescent="0.25">
      <c r="A106">
        <v>330541</v>
      </c>
      <c r="B106" t="s">
        <v>86</v>
      </c>
      <c r="C106" t="s">
        <v>158</v>
      </c>
      <c r="D106" t="s">
        <v>115</v>
      </c>
      <c r="K106" t="s">
        <v>265</v>
      </c>
      <c r="L106" t="s">
        <v>89</v>
      </c>
      <c r="M106" t="s">
        <v>90</v>
      </c>
      <c r="P106">
        <v>3</v>
      </c>
      <c r="U106" t="s">
        <v>219</v>
      </c>
      <c r="V106" t="s">
        <v>91</v>
      </c>
      <c r="W106" t="s">
        <v>220</v>
      </c>
      <c r="X106" t="s">
        <v>93</v>
      </c>
      <c r="Y106">
        <v>11</v>
      </c>
      <c r="Z106" t="s">
        <v>94</v>
      </c>
      <c r="AB106" s="281">
        <v>1</v>
      </c>
      <c r="AG106" t="s">
        <v>95</v>
      </c>
      <c r="AX106" t="s">
        <v>108</v>
      </c>
      <c r="AY106" t="s">
        <v>160</v>
      </c>
      <c r="AZ106" t="s">
        <v>214</v>
      </c>
      <c r="BE106">
        <v>5</v>
      </c>
      <c r="BG106">
        <v>30</v>
      </c>
      <c r="BH106" t="s">
        <v>99</v>
      </c>
      <c r="BO106" t="s">
        <v>111</v>
      </c>
      <c r="CD106" t="s">
        <v>221</v>
      </c>
      <c r="CE106">
        <v>4871</v>
      </c>
      <c r="CF106" t="s">
        <v>222</v>
      </c>
      <c r="CG106" t="s">
        <v>223</v>
      </c>
      <c r="CH106">
        <v>1975</v>
      </c>
    </row>
    <row r="107" spans="1:86" hidden="1" x14ac:dyDescent="0.25">
      <c r="A107">
        <v>330541</v>
      </c>
      <c r="B107" t="s">
        <v>86</v>
      </c>
      <c r="C107" t="s">
        <v>158</v>
      </c>
      <c r="D107" t="s">
        <v>115</v>
      </c>
      <c r="K107" t="s">
        <v>159</v>
      </c>
      <c r="L107" t="s">
        <v>90</v>
      </c>
      <c r="M107" t="s">
        <v>90</v>
      </c>
      <c r="N107" t="s">
        <v>118</v>
      </c>
      <c r="V107" t="s">
        <v>91</v>
      </c>
      <c r="W107" t="s">
        <v>107</v>
      </c>
      <c r="X107" t="s">
        <v>93</v>
      </c>
      <c r="Y107">
        <v>8</v>
      </c>
      <c r="Z107" t="s">
        <v>94</v>
      </c>
      <c r="AB107" s="281">
        <v>5.8274299999999998E-3</v>
      </c>
      <c r="AG107" t="s">
        <v>95</v>
      </c>
      <c r="AX107" t="s">
        <v>108</v>
      </c>
      <c r="AY107" t="s">
        <v>174</v>
      </c>
      <c r="AZ107" t="s">
        <v>214</v>
      </c>
      <c r="BC107">
        <v>3</v>
      </c>
      <c r="BH107" t="s">
        <v>99</v>
      </c>
      <c r="BO107" t="s">
        <v>111</v>
      </c>
      <c r="CD107" t="s">
        <v>161</v>
      </c>
      <c r="CE107">
        <v>112735</v>
      </c>
      <c r="CF107" t="s">
        <v>162</v>
      </c>
      <c r="CG107" t="s">
        <v>163</v>
      </c>
      <c r="CH107">
        <v>2008</v>
      </c>
    </row>
    <row r="108" spans="1:86" hidden="1" x14ac:dyDescent="0.25">
      <c r="A108">
        <v>330541</v>
      </c>
      <c r="B108" t="s">
        <v>86</v>
      </c>
      <c r="D108" t="s">
        <v>115</v>
      </c>
      <c r="K108" t="s">
        <v>176</v>
      </c>
      <c r="L108" t="s">
        <v>90</v>
      </c>
      <c r="M108" t="s">
        <v>90</v>
      </c>
      <c r="N108" t="s">
        <v>118</v>
      </c>
      <c r="V108" t="s">
        <v>91</v>
      </c>
      <c r="W108" t="s">
        <v>92</v>
      </c>
      <c r="X108" t="s">
        <v>93</v>
      </c>
      <c r="Y108" t="s">
        <v>136</v>
      </c>
      <c r="Z108" t="s">
        <v>137</v>
      </c>
      <c r="AB108">
        <v>4.8000000000000001E-2</v>
      </c>
      <c r="AG108" t="s">
        <v>95</v>
      </c>
      <c r="AX108" t="s">
        <v>108</v>
      </c>
      <c r="AY108" t="s">
        <v>120</v>
      </c>
      <c r="AZ108" t="s">
        <v>214</v>
      </c>
      <c r="BC108">
        <v>4</v>
      </c>
      <c r="BH108" t="s">
        <v>99</v>
      </c>
      <c r="BO108" t="s">
        <v>111</v>
      </c>
      <c r="CD108" t="s">
        <v>155</v>
      </c>
      <c r="CE108">
        <v>166447</v>
      </c>
      <c r="CF108" t="s">
        <v>156</v>
      </c>
      <c r="CG108" t="s">
        <v>157</v>
      </c>
      <c r="CH108">
        <v>2014</v>
      </c>
    </row>
    <row r="109" spans="1:86" hidden="1" x14ac:dyDescent="0.25">
      <c r="A109">
        <v>330541</v>
      </c>
      <c r="B109" t="s">
        <v>86</v>
      </c>
      <c r="C109" t="s">
        <v>104</v>
      </c>
      <c r="D109" t="s">
        <v>105</v>
      </c>
      <c r="E109" t="s">
        <v>149</v>
      </c>
      <c r="F109">
        <v>99</v>
      </c>
      <c r="K109" t="s">
        <v>175</v>
      </c>
      <c r="L109" t="s">
        <v>117</v>
      </c>
      <c r="M109" t="s">
        <v>90</v>
      </c>
      <c r="V109" t="s">
        <v>91</v>
      </c>
      <c r="W109" t="s">
        <v>92</v>
      </c>
      <c r="X109" t="s">
        <v>93</v>
      </c>
      <c r="Y109">
        <v>5</v>
      </c>
      <c r="Z109" t="s">
        <v>94</v>
      </c>
      <c r="AB109" s="281">
        <v>3.0000000000000001E-3</v>
      </c>
      <c r="AG109" t="s">
        <v>95</v>
      </c>
      <c r="AX109" t="s">
        <v>108</v>
      </c>
      <c r="AY109" t="s">
        <v>150</v>
      </c>
      <c r="AZ109" t="s">
        <v>214</v>
      </c>
      <c r="BC109">
        <v>2</v>
      </c>
      <c r="BH109" t="s">
        <v>99</v>
      </c>
      <c r="BO109" t="s">
        <v>111</v>
      </c>
      <c r="CD109" t="s">
        <v>151</v>
      </c>
      <c r="CE109">
        <v>174505</v>
      </c>
      <c r="CF109" t="s">
        <v>152</v>
      </c>
      <c r="CG109" t="s">
        <v>153</v>
      </c>
      <c r="CH109">
        <v>2016</v>
      </c>
    </row>
    <row r="110" spans="1:86" hidden="1" x14ac:dyDescent="0.25">
      <c r="A110">
        <v>330541</v>
      </c>
      <c r="B110" t="s">
        <v>86</v>
      </c>
      <c r="D110" t="s">
        <v>115</v>
      </c>
      <c r="K110" t="s">
        <v>266</v>
      </c>
      <c r="L110" t="s">
        <v>117</v>
      </c>
      <c r="M110" t="s">
        <v>90</v>
      </c>
      <c r="V110" t="s">
        <v>91</v>
      </c>
      <c r="W110" t="s">
        <v>107</v>
      </c>
      <c r="X110" t="s">
        <v>93</v>
      </c>
      <c r="Z110" t="s">
        <v>137</v>
      </c>
      <c r="AB110">
        <v>9.5000000000000001E-2</v>
      </c>
      <c r="AG110" t="s">
        <v>95</v>
      </c>
      <c r="AX110" t="s">
        <v>144</v>
      </c>
      <c r="AY110" t="s">
        <v>109</v>
      </c>
      <c r="AZ110" t="s">
        <v>214</v>
      </c>
      <c r="BC110">
        <v>6.25E-2</v>
      </c>
      <c r="BH110" t="s">
        <v>99</v>
      </c>
      <c r="BO110" t="s">
        <v>111</v>
      </c>
      <c r="CD110" t="s">
        <v>229</v>
      </c>
      <c r="CE110">
        <v>8860</v>
      </c>
      <c r="CF110" t="s">
        <v>230</v>
      </c>
      <c r="CG110" t="s">
        <v>231</v>
      </c>
      <c r="CH110">
        <v>1973</v>
      </c>
    </row>
    <row r="111" spans="1:86" hidden="1" x14ac:dyDescent="0.25">
      <c r="A111">
        <v>330541</v>
      </c>
      <c r="B111" t="s">
        <v>86</v>
      </c>
      <c r="C111" t="s">
        <v>104</v>
      </c>
      <c r="D111" t="s">
        <v>105</v>
      </c>
      <c r="E111" t="s">
        <v>106</v>
      </c>
      <c r="F111">
        <v>95</v>
      </c>
      <c r="K111" t="s">
        <v>90</v>
      </c>
      <c r="L111" t="s">
        <v>90</v>
      </c>
      <c r="M111" t="s">
        <v>90</v>
      </c>
      <c r="V111" t="s">
        <v>91</v>
      </c>
      <c r="W111" t="s">
        <v>107</v>
      </c>
      <c r="X111" t="s">
        <v>93</v>
      </c>
      <c r="Z111" t="s">
        <v>94</v>
      </c>
      <c r="AB111" s="281">
        <v>9.0907907999999999E-3</v>
      </c>
      <c r="AD111">
        <v>7.9253047999999996E-3</v>
      </c>
      <c r="AF111">
        <v>1.23541516E-2</v>
      </c>
      <c r="AG111" t="s">
        <v>95</v>
      </c>
      <c r="AX111" t="s">
        <v>108</v>
      </c>
      <c r="AY111" t="s">
        <v>109</v>
      </c>
      <c r="AZ111" t="s">
        <v>214</v>
      </c>
      <c r="BC111">
        <v>3.1300000000000001E-2</v>
      </c>
      <c r="BH111" t="s">
        <v>99</v>
      </c>
      <c r="BO111" t="s">
        <v>111</v>
      </c>
      <c r="CD111" t="s">
        <v>112</v>
      </c>
      <c r="CE111">
        <v>180287</v>
      </c>
      <c r="CF111" t="s">
        <v>113</v>
      </c>
      <c r="CG111" t="s">
        <v>114</v>
      </c>
      <c r="CH111">
        <v>2004</v>
      </c>
    </row>
    <row r="112" spans="1:86" hidden="1" x14ac:dyDescent="0.25">
      <c r="A112">
        <v>330541</v>
      </c>
      <c r="B112" t="s">
        <v>86</v>
      </c>
      <c r="D112" t="s">
        <v>115</v>
      </c>
      <c r="F112">
        <v>99</v>
      </c>
      <c r="K112" t="s">
        <v>90</v>
      </c>
      <c r="L112" t="s">
        <v>90</v>
      </c>
      <c r="M112" t="s">
        <v>90</v>
      </c>
      <c r="V112" t="s">
        <v>91</v>
      </c>
      <c r="W112" t="s">
        <v>107</v>
      </c>
      <c r="X112" t="s">
        <v>93</v>
      </c>
      <c r="Z112" t="s">
        <v>94</v>
      </c>
      <c r="AD112">
        <v>3.7295551999999999E-4</v>
      </c>
      <c r="AF112">
        <v>0.2330972</v>
      </c>
      <c r="AG112" t="s">
        <v>95</v>
      </c>
      <c r="AX112" t="s">
        <v>108</v>
      </c>
      <c r="AY112" t="s">
        <v>174</v>
      </c>
      <c r="AZ112" t="s">
        <v>214</v>
      </c>
      <c r="BE112">
        <v>21</v>
      </c>
      <c r="BG112">
        <v>28</v>
      </c>
      <c r="BH112" t="s">
        <v>99</v>
      </c>
      <c r="BO112" t="s">
        <v>111</v>
      </c>
      <c r="CD112" t="s">
        <v>267</v>
      </c>
      <c r="CE112">
        <v>6147</v>
      </c>
      <c r="CF112" t="s">
        <v>268</v>
      </c>
      <c r="CG112" t="s">
        <v>269</v>
      </c>
      <c r="CH112">
        <v>1992</v>
      </c>
    </row>
    <row r="113" spans="1:86" hidden="1" x14ac:dyDescent="0.25">
      <c r="A113">
        <v>330541</v>
      </c>
      <c r="B113" t="s">
        <v>86</v>
      </c>
      <c r="D113" t="s">
        <v>115</v>
      </c>
      <c r="F113">
        <v>98</v>
      </c>
      <c r="K113" t="s">
        <v>177</v>
      </c>
      <c r="L113" t="s">
        <v>178</v>
      </c>
      <c r="M113" t="s">
        <v>90</v>
      </c>
      <c r="V113" t="s">
        <v>168</v>
      </c>
      <c r="W113" t="s">
        <v>107</v>
      </c>
      <c r="X113" t="s">
        <v>93</v>
      </c>
      <c r="Z113" t="s">
        <v>94</v>
      </c>
      <c r="AB113">
        <v>43</v>
      </c>
      <c r="AD113">
        <v>38</v>
      </c>
      <c r="AF113">
        <v>49</v>
      </c>
      <c r="AG113" t="s">
        <v>95</v>
      </c>
      <c r="AX113" t="s">
        <v>144</v>
      </c>
      <c r="AY113" t="s">
        <v>145</v>
      </c>
      <c r="AZ113" t="s">
        <v>214</v>
      </c>
      <c r="BA113" t="s">
        <v>179</v>
      </c>
      <c r="BC113">
        <v>1</v>
      </c>
      <c r="BH113" t="s">
        <v>99</v>
      </c>
      <c r="BO113" t="s">
        <v>111</v>
      </c>
      <c r="CD113" t="s">
        <v>169</v>
      </c>
      <c r="CE113">
        <v>156339</v>
      </c>
      <c r="CF113" t="s">
        <v>170</v>
      </c>
      <c r="CG113" t="s">
        <v>171</v>
      </c>
      <c r="CH113">
        <v>2011</v>
      </c>
    </row>
    <row r="114" spans="1:86" hidden="1" x14ac:dyDescent="0.25">
      <c r="A114">
        <v>330541</v>
      </c>
      <c r="B114" t="s">
        <v>86</v>
      </c>
      <c r="C114" t="s">
        <v>158</v>
      </c>
      <c r="D114" t="s">
        <v>115</v>
      </c>
      <c r="K114" t="s">
        <v>159</v>
      </c>
      <c r="L114" t="s">
        <v>90</v>
      </c>
      <c r="M114" t="s">
        <v>90</v>
      </c>
      <c r="N114" t="s">
        <v>118</v>
      </c>
      <c r="V114" t="s">
        <v>91</v>
      </c>
      <c r="W114" t="s">
        <v>107</v>
      </c>
      <c r="X114" t="s">
        <v>93</v>
      </c>
      <c r="Y114">
        <v>8</v>
      </c>
      <c r="Z114" t="s">
        <v>94</v>
      </c>
      <c r="AB114" s="281">
        <v>7.6922075999999997E-3</v>
      </c>
      <c r="AG114" t="s">
        <v>95</v>
      </c>
      <c r="AX114" t="s">
        <v>108</v>
      </c>
      <c r="AY114" t="s">
        <v>160</v>
      </c>
      <c r="AZ114" t="s">
        <v>214</v>
      </c>
      <c r="BC114">
        <v>3</v>
      </c>
      <c r="BH114" t="s">
        <v>99</v>
      </c>
      <c r="BO114" t="s">
        <v>111</v>
      </c>
      <c r="CD114" t="s">
        <v>161</v>
      </c>
      <c r="CE114">
        <v>112735</v>
      </c>
      <c r="CF114" t="s">
        <v>162</v>
      </c>
      <c r="CG114" t="s">
        <v>163</v>
      </c>
      <c r="CH114">
        <v>2008</v>
      </c>
    </row>
    <row r="115" spans="1:86" hidden="1" x14ac:dyDescent="0.25">
      <c r="A115">
        <v>330541</v>
      </c>
      <c r="B115" t="s">
        <v>86</v>
      </c>
      <c r="C115" t="s">
        <v>104</v>
      </c>
      <c r="D115" t="s">
        <v>105</v>
      </c>
      <c r="E115" t="s">
        <v>106</v>
      </c>
      <c r="F115">
        <v>95</v>
      </c>
      <c r="K115" t="s">
        <v>90</v>
      </c>
      <c r="L115" t="s">
        <v>90</v>
      </c>
      <c r="M115" t="s">
        <v>90</v>
      </c>
      <c r="V115" t="s">
        <v>91</v>
      </c>
      <c r="W115" t="s">
        <v>107</v>
      </c>
      <c r="X115" t="s">
        <v>93</v>
      </c>
      <c r="Z115" t="s">
        <v>94</v>
      </c>
      <c r="AB115" s="281">
        <v>1.0023179599999999E-2</v>
      </c>
      <c r="AD115">
        <v>8.3914991999999994E-3</v>
      </c>
      <c r="AF115">
        <v>1.1421762800000001E-2</v>
      </c>
      <c r="AG115" t="s">
        <v>95</v>
      </c>
      <c r="AX115" t="s">
        <v>108</v>
      </c>
      <c r="AY115" t="s">
        <v>109</v>
      </c>
      <c r="AZ115" t="s">
        <v>214</v>
      </c>
      <c r="BC115">
        <v>3.1300000000000001E-2</v>
      </c>
      <c r="BH115" t="s">
        <v>99</v>
      </c>
      <c r="BO115" t="s">
        <v>111</v>
      </c>
      <c r="CD115" t="s">
        <v>112</v>
      </c>
      <c r="CE115">
        <v>180287</v>
      </c>
      <c r="CF115" t="s">
        <v>113</v>
      </c>
      <c r="CG115" t="s">
        <v>114</v>
      </c>
      <c r="CH115">
        <v>2004</v>
      </c>
    </row>
    <row r="116" spans="1:86" hidden="1" x14ac:dyDescent="0.25">
      <c r="A116">
        <v>330541</v>
      </c>
      <c r="B116" t="s">
        <v>86</v>
      </c>
      <c r="D116" t="s">
        <v>115</v>
      </c>
      <c r="K116" t="s">
        <v>270</v>
      </c>
      <c r="L116" t="s">
        <v>271</v>
      </c>
      <c r="M116" t="s">
        <v>90</v>
      </c>
      <c r="V116" t="s">
        <v>272</v>
      </c>
      <c r="W116" t="s">
        <v>107</v>
      </c>
      <c r="X116" t="s">
        <v>93</v>
      </c>
      <c r="Z116" t="s">
        <v>137</v>
      </c>
      <c r="AB116">
        <v>6.9929160000000001E-3</v>
      </c>
      <c r="AD116">
        <v>4.4288467999999996E-3</v>
      </c>
      <c r="AF116">
        <v>1.07224712E-2</v>
      </c>
      <c r="AG116" t="s">
        <v>95</v>
      </c>
      <c r="AX116" t="s">
        <v>144</v>
      </c>
      <c r="AY116" t="s">
        <v>109</v>
      </c>
      <c r="AZ116" t="s">
        <v>214</v>
      </c>
      <c r="BC116">
        <v>0.13539999999999999</v>
      </c>
      <c r="BH116" t="s">
        <v>99</v>
      </c>
      <c r="BO116" t="s">
        <v>111</v>
      </c>
      <c r="CD116" t="s">
        <v>273</v>
      </c>
      <c r="CE116">
        <v>175899</v>
      </c>
      <c r="CF116" t="s">
        <v>274</v>
      </c>
      <c r="CG116" t="s">
        <v>275</v>
      </c>
      <c r="CH116">
        <v>2012</v>
      </c>
    </row>
    <row r="117" spans="1:86" hidden="1" x14ac:dyDescent="0.25">
      <c r="A117">
        <v>330541</v>
      </c>
      <c r="B117" t="s">
        <v>86</v>
      </c>
      <c r="D117" t="s">
        <v>115</v>
      </c>
      <c r="K117" t="s">
        <v>270</v>
      </c>
      <c r="L117" t="s">
        <v>271</v>
      </c>
      <c r="M117" t="s">
        <v>90</v>
      </c>
      <c r="V117" t="s">
        <v>272</v>
      </c>
      <c r="W117" t="s">
        <v>107</v>
      </c>
      <c r="X117" t="s">
        <v>93</v>
      </c>
      <c r="Z117" t="s">
        <v>137</v>
      </c>
      <c r="AB117">
        <v>1.3985832E-2</v>
      </c>
      <c r="AG117" t="s">
        <v>95</v>
      </c>
      <c r="AX117" t="s">
        <v>144</v>
      </c>
      <c r="AY117" t="s">
        <v>109</v>
      </c>
      <c r="AZ117" t="s">
        <v>214</v>
      </c>
      <c r="BC117">
        <v>0.13539999999999999</v>
      </c>
      <c r="BH117" t="s">
        <v>99</v>
      </c>
      <c r="BO117" t="s">
        <v>111</v>
      </c>
      <c r="CD117" t="s">
        <v>273</v>
      </c>
      <c r="CE117">
        <v>175899</v>
      </c>
      <c r="CF117" t="s">
        <v>274</v>
      </c>
      <c r="CG117" t="s">
        <v>275</v>
      </c>
      <c r="CH117">
        <v>2012</v>
      </c>
    </row>
    <row r="118" spans="1:86" hidden="1" x14ac:dyDescent="0.25">
      <c r="A118">
        <v>330541</v>
      </c>
      <c r="B118" t="s">
        <v>86</v>
      </c>
      <c r="D118" t="s">
        <v>115</v>
      </c>
      <c r="F118">
        <v>50</v>
      </c>
      <c r="K118" t="s">
        <v>218</v>
      </c>
      <c r="L118" t="s">
        <v>89</v>
      </c>
      <c r="M118" t="s">
        <v>90</v>
      </c>
      <c r="V118" t="s">
        <v>91</v>
      </c>
      <c r="W118" t="s">
        <v>92</v>
      </c>
      <c r="X118" t="s">
        <v>93</v>
      </c>
      <c r="Z118" t="s">
        <v>137</v>
      </c>
      <c r="AB118">
        <v>2.3E-3</v>
      </c>
      <c r="AG118" t="s">
        <v>95</v>
      </c>
      <c r="AX118" t="s">
        <v>108</v>
      </c>
      <c r="AY118" t="s">
        <v>160</v>
      </c>
      <c r="AZ118" t="s">
        <v>214</v>
      </c>
      <c r="BC118">
        <v>4</v>
      </c>
      <c r="BH118" t="s">
        <v>99</v>
      </c>
      <c r="BO118" t="s">
        <v>111</v>
      </c>
      <c r="CD118" t="s">
        <v>276</v>
      </c>
      <c r="CE118">
        <v>158793</v>
      </c>
      <c r="CF118" t="s">
        <v>277</v>
      </c>
      <c r="CG118" t="s">
        <v>278</v>
      </c>
      <c r="CH118">
        <v>2002</v>
      </c>
    </row>
    <row r="119" spans="1:86" hidden="1" x14ac:dyDescent="0.25">
      <c r="A119">
        <v>330541</v>
      </c>
      <c r="B119" t="s">
        <v>86</v>
      </c>
      <c r="C119" t="s">
        <v>104</v>
      </c>
      <c r="D119" t="s">
        <v>115</v>
      </c>
      <c r="K119" t="s">
        <v>279</v>
      </c>
      <c r="L119" t="s">
        <v>280</v>
      </c>
      <c r="M119" t="s">
        <v>90</v>
      </c>
      <c r="R119">
        <v>14</v>
      </c>
      <c r="T119">
        <v>28</v>
      </c>
      <c r="U119" t="s">
        <v>99</v>
      </c>
      <c r="V119" t="s">
        <v>91</v>
      </c>
      <c r="W119" t="s">
        <v>92</v>
      </c>
      <c r="X119" t="s">
        <v>93</v>
      </c>
      <c r="Z119" t="s">
        <v>94</v>
      </c>
      <c r="AB119" s="281">
        <v>3.0000000000000001E-3</v>
      </c>
      <c r="AD119">
        <v>2.3E-3</v>
      </c>
      <c r="AF119">
        <v>3.8E-3</v>
      </c>
      <c r="AG119" t="s">
        <v>95</v>
      </c>
      <c r="AX119" t="s">
        <v>108</v>
      </c>
      <c r="AY119" t="s">
        <v>109</v>
      </c>
      <c r="AZ119" t="s">
        <v>214</v>
      </c>
      <c r="BC119">
        <v>1.3899999999999999E-2</v>
      </c>
      <c r="BH119" t="s">
        <v>99</v>
      </c>
      <c r="BO119" t="s">
        <v>111</v>
      </c>
      <c r="CD119" t="s">
        <v>225</v>
      </c>
      <c r="CE119">
        <v>83755</v>
      </c>
      <c r="CF119" t="s">
        <v>226</v>
      </c>
      <c r="CG119" t="s">
        <v>227</v>
      </c>
      <c r="CH119">
        <v>2005</v>
      </c>
    </row>
    <row r="120" spans="1:86" hidden="1" x14ac:dyDescent="0.25">
      <c r="A120">
        <v>330541</v>
      </c>
      <c r="B120" t="s">
        <v>86</v>
      </c>
      <c r="D120" t="s">
        <v>115</v>
      </c>
      <c r="K120" t="s">
        <v>281</v>
      </c>
      <c r="L120" t="s">
        <v>143</v>
      </c>
      <c r="M120" t="s">
        <v>90</v>
      </c>
      <c r="V120" t="s">
        <v>91</v>
      </c>
      <c r="W120" t="s">
        <v>92</v>
      </c>
      <c r="X120" t="s">
        <v>93</v>
      </c>
      <c r="Z120" t="s">
        <v>137</v>
      </c>
      <c r="AB120">
        <v>1.5</v>
      </c>
      <c r="AG120" t="s">
        <v>95</v>
      </c>
      <c r="AX120" t="s">
        <v>282</v>
      </c>
      <c r="AY120" t="s">
        <v>283</v>
      </c>
      <c r="AZ120" t="s">
        <v>214</v>
      </c>
      <c r="BC120">
        <v>0.20830000000000001</v>
      </c>
      <c r="BH120" t="s">
        <v>99</v>
      </c>
      <c r="BO120" t="s">
        <v>111</v>
      </c>
      <c r="CD120" t="s">
        <v>284</v>
      </c>
      <c r="CE120">
        <v>4684</v>
      </c>
      <c r="CF120" t="s">
        <v>285</v>
      </c>
      <c r="CG120" t="s">
        <v>286</v>
      </c>
      <c r="CH120">
        <v>1980</v>
      </c>
    </row>
    <row r="121" spans="1:86" hidden="1" x14ac:dyDescent="0.25">
      <c r="A121">
        <v>330541</v>
      </c>
      <c r="B121" t="s">
        <v>86</v>
      </c>
      <c r="C121" t="s">
        <v>104</v>
      </c>
      <c r="D121" t="s">
        <v>105</v>
      </c>
      <c r="E121" t="s">
        <v>149</v>
      </c>
      <c r="F121">
        <v>99</v>
      </c>
      <c r="K121" t="s">
        <v>180</v>
      </c>
      <c r="L121" t="s">
        <v>117</v>
      </c>
      <c r="M121" t="s">
        <v>90</v>
      </c>
      <c r="V121" t="s">
        <v>91</v>
      </c>
      <c r="W121" t="s">
        <v>92</v>
      </c>
      <c r="X121" t="s">
        <v>93</v>
      </c>
      <c r="Y121">
        <v>5</v>
      </c>
      <c r="Z121" t="s">
        <v>94</v>
      </c>
      <c r="AB121" s="281">
        <v>0.39500000000000002</v>
      </c>
      <c r="AG121" t="s">
        <v>95</v>
      </c>
      <c r="AX121" t="s">
        <v>108</v>
      </c>
      <c r="AY121" t="s">
        <v>150</v>
      </c>
      <c r="AZ121" t="s">
        <v>214</v>
      </c>
      <c r="BC121">
        <v>2</v>
      </c>
      <c r="BH121" t="s">
        <v>99</v>
      </c>
      <c r="BO121" t="s">
        <v>111</v>
      </c>
      <c r="CD121" t="s">
        <v>151</v>
      </c>
      <c r="CE121">
        <v>174505</v>
      </c>
      <c r="CF121" t="s">
        <v>152</v>
      </c>
      <c r="CG121" t="s">
        <v>153</v>
      </c>
      <c r="CH121">
        <v>2016</v>
      </c>
    </row>
    <row r="122" spans="1:86" hidden="1" x14ac:dyDescent="0.25">
      <c r="A122">
        <v>330541</v>
      </c>
      <c r="B122" t="s">
        <v>86</v>
      </c>
      <c r="D122" t="s">
        <v>115</v>
      </c>
      <c r="F122">
        <v>99.5</v>
      </c>
      <c r="K122" t="s">
        <v>135</v>
      </c>
      <c r="L122" t="s">
        <v>117</v>
      </c>
      <c r="M122" t="s">
        <v>90</v>
      </c>
      <c r="N122" t="s">
        <v>118</v>
      </c>
      <c r="V122" t="s">
        <v>91</v>
      </c>
      <c r="W122" t="s">
        <v>92</v>
      </c>
      <c r="X122" t="s">
        <v>93</v>
      </c>
      <c r="Y122" t="s">
        <v>119</v>
      </c>
      <c r="Z122" t="s">
        <v>94</v>
      </c>
      <c r="AB122" s="281">
        <v>2.2549999999999999</v>
      </c>
      <c r="AD122">
        <v>1.92</v>
      </c>
      <c r="AF122">
        <v>2.5179999999999998</v>
      </c>
      <c r="AG122" t="s">
        <v>95</v>
      </c>
      <c r="AX122" t="s">
        <v>108</v>
      </c>
      <c r="AY122" t="s">
        <v>120</v>
      </c>
      <c r="AZ122" t="s">
        <v>214</v>
      </c>
      <c r="BC122">
        <v>4</v>
      </c>
      <c r="BH122" t="s">
        <v>99</v>
      </c>
      <c r="BO122" t="s">
        <v>111</v>
      </c>
      <c r="CD122" t="s">
        <v>122</v>
      </c>
      <c r="CE122">
        <v>161002</v>
      </c>
      <c r="CF122" t="s">
        <v>123</v>
      </c>
      <c r="CG122" t="s">
        <v>124</v>
      </c>
      <c r="CH122">
        <v>2012</v>
      </c>
    </row>
    <row r="123" spans="1:86" hidden="1" x14ac:dyDescent="0.25">
      <c r="A123">
        <v>330541</v>
      </c>
      <c r="B123" t="s">
        <v>86</v>
      </c>
      <c r="C123" t="s">
        <v>104</v>
      </c>
      <c r="D123" t="s">
        <v>105</v>
      </c>
      <c r="E123" t="s">
        <v>106</v>
      </c>
      <c r="F123">
        <v>95</v>
      </c>
      <c r="K123" t="s">
        <v>90</v>
      </c>
      <c r="L123" t="s">
        <v>90</v>
      </c>
      <c r="M123" t="s">
        <v>90</v>
      </c>
      <c r="V123" t="s">
        <v>91</v>
      </c>
      <c r="W123" t="s">
        <v>107</v>
      </c>
      <c r="X123" t="s">
        <v>93</v>
      </c>
      <c r="Z123" t="s">
        <v>94</v>
      </c>
      <c r="AB123" s="281">
        <v>4.1957495999999997E-3</v>
      </c>
      <c r="AD123">
        <v>3.496458E-3</v>
      </c>
      <c r="AF123">
        <v>4.8950412000000002E-3</v>
      </c>
      <c r="AG123" t="s">
        <v>95</v>
      </c>
      <c r="AX123" t="s">
        <v>108</v>
      </c>
      <c r="AY123" t="s">
        <v>109</v>
      </c>
      <c r="AZ123" t="s">
        <v>214</v>
      </c>
      <c r="BC123">
        <v>3.1300000000000001E-2</v>
      </c>
      <c r="BH123" t="s">
        <v>99</v>
      </c>
      <c r="BO123" t="s">
        <v>111</v>
      </c>
      <c r="CD123" t="s">
        <v>112</v>
      </c>
      <c r="CE123">
        <v>180287</v>
      </c>
      <c r="CF123" t="s">
        <v>113</v>
      </c>
      <c r="CG123" t="s">
        <v>114</v>
      </c>
      <c r="CH123">
        <v>2004</v>
      </c>
    </row>
    <row r="124" spans="1:86" hidden="1" x14ac:dyDescent="0.25">
      <c r="A124">
        <v>330541</v>
      </c>
      <c r="B124" t="s">
        <v>86</v>
      </c>
      <c r="C124" t="s">
        <v>104</v>
      </c>
      <c r="D124" t="s">
        <v>115</v>
      </c>
      <c r="K124" t="s">
        <v>287</v>
      </c>
      <c r="L124" t="s">
        <v>89</v>
      </c>
      <c r="M124" t="s">
        <v>90</v>
      </c>
      <c r="R124">
        <v>14</v>
      </c>
      <c r="T124">
        <v>28</v>
      </c>
      <c r="U124" t="s">
        <v>99</v>
      </c>
      <c r="V124" t="s">
        <v>91</v>
      </c>
      <c r="W124" t="s">
        <v>92</v>
      </c>
      <c r="X124" t="s">
        <v>93</v>
      </c>
      <c r="Z124" t="s">
        <v>94</v>
      </c>
      <c r="AB124" s="281">
        <v>1.32E-2</v>
      </c>
      <c r="AD124">
        <v>1.04E-2</v>
      </c>
      <c r="AF124">
        <v>1.6899999999999998E-2</v>
      </c>
      <c r="AG124" t="s">
        <v>95</v>
      </c>
      <c r="AX124" t="s">
        <v>108</v>
      </c>
      <c r="AY124" t="s">
        <v>109</v>
      </c>
      <c r="AZ124" t="s">
        <v>214</v>
      </c>
      <c r="BC124">
        <v>1.3899999999999999E-2</v>
      </c>
      <c r="BH124" t="s">
        <v>99</v>
      </c>
      <c r="BO124" t="s">
        <v>111</v>
      </c>
      <c r="CD124" t="s">
        <v>225</v>
      </c>
      <c r="CE124">
        <v>83755</v>
      </c>
      <c r="CF124" t="s">
        <v>226</v>
      </c>
      <c r="CG124" t="s">
        <v>227</v>
      </c>
      <c r="CH124">
        <v>2005</v>
      </c>
    </row>
    <row r="125" spans="1:86" hidden="1" x14ac:dyDescent="0.25">
      <c r="A125">
        <v>330541</v>
      </c>
      <c r="B125" t="s">
        <v>86</v>
      </c>
      <c r="D125" t="s">
        <v>115</v>
      </c>
      <c r="K125" t="s">
        <v>133</v>
      </c>
      <c r="L125" t="s">
        <v>134</v>
      </c>
      <c r="M125" t="s">
        <v>90</v>
      </c>
      <c r="V125" t="s">
        <v>91</v>
      </c>
      <c r="W125" t="s">
        <v>92</v>
      </c>
      <c r="X125" t="s">
        <v>93</v>
      </c>
      <c r="Y125">
        <v>8</v>
      </c>
      <c r="Z125" t="s">
        <v>137</v>
      </c>
      <c r="AB125">
        <v>1.4259999999999999</v>
      </c>
      <c r="AD125">
        <v>0.80300000000000005</v>
      </c>
      <c r="AF125">
        <v>2.048</v>
      </c>
      <c r="AG125" t="s">
        <v>95</v>
      </c>
      <c r="AX125" t="s">
        <v>108</v>
      </c>
      <c r="AY125" t="s">
        <v>120</v>
      </c>
      <c r="AZ125" t="s">
        <v>214</v>
      </c>
      <c r="BC125">
        <v>4</v>
      </c>
      <c r="BH125" t="s">
        <v>99</v>
      </c>
      <c r="BO125" t="s">
        <v>111</v>
      </c>
      <c r="CD125" t="s">
        <v>139</v>
      </c>
      <c r="CE125">
        <v>166513</v>
      </c>
      <c r="CF125" t="s">
        <v>140</v>
      </c>
      <c r="CG125" t="s">
        <v>141</v>
      </c>
      <c r="CH125">
        <v>2013</v>
      </c>
    </row>
    <row r="126" spans="1:86" hidden="1" x14ac:dyDescent="0.25">
      <c r="A126">
        <v>330541</v>
      </c>
      <c r="B126" t="s">
        <v>86</v>
      </c>
      <c r="D126" t="s">
        <v>115</v>
      </c>
      <c r="K126" t="s">
        <v>281</v>
      </c>
      <c r="L126" t="s">
        <v>143</v>
      </c>
      <c r="M126" t="s">
        <v>90</v>
      </c>
      <c r="V126" t="s">
        <v>91</v>
      </c>
      <c r="W126" t="s">
        <v>92</v>
      </c>
      <c r="X126" t="s">
        <v>93</v>
      </c>
      <c r="Z126" t="s">
        <v>137</v>
      </c>
      <c r="AB126">
        <v>0.04</v>
      </c>
      <c r="AG126" t="s">
        <v>95</v>
      </c>
      <c r="AX126" t="s">
        <v>108</v>
      </c>
      <c r="AY126" t="s">
        <v>109</v>
      </c>
      <c r="AZ126" t="s">
        <v>214</v>
      </c>
      <c r="BC126">
        <v>8.3299999999999999E-2</v>
      </c>
      <c r="BH126" t="s">
        <v>99</v>
      </c>
      <c r="BO126" t="s">
        <v>111</v>
      </c>
      <c r="CD126" t="s">
        <v>284</v>
      </c>
      <c r="CE126">
        <v>4684</v>
      </c>
      <c r="CF126" t="s">
        <v>285</v>
      </c>
      <c r="CG126" t="s">
        <v>286</v>
      </c>
      <c r="CH126">
        <v>1980</v>
      </c>
    </row>
    <row r="127" spans="1:86" hidden="1" x14ac:dyDescent="0.25">
      <c r="A127">
        <v>330541</v>
      </c>
      <c r="B127" t="s">
        <v>86</v>
      </c>
      <c r="D127" t="s">
        <v>115</v>
      </c>
      <c r="K127" t="s">
        <v>288</v>
      </c>
      <c r="L127" t="s">
        <v>117</v>
      </c>
      <c r="M127" t="s">
        <v>90</v>
      </c>
      <c r="V127" t="s">
        <v>91</v>
      </c>
      <c r="W127" t="s">
        <v>107</v>
      </c>
      <c r="X127" t="s">
        <v>93</v>
      </c>
      <c r="Z127" t="s">
        <v>137</v>
      </c>
      <c r="AB127">
        <v>2.4E-2</v>
      </c>
      <c r="AG127" t="s">
        <v>95</v>
      </c>
      <c r="AX127" t="s">
        <v>144</v>
      </c>
      <c r="AY127" t="s">
        <v>109</v>
      </c>
      <c r="AZ127" t="s">
        <v>214</v>
      </c>
      <c r="BC127">
        <v>6.25E-2</v>
      </c>
      <c r="BH127" t="s">
        <v>99</v>
      </c>
      <c r="BO127" t="s">
        <v>111</v>
      </c>
      <c r="CD127" t="s">
        <v>229</v>
      </c>
      <c r="CE127">
        <v>8860</v>
      </c>
      <c r="CF127" t="s">
        <v>230</v>
      </c>
      <c r="CG127" t="s">
        <v>231</v>
      </c>
      <c r="CH127">
        <v>1973</v>
      </c>
    </row>
    <row r="128" spans="1:86" hidden="1" x14ac:dyDescent="0.25">
      <c r="A128">
        <v>330541</v>
      </c>
      <c r="B128" t="s">
        <v>86</v>
      </c>
      <c r="D128" t="s">
        <v>115</v>
      </c>
      <c r="K128" t="s">
        <v>127</v>
      </c>
      <c r="L128" t="s">
        <v>117</v>
      </c>
      <c r="M128" t="s">
        <v>90</v>
      </c>
      <c r="V128" t="s">
        <v>91</v>
      </c>
      <c r="W128" t="s">
        <v>92</v>
      </c>
      <c r="X128" t="s">
        <v>93</v>
      </c>
      <c r="Y128">
        <v>8</v>
      </c>
      <c r="Z128" t="s">
        <v>137</v>
      </c>
      <c r="AB128">
        <v>0.28599999999999998</v>
      </c>
      <c r="AD128">
        <v>0.16600000000000001</v>
      </c>
      <c r="AF128">
        <v>0.40699999999999997</v>
      </c>
      <c r="AG128" t="s">
        <v>95</v>
      </c>
      <c r="AX128" t="s">
        <v>108</v>
      </c>
      <c r="AY128" t="s">
        <v>120</v>
      </c>
      <c r="AZ128" t="s">
        <v>214</v>
      </c>
      <c r="BC128">
        <v>4</v>
      </c>
      <c r="BH128" t="s">
        <v>99</v>
      </c>
      <c r="BO128" t="s">
        <v>111</v>
      </c>
      <c r="CD128" t="s">
        <v>139</v>
      </c>
      <c r="CE128">
        <v>166513</v>
      </c>
      <c r="CF128" t="s">
        <v>140</v>
      </c>
      <c r="CG128" t="s">
        <v>141</v>
      </c>
      <c r="CH128">
        <v>2013</v>
      </c>
    </row>
    <row r="129" spans="1:86" hidden="1" x14ac:dyDescent="0.25">
      <c r="A129">
        <v>330541</v>
      </c>
      <c r="B129" t="s">
        <v>86</v>
      </c>
      <c r="D129" t="s">
        <v>115</v>
      </c>
      <c r="K129" t="s">
        <v>289</v>
      </c>
      <c r="L129" t="s">
        <v>117</v>
      </c>
      <c r="M129" t="s">
        <v>90</v>
      </c>
      <c r="V129" t="s">
        <v>168</v>
      </c>
      <c r="W129" t="s">
        <v>92</v>
      </c>
      <c r="X129" t="s">
        <v>93</v>
      </c>
      <c r="Y129">
        <v>6</v>
      </c>
      <c r="Z129" t="s">
        <v>137</v>
      </c>
      <c r="AB129"/>
      <c r="AC129" t="s">
        <v>106</v>
      </c>
      <c r="AD129">
        <v>1.4999999999999999E-2</v>
      </c>
      <c r="AE129" t="s">
        <v>234</v>
      </c>
      <c r="AF129">
        <v>0.02</v>
      </c>
      <c r="AG129" t="s">
        <v>95</v>
      </c>
      <c r="AX129" t="s">
        <v>108</v>
      </c>
      <c r="AY129" t="s">
        <v>160</v>
      </c>
      <c r="AZ129" t="s">
        <v>214</v>
      </c>
      <c r="BE129">
        <v>4</v>
      </c>
      <c r="BG129">
        <v>6</v>
      </c>
      <c r="BH129" t="s">
        <v>99</v>
      </c>
      <c r="BO129" t="s">
        <v>111</v>
      </c>
      <c r="CD129" t="s">
        <v>249</v>
      </c>
      <c r="CE129">
        <v>170085</v>
      </c>
      <c r="CF129" t="s">
        <v>250</v>
      </c>
      <c r="CG129" t="s">
        <v>251</v>
      </c>
      <c r="CH129">
        <v>2011</v>
      </c>
    </row>
    <row r="130" spans="1:86" hidden="1" x14ac:dyDescent="0.25">
      <c r="A130">
        <v>330541</v>
      </c>
      <c r="B130" t="s">
        <v>86</v>
      </c>
      <c r="D130" t="s">
        <v>115</v>
      </c>
      <c r="E130" t="s">
        <v>106</v>
      </c>
      <c r="F130">
        <v>99.5</v>
      </c>
      <c r="K130" t="s">
        <v>243</v>
      </c>
      <c r="L130" t="s">
        <v>89</v>
      </c>
      <c r="M130" t="s">
        <v>90</v>
      </c>
      <c r="V130" t="s">
        <v>91</v>
      </c>
      <c r="W130" t="s">
        <v>92</v>
      </c>
      <c r="X130" t="s">
        <v>93</v>
      </c>
      <c r="Z130" t="s">
        <v>94</v>
      </c>
      <c r="AB130" s="281">
        <v>1.165486E-2</v>
      </c>
      <c r="AD130">
        <v>9.3238880000000007E-3</v>
      </c>
      <c r="AF130">
        <v>1.6316804000000001E-2</v>
      </c>
      <c r="AG130" t="s">
        <v>95</v>
      </c>
      <c r="AX130" t="s">
        <v>108</v>
      </c>
      <c r="AY130" t="s">
        <v>160</v>
      </c>
      <c r="AZ130" t="s">
        <v>214</v>
      </c>
      <c r="BC130">
        <v>1</v>
      </c>
      <c r="BH130" t="s">
        <v>99</v>
      </c>
      <c r="BO130" t="s">
        <v>111</v>
      </c>
      <c r="CD130" t="s">
        <v>244</v>
      </c>
      <c r="CE130">
        <v>155441</v>
      </c>
      <c r="CF130" t="s">
        <v>245</v>
      </c>
      <c r="CG130" t="s">
        <v>246</v>
      </c>
      <c r="CH130">
        <v>2011</v>
      </c>
    </row>
    <row r="131" spans="1:86" hidden="1" x14ac:dyDescent="0.25">
      <c r="A131">
        <v>330541</v>
      </c>
      <c r="B131" t="s">
        <v>86</v>
      </c>
      <c r="C131" t="s">
        <v>158</v>
      </c>
      <c r="D131" t="s">
        <v>115</v>
      </c>
      <c r="K131" t="s">
        <v>173</v>
      </c>
      <c r="L131" t="s">
        <v>117</v>
      </c>
      <c r="M131" t="s">
        <v>90</v>
      </c>
      <c r="N131" t="s">
        <v>118</v>
      </c>
      <c r="V131" t="s">
        <v>91</v>
      </c>
      <c r="W131" t="s">
        <v>107</v>
      </c>
      <c r="X131" t="s">
        <v>93</v>
      </c>
      <c r="Y131">
        <v>8</v>
      </c>
      <c r="Z131" t="s">
        <v>94</v>
      </c>
      <c r="AB131" s="281">
        <v>5.5943327999999999E-3</v>
      </c>
      <c r="AG131" t="s">
        <v>95</v>
      </c>
      <c r="AX131" t="s">
        <v>108</v>
      </c>
      <c r="AY131" t="s">
        <v>109</v>
      </c>
      <c r="AZ131" t="s">
        <v>214</v>
      </c>
      <c r="BC131">
        <v>3</v>
      </c>
      <c r="BH131" t="s">
        <v>99</v>
      </c>
      <c r="BO131" t="s">
        <v>111</v>
      </c>
      <c r="CD131" t="s">
        <v>161</v>
      </c>
      <c r="CE131">
        <v>112735</v>
      </c>
      <c r="CF131" t="s">
        <v>162</v>
      </c>
      <c r="CG131" t="s">
        <v>163</v>
      </c>
      <c r="CH131">
        <v>2008</v>
      </c>
    </row>
    <row r="132" spans="1:86" hidden="1" x14ac:dyDescent="0.25">
      <c r="A132">
        <v>330541</v>
      </c>
      <c r="B132" t="s">
        <v>86</v>
      </c>
      <c r="C132" t="s">
        <v>158</v>
      </c>
      <c r="D132" t="s">
        <v>115</v>
      </c>
      <c r="K132" t="s">
        <v>290</v>
      </c>
      <c r="L132" t="s">
        <v>89</v>
      </c>
      <c r="M132" t="s">
        <v>90</v>
      </c>
      <c r="P132">
        <v>3</v>
      </c>
      <c r="U132" t="s">
        <v>219</v>
      </c>
      <c r="V132" t="s">
        <v>91</v>
      </c>
      <c r="W132" t="s">
        <v>220</v>
      </c>
      <c r="X132" t="s">
        <v>93</v>
      </c>
      <c r="Y132">
        <v>11</v>
      </c>
      <c r="Z132" t="s">
        <v>94</v>
      </c>
      <c r="AD132">
        <v>0.02</v>
      </c>
      <c r="AF132">
        <v>0.05</v>
      </c>
      <c r="AG132" t="s">
        <v>95</v>
      </c>
      <c r="AX132" t="s">
        <v>108</v>
      </c>
      <c r="AY132" t="s">
        <v>160</v>
      </c>
      <c r="AZ132" t="s">
        <v>214</v>
      </c>
      <c r="BE132">
        <v>5</v>
      </c>
      <c r="BG132">
        <v>30</v>
      </c>
      <c r="BH132" t="s">
        <v>99</v>
      </c>
      <c r="BO132" t="s">
        <v>111</v>
      </c>
      <c r="CD132" t="s">
        <v>221</v>
      </c>
      <c r="CE132">
        <v>4871</v>
      </c>
      <c r="CF132" t="s">
        <v>222</v>
      </c>
      <c r="CG132" t="s">
        <v>223</v>
      </c>
      <c r="CH132">
        <v>1975</v>
      </c>
    </row>
    <row r="133" spans="1:86" hidden="1" x14ac:dyDescent="0.25">
      <c r="A133">
        <v>330541</v>
      </c>
      <c r="B133" t="s">
        <v>86</v>
      </c>
      <c r="D133" t="s">
        <v>115</v>
      </c>
      <c r="F133">
        <v>98.6</v>
      </c>
      <c r="K133" t="s">
        <v>211</v>
      </c>
      <c r="L133" t="s">
        <v>212</v>
      </c>
      <c r="M133" t="s">
        <v>90</v>
      </c>
      <c r="P133">
        <v>48</v>
      </c>
      <c r="U133" t="s">
        <v>213</v>
      </c>
      <c r="V133" t="s">
        <v>91</v>
      </c>
      <c r="W133" t="s">
        <v>92</v>
      </c>
      <c r="X133" t="s">
        <v>93</v>
      </c>
      <c r="Y133">
        <v>6</v>
      </c>
      <c r="Z133" t="s">
        <v>94</v>
      </c>
      <c r="AB133">
        <v>0.93238880000000002</v>
      </c>
      <c r="AG133" t="s">
        <v>95</v>
      </c>
      <c r="AX133" t="s">
        <v>108</v>
      </c>
      <c r="AY133" t="s">
        <v>160</v>
      </c>
      <c r="AZ133" t="s">
        <v>214</v>
      </c>
      <c r="BC133">
        <v>4</v>
      </c>
      <c r="BH133" t="s">
        <v>99</v>
      </c>
      <c r="BO133" t="s">
        <v>111</v>
      </c>
      <c r="CD133" t="s">
        <v>215</v>
      </c>
      <c r="CE133">
        <v>63613</v>
      </c>
      <c r="CF133" t="s">
        <v>216</v>
      </c>
      <c r="CG133" t="s">
        <v>217</v>
      </c>
      <c r="CH133">
        <v>1997</v>
      </c>
    </row>
    <row r="134" spans="1:86" hidden="1" x14ac:dyDescent="0.25">
      <c r="A134">
        <v>330541</v>
      </c>
      <c r="B134" t="s">
        <v>86</v>
      </c>
      <c r="D134" t="s">
        <v>115</v>
      </c>
      <c r="F134">
        <v>98</v>
      </c>
      <c r="K134" t="s">
        <v>291</v>
      </c>
      <c r="L134" t="s">
        <v>117</v>
      </c>
      <c r="M134" t="s">
        <v>90</v>
      </c>
      <c r="V134" t="s">
        <v>91</v>
      </c>
      <c r="W134" t="s">
        <v>107</v>
      </c>
      <c r="X134" t="s">
        <v>93</v>
      </c>
      <c r="Y134">
        <v>7</v>
      </c>
      <c r="Z134" t="s">
        <v>94</v>
      </c>
      <c r="AB134" s="281">
        <v>6.6400000000000001E-3</v>
      </c>
      <c r="AG134" t="s">
        <v>95</v>
      </c>
      <c r="AX134" t="s">
        <v>108</v>
      </c>
      <c r="AY134" t="s">
        <v>160</v>
      </c>
      <c r="AZ134" t="s">
        <v>214</v>
      </c>
      <c r="BC134">
        <v>4</v>
      </c>
      <c r="BH134" t="s">
        <v>99</v>
      </c>
      <c r="BO134" t="s">
        <v>111</v>
      </c>
      <c r="CD134" t="s">
        <v>292</v>
      </c>
      <c r="CE134">
        <v>175889</v>
      </c>
      <c r="CF134" t="s">
        <v>293</v>
      </c>
      <c r="CG134" t="s">
        <v>294</v>
      </c>
      <c r="CH134">
        <v>2016</v>
      </c>
    </row>
    <row r="135" spans="1:86" hidden="1" x14ac:dyDescent="0.25">
      <c r="A135">
        <v>330541</v>
      </c>
      <c r="B135" t="s">
        <v>86</v>
      </c>
      <c r="D135" t="s">
        <v>115</v>
      </c>
      <c r="E135" t="s">
        <v>106</v>
      </c>
      <c r="F135">
        <v>99.5</v>
      </c>
      <c r="K135" t="s">
        <v>243</v>
      </c>
      <c r="L135" t="s">
        <v>89</v>
      </c>
      <c r="M135" t="s">
        <v>90</v>
      </c>
      <c r="V135" t="s">
        <v>91</v>
      </c>
      <c r="W135" t="s">
        <v>92</v>
      </c>
      <c r="X135" t="s">
        <v>93</v>
      </c>
      <c r="Z135" t="s">
        <v>94</v>
      </c>
      <c r="AB135" s="281">
        <v>6.9929160000000001E-3</v>
      </c>
      <c r="AD135">
        <v>4.6619440000000003E-3</v>
      </c>
      <c r="AF135">
        <v>9.3238880000000007E-3</v>
      </c>
      <c r="AG135" t="s">
        <v>95</v>
      </c>
      <c r="AX135" t="s">
        <v>108</v>
      </c>
      <c r="AY135" t="s">
        <v>160</v>
      </c>
      <c r="AZ135" t="s">
        <v>214</v>
      </c>
      <c r="BC135">
        <v>1</v>
      </c>
      <c r="BH135" t="s">
        <v>99</v>
      </c>
      <c r="BO135" t="s">
        <v>111</v>
      </c>
      <c r="CD135" t="s">
        <v>244</v>
      </c>
      <c r="CE135">
        <v>155441</v>
      </c>
      <c r="CF135" t="s">
        <v>245</v>
      </c>
      <c r="CG135" t="s">
        <v>246</v>
      </c>
      <c r="CH135">
        <v>2011</v>
      </c>
    </row>
    <row r="136" spans="1:86" hidden="1" x14ac:dyDescent="0.25">
      <c r="A136">
        <v>330541</v>
      </c>
      <c r="B136" t="s">
        <v>86</v>
      </c>
      <c r="D136" t="s">
        <v>115</v>
      </c>
      <c r="K136" t="s">
        <v>116</v>
      </c>
      <c r="L136" t="s">
        <v>117</v>
      </c>
      <c r="M136" t="s">
        <v>90</v>
      </c>
      <c r="V136" t="s">
        <v>91</v>
      </c>
      <c r="W136" t="s">
        <v>92</v>
      </c>
      <c r="X136" t="s">
        <v>93</v>
      </c>
      <c r="Y136">
        <v>8</v>
      </c>
      <c r="Z136" t="s">
        <v>137</v>
      </c>
      <c r="AB136">
        <v>8.8900000000000003E-3</v>
      </c>
      <c r="AD136">
        <v>5.45E-3</v>
      </c>
      <c r="AF136">
        <v>1.2330000000000001E-2</v>
      </c>
      <c r="AG136" t="s">
        <v>95</v>
      </c>
      <c r="AX136" t="s">
        <v>108</v>
      </c>
      <c r="AY136" t="s">
        <v>120</v>
      </c>
      <c r="AZ136" t="s">
        <v>214</v>
      </c>
      <c r="BC136">
        <v>4</v>
      </c>
      <c r="BH136" t="s">
        <v>99</v>
      </c>
      <c r="BO136" t="s">
        <v>111</v>
      </c>
      <c r="CD136" t="s">
        <v>139</v>
      </c>
      <c r="CE136">
        <v>166513</v>
      </c>
      <c r="CF136" t="s">
        <v>140</v>
      </c>
      <c r="CG136" t="s">
        <v>141</v>
      </c>
      <c r="CH136">
        <v>2013</v>
      </c>
    </row>
    <row r="137" spans="1:86" hidden="1" x14ac:dyDescent="0.25">
      <c r="A137">
        <v>330541</v>
      </c>
      <c r="B137" t="s">
        <v>86</v>
      </c>
      <c r="D137" t="s">
        <v>115</v>
      </c>
      <c r="K137" t="s">
        <v>130</v>
      </c>
      <c r="L137" t="s">
        <v>117</v>
      </c>
      <c r="M137" t="s">
        <v>90</v>
      </c>
      <c r="V137" t="s">
        <v>91</v>
      </c>
      <c r="W137" t="s">
        <v>92</v>
      </c>
      <c r="X137" t="s">
        <v>93</v>
      </c>
      <c r="Y137">
        <v>8</v>
      </c>
      <c r="Z137" t="s">
        <v>137</v>
      </c>
      <c r="AB137">
        <v>5.6000000000000001E-2</v>
      </c>
      <c r="AD137">
        <v>4.5999999999999999E-2</v>
      </c>
      <c r="AF137">
        <v>6.7000000000000004E-2</v>
      </c>
      <c r="AG137" t="s">
        <v>95</v>
      </c>
      <c r="AX137" t="s">
        <v>108</v>
      </c>
      <c r="AY137" t="s">
        <v>120</v>
      </c>
      <c r="AZ137" t="s">
        <v>214</v>
      </c>
      <c r="BC137">
        <v>4</v>
      </c>
      <c r="BH137" t="s">
        <v>99</v>
      </c>
      <c r="BO137" t="s">
        <v>111</v>
      </c>
      <c r="CD137" t="s">
        <v>139</v>
      </c>
      <c r="CE137">
        <v>166513</v>
      </c>
      <c r="CF137" t="s">
        <v>140</v>
      </c>
      <c r="CG137" t="s">
        <v>141</v>
      </c>
      <c r="CH137">
        <v>2013</v>
      </c>
    </row>
    <row r="138" spans="1:86" hidden="1" x14ac:dyDescent="0.25">
      <c r="A138">
        <v>330541</v>
      </c>
      <c r="B138" t="s">
        <v>86</v>
      </c>
      <c r="C138" t="s">
        <v>104</v>
      </c>
      <c r="D138" t="s">
        <v>105</v>
      </c>
      <c r="E138" t="s">
        <v>149</v>
      </c>
      <c r="F138">
        <v>99</v>
      </c>
      <c r="K138" t="s">
        <v>181</v>
      </c>
      <c r="L138" t="s">
        <v>117</v>
      </c>
      <c r="M138" t="s">
        <v>90</v>
      </c>
      <c r="V138" t="s">
        <v>91</v>
      </c>
      <c r="W138" t="s">
        <v>92</v>
      </c>
      <c r="X138" t="s">
        <v>93</v>
      </c>
      <c r="Y138">
        <v>5</v>
      </c>
      <c r="Z138" t="s">
        <v>94</v>
      </c>
      <c r="AB138" s="281">
        <v>0.438</v>
      </c>
      <c r="AG138" t="s">
        <v>95</v>
      </c>
      <c r="AX138" t="s">
        <v>108</v>
      </c>
      <c r="AY138" t="s">
        <v>150</v>
      </c>
      <c r="AZ138" t="s">
        <v>214</v>
      </c>
      <c r="BC138">
        <v>2</v>
      </c>
      <c r="BH138" t="s">
        <v>99</v>
      </c>
      <c r="BO138" t="s">
        <v>111</v>
      </c>
      <c r="CD138" t="s">
        <v>151</v>
      </c>
      <c r="CE138">
        <v>174505</v>
      </c>
      <c r="CF138" t="s">
        <v>152</v>
      </c>
      <c r="CG138" t="s">
        <v>153</v>
      </c>
      <c r="CH138">
        <v>2016</v>
      </c>
    </row>
    <row r="139" spans="1:86" hidden="1" x14ac:dyDescent="0.25">
      <c r="A139">
        <v>330541</v>
      </c>
      <c r="B139" t="s">
        <v>86</v>
      </c>
      <c r="D139" t="s">
        <v>115</v>
      </c>
      <c r="K139" t="s">
        <v>295</v>
      </c>
      <c r="L139" t="s">
        <v>212</v>
      </c>
      <c r="M139" t="s">
        <v>90</v>
      </c>
      <c r="V139" t="s">
        <v>91</v>
      </c>
      <c r="W139" t="s">
        <v>107</v>
      </c>
      <c r="X139" t="s">
        <v>93</v>
      </c>
      <c r="Z139" t="s">
        <v>137</v>
      </c>
      <c r="AB139">
        <v>1.4999999999999999E-2</v>
      </c>
      <c r="AG139" t="s">
        <v>95</v>
      </c>
      <c r="AX139" t="s">
        <v>108</v>
      </c>
      <c r="AY139" t="s">
        <v>160</v>
      </c>
      <c r="AZ139" t="s">
        <v>214</v>
      </c>
      <c r="BC139">
        <v>4</v>
      </c>
      <c r="BH139" t="s">
        <v>99</v>
      </c>
      <c r="BO139" t="s">
        <v>111</v>
      </c>
      <c r="CD139" t="s">
        <v>296</v>
      </c>
      <c r="CE139">
        <v>18453</v>
      </c>
      <c r="CF139" t="s">
        <v>297</v>
      </c>
      <c r="CG139" t="s">
        <v>298</v>
      </c>
      <c r="CH139">
        <v>1996</v>
      </c>
    </row>
    <row r="140" spans="1:86" hidden="1" x14ac:dyDescent="0.25">
      <c r="A140">
        <v>330541</v>
      </c>
      <c r="B140" t="s">
        <v>86</v>
      </c>
      <c r="D140" t="s">
        <v>115</v>
      </c>
      <c r="K140" t="s">
        <v>164</v>
      </c>
      <c r="L140" t="s">
        <v>117</v>
      </c>
      <c r="M140" t="s">
        <v>90</v>
      </c>
      <c r="N140" t="s">
        <v>118</v>
      </c>
      <c r="V140" t="s">
        <v>91</v>
      </c>
      <c r="W140" t="s">
        <v>92</v>
      </c>
      <c r="X140" t="s">
        <v>93</v>
      </c>
      <c r="Y140" t="s">
        <v>136</v>
      </c>
      <c r="Z140" t="s">
        <v>137</v>
      </c>
      <c r="AB140">
        <v>9.0999999999999998E-2</v>
      </c>
      <c r="AG140" t="s">
        <v>95</v>
      </c>
      <c r="AX140" t="s">
        <v>108</v>
      </c>
      <c r="AY140" t="s">
        <v>120</v>
      </c>
      <c r="AZ140" t="s">
        <v>214</v>
      </c>
      <c r="BC140">
        <v>4</v>
      </c>
      <c r="BH140" t="s">
        <v>99</v>
      </c>
      <c r="BO140" t="s">
        <v>111</v>
      </c>
      <c r="CD140" t="s">
        <v>155</v>
      </c>
      <c r="CE140">
        <v>166447</v>
      </c>
      <c r="CF140" t="s">
        <v>156</v>
      </c>
      <c r="CG140" t="s">
        <v>157</v>
      </c>
      <c r="CH140">
        <v>2014</v>
      </c>
    </row>
    <row r="141" spans="1:86" x14ac:dyDescent="0.25">
      <c r="A141">
        <v>330541</v>
      </c>
      <c r="B141" t="s">
        <v>86</v>
      </c>
      <c r="D141" t="s">
        <v>115</v>
      </c>
      <c r="K141" t="s">
        <v>224</v>
      </c>
      <c r="L141" t="s">
        <v>89</v>
      </c>
      <c r="M141" t="s">
        <v>90</v>
      </c>
      <c r="V141" t="s">
        <v>168</v>
      </c>
      <c r="W141" t="s">
        <v>92</v>
      </c>
      <c r="X141" t="s">
        <v>93</v>
      </c>
      <c r="Y141">
        <v>6</v>
      </c>
      <c r="Z141" t="s">
        <v>137</v>
      </c>
      <c r="AB141">
        <v>2.4E-2</v>
      </c>
      <c r="AD141">
        <v>2.1000000000000001E-2</v>
      </c>
      <c r="AF141">
        <v>2.7E-2</v>
      </c>
      <c r="AG141" t="s">
        <v>95</v>
      </c>
      <c r="AX141" t="s">
        <v>108</v>
      </c>
      <c r="AY141" t="s">
        <v>160</v>
      </c>
      <c r="AZ141" t="s">
        <v>214</v>
      </c>
      <c r="BC141">
        <v>3</v>
      </c>
      <c r="BH141" t="s">
        <v>99</v>
      </c>
      <c r="BO141" t="s">
        <v>111</v>
      </c>
      <c r="CD141" t="s">
        <v>299</v>
      </c>
      <c r="CE141">
        <v>150061</v>
      </c>
      <c r="CF141" t="s">
        <v>300</v>
      </c>
      <c r="CG141" t="s">
        <v>301</v>
      </c>
      <c r="CH141">
        <v>2009</v>
      </c>
    </row>
    <row r="142" spans="1:86" x14ac:dyDescent="0.25">
      <c r="A142">
        <v>330541</v>
      </c>
      <c r="B142" t="s">
        <v>86</v>
      </c>
      <c r="D142" t="s">
        <v>115</v>
      </c>
      <c r="K142" t="s">
        <v>224</v>
      </c>
      <c r="L142" t="s">
        <v>89</v>
      </c>
      <c r="M142" t="s">
        <v>90</v>
      </c>
      <c r="V142" t="s">
        <v>168</v>
      </c>
      <c r="W142" t="s">
        <v>92</v>
      </c>
      <c r="X142" t="s">
        <v>93</v>
      </c>
      <c r="Y142">
        <v>7</v>
      </c>
      <c r="Z142" t="s">
        <v>137</v>
      </c>
      <c r="AB142">
        <v>2.23E-2</v>
      </c>
      <c r="AG142" t="s">
        <v>95</v>
      </c>
      <c r="AX142" t="s">
        <v>108</v>
      </c>
      <c r="AY142" t="s">
        <v>160</v>
      </c>
      <c r="AZ142" t="s">
        <v>214</v>
      </c>
      <c r="BC142">
        <v>3</v>
      </c>
      <c r="BH142" t="s">
        <v>99</v>
      </c>
      <c r="BO142" t="s">
        <v>111</v>
      </c>
      <c r="CD142" t="s">
        <v>302</v>
      </c>
      <c r="CE142">
        <v>159207</v>
      </c>
      <c r="CF142" t="s">
        <v>303</v>
      </c>
      <c r="CG142" t="s">
        <v>304</v>
      </c>
      <c r="CH142">
        <v>2012</v>
      </c>
    </row>
    <row r="143" spans="1:86" x14ac:dyDescent="0.25">
      <c r="A143">
        <v>330541</v>
      </c>
      <c r="B143" t="s">
        <v>86</v>
      </c>
      <c r="D143" t="s">
        <v>115</v>
      </c>
      <c r="K143" t="s">
        <v>224</v>
      </c>
      <c r="L143" t="s">
        <v>89</v>
      </c>
      <c r="M143" t="s">
        <v>90</v>
      </c>
      <c r="V143" t="s">
        <v>168</v>
      </c>
      <c r="W143" t="s">
        <v>92</v>
      </c>
      <c r="X143" t="s">
        <v>93</v>
      </c>
      <c r="Y143">
        <v>6</v>
      </c>
      <c r="Z143" t="s">
        <v>137</v>
      </c>
      <c r="AB143">
        <v>1.9E-2</v>
      </c>
      <c r="AD143">
        <v>1.4999999999999999E-2</v>
      </c>
      <c r="AF143">
        <v>2.4E-2</v>
      </c>
      <c r="AG143" t="s">
        <v>95</v>
      </c>
      <c r="AX143" t="s">
        <v>201</v>
      </c>
      <c r="AY143" t="s">
        <v>202</v>
      </c>
      <c r="AZ143" t="s">
        <v>214</v>
      </c>
      <c r="BC143">
        <v>1</v>
      </c>
      <c r="BH143" t="s">
        <v>99</v>
      </c>
      <c r="BO143" t="s">
        <v>111</v>
      </c>
      <c r="CD143" t="s">
        <v>299</v>
      </c>
      <c r="CE143">
        <v>150061</v>
      </c>
      <c r="CF143" t="s">
        <v>300</v>
      </c>
      <c r="CG143" t="s">
        <v>301</v>
      </c>
      <c r="CH143">
        <v>2009</v>
      </c>
    </row>
    <row r="144" spans="1:86" x14ac:dyDescent="0.25">
      <c r="A144">
        <v>330541</v>
      </c>
      <c r="B144" t="s">
        <v>86</v>
      </c>
      <c r="D144" t="s">
        <v>115</v>
      </c>
      <c r="F144">
        <v>50</v>
      </c>
      <c r="K144" t="s">
        <v>224</v>
      </c>
      <c r="L144" t="s">
        <v>89</v>
      </c>
      <c r="M144" t="s">
        <v>90</v>
      </c>
      <c r="V144" t="s">
        <v>91</v>
      </c>
      <c r="W144" t="s">
        <v>92</v>
      </c>
      <c r="X144" t="s">
        <v>93</v>
      </c>
      <c r="Z144" t="s">
        <v>137</v>
      </c>
      <c r="AB144">
        <v>6.9999999999999999E-4</v>
      </c>
      <c r="AG144" t="s">
        <v>95</v>
      </c>
      <c r="AX144" t="s">
        <v>108</v>
      </c>
      <c r="AY144" t="s">
        <v>150</v>
      </c>
      <c r="AZ144" t="s">
        <v>214</v>
      </c>
      <c r="BC144">
        <v>4</v>
      </c>
      <c r="BH144" t="s">
        <v>99</v>
      </c>
      <c r="BO144" t="s">
        <v>111</v>
      </c>
      <c r="CD144" t="s">
        <v>305</v>
      </c>
      <c r="CE144">
        <v>83543</v>
      </c>
      <c r="CF144" t="s">
        <v>306</v>
      </c>
      <c r="CG144" t="s">
        <v>307</v>
      </c>
      <c r="CH144">
        <v>2006</v>
      </c>
    </row>
    <row r="145" spans="1:86" hidden="1" x14ac:dyDescent="0.25">
      <c r="A145">
        <v>330541</v>
      </c>
      <c r="B145" t="s">
        <v>86</v>
      </c>
      <c r="D145" t="s">
        <v>115</v>
      </c>
      <c r="F145">
        <v>99</v>
      </c>
      <c r="K145" t="s">
        <v>90</v>
      </c>
      <c r="L145" t="s">
        <v>90</v>
      </c>
      <c r="M145" t="s">
        <v>90</v>
      </c>
      <c r="V145" t="s">
        <v>91</v>
      </c>
      <c r="W145" t="s">
        <v>107</v>
      </c>
      <c r="X145" t="s">
        <v>93</v>
      </c>
      <c r="Z145" t="s">
        <v>94</v>
      </c>
      <c r="AB145">
        <v>4.6619440000000003E-3</v>
      </c>
      <c r="AD145">
        <v>3.496458E-3</v>
      </c>
      <c r="AF145">
        <v>5.3612356E-3</v>
      </c>
      <c r="AG145" t="s">
        <v>95</v>
      </c>
      <c r="AX145" t="s">
        <v>144</v>
      </c>
      <c r="AY145" t="s">
        <v>109</v>
      </c>
      <c r="AZ145" t="s">
        <v>214</v>
      </c>
      <c r="BC145">
        <v>4.1700000000000001E-2</v>
      </c>
      <c r="BH145" t="s">
        <v>99</v>
      </c>
      <c r="BO145" t="s">
        <v>111</v>
      </c>
      <c r="CD145" t="s">
        <v>267</v>
      </c>
      <c r="CE145">
        <v>6147</v>
      </c>
      <c r="CF145" t="s">
        <v>268</v>
      </c>
      <c r="CG145" t="s">
        <v>269</v>
      </c>
      <c r="CH145">
        <v>1992</v>
      </c>
    </row>
    <row r="146" spans="1:86" hidden="1" x14ac:dyDescent="0.25">
      <c r="A146">
        <v>330541</v>
      </c>
      <c r="B146" t="s">
        <v>86</v>
      </c>
      <c r="D146" t="s">
        <v>115</v>
      </c>
      <c r="F146">
        <v>99</v>
      </c>
      <c r="K146" t="s">
        <v>90</v>
      </c>
      <c r="L146" t="s">
        <v>90</v>
      </c>
      <c r="M146" t="s">
        <v>90</v>
      </c>
      <c r="V146" t="s">
        <v>91</v>
      </c>
      <c r="W146" t="s">
        <v>107</v>
      </c>
      <c r="X146" t="s">
        <v>93</v>
      </c>
      <c r="Z146" t="s">
        <v>94</v>
      </c>
      <c r="AD146">
        <v>3.7295551999999999E-4</v>
      </c>
      <c r="AF146">
        <v>0.2330972</v>
      </c>
      <c r="AG146" t="s">
        <v>95</v>
      </c>
      <c r="AX146" t="s">
        <v>108</v>
      </c>
      <c r="AY146" t="s">
        <v>308</v>
      </c>
      <c r="AZ146" t="s">
        <v>214</v>
      </c>
      <c r="BE146">
        <v>21</v>
      </c>
      <c r="BG146">
        <v>28</v>
      </c>
      <c r="BH146" t="s">
        <v>99</v>
      </c>
      <c r="BO146" t="s">
        <v>111</v>
      </c>
      <c r="CD146" t="s">
        <v>267</v>
      </c>
      <c r="CE146">
        <v>6147</v>
      </c>
      <c r="CF146" t="s">
        <v>268</v>
      </c>
      <c r="CG146" t="s">
        <v>269</v>
      </c>
      <c r="CH146">
        <v>1992</v>
      </c>
    </row>
    <row r="147" spans="1:86" hidden="1" x14ac:dyDescent="0.25">
      <c r="A147">
        <v>330541</v>
      </c>
      <c r="B147" t="s">
        <v>86</v>
      </c>
      <c r="C147" t="s">
        <v>104</v>
      </c>
      <c r="D147" t="s">
        <v>105</v>
      </c>
      <c r="E147" t="s">
        <v>106</v>
      </c>
      <c r="F147">
        <v>95</v>
      </c>
      <c r="K147" t="s">
        <v>90</v>
      </c>
      <c r="L147" t="s">
        <v>90</v>
      </c>
      <c r="M147" t="s">
        <v>90</v>
      </c>
      <c r="V147" t="s">
        <v>91</v>
      </c>
      <c r="W147" t="s">
        <v>107</v>
      </c>
      <c r="X147" t="s">
        <v>93</v>
      </c>
      <c r="Z147" t="s">
        <v>94</v>
      </c>
      <c r="AB147" s="281">
        <v>2.0745650800000001E-2</v>
      </c>
      <c r="AD147">
        <v>1.4685123600000001E-2</v>
      </c>
      <c r="AF147">
        <v>2.6806178E-2</v>
      </c>
      <c r="AG147" t="s">
        <v>95</v>
      </c>
      <c r="AX147" t="s">
        <v>108</v>
      </c>
      <c r="AY147" t="s">
        <v>109</v>
      </c>
      <c r="AZ147" t="s">
        <v>214</v>
      </c>
      <c r="BC147">
        <v>3.1300000000000001E-2</v>
      </c>
      <c r="BH147" t="s">
        <v>99</v>
      </c>
      <c r="BO147" t="s">
        <v>111</v>
      </c>
      <c r="CD147" t="s">
        <v>112</v>
      </c>
      <c r="CE147">
        <v>180287</v>
      </c>
      <c r="CF147" t="s">
        <v>113</v>
      </c>
      <c r="CG147" t="s">
        <v>114</v>
      </c>
      <c r="CH147">
        <v>2004</v>
      </c>
    </row>
    <row r="148" spans="1:86" hidden="1" x14ac:dyDescent="0.25">
      <c r="A148">
        <v>330541</v>
      </c>
      <c r="B148" t="s">
        <v>86</v>
      </c>
      <c r="C148" t="s">
        <v>104</v>
      </c>
      <c r="D148" t="s">
        <v>105</v>
      </c>
      <c r="E148" t="s">
        <v>149</v>
      </c>
      <c r="F148">
        <v>99</v>
      </c>
      <c r="K148" t="s">
        <v>182</v>
      </c>
      <c r="L148" t="s">
        <v>117</v>
      </c>
      <c r="M148" t="s">
        <v>90</v>
      </c>
      <c r="V148" t="s">
        <v>91</v>
      </c>
      <c r="W148" t="s">
        <v>92</v>
      </c>
      <c r="X148" t="s">
        <v>93</v>
      </c>
      <c r="Y148">
        <v>5</v>
      </c>
      <c r="Z148" t="s">
        <v>94</v>
      </c>
      <c r="AA148" t="s">
        <v>106</v>
      </c>
      <c r="AB148" s="281">
        <v>0.5</v>
      </c>
      <c r="AG148" t="s">
        <v>95</v>
      </c>
      <c r="AX148" t="s">
        <v>108</v>
      </c>
      <c r="AY148" t="s">
        <v>150</v>
      </c>
      <c r="AZ148" t="s">
        <v>214</v>
      </c>
      <c r="BC148">
        <v>2</v>
      </c>
      <c r="BH148" t="s">
        <v>99</v>
      </c>
      <c r="BO148" t="s">
        <v>111</v>
      </c>
      <c r="CD148" t="s">
        <v>151</v>
      </c>
      <c r="CE148">
        <v>174505</v>
      </c>
      <c r="CF148" t="s">
        <v>152</v>
      </c>
      <c r="CG148" t="s">
        <v>153</v>
      </c>
      <c r="CH148">
        <v>2016</v>
      </c>
    </row>
    <row r="149" spans="1:86" hidden="1" x14ac:dyDescent="0.25">
      <c r="A149">
        <v>330541</v>
      </c>
      <c r="B149" t="s">
        <v>86</v>
      </c>
      <c r="C149" t="s">
        <v>158</v>
      </c>
      <c r="D149" t="s">
        <v>115</v>
      </c>
      <c r="K149" t="s">
        <v>159</v>
      </c>
      <c r="L149" t="s">
        <v>90</v>
      </c>
      <c r="M149" t="s">
        <v>90</v>
      </c>
      <c r="N149" t="s">
        <v>118</v>
      </c>
      <c r="V149" t="s">
        <v>91</v>
      </c>
      <c r="W149" t="s">
        <v>107</v>
      </c>
      <c r="X149" t="s">
        <v>93</v>
      </c>
      <c r="Y149">
        <v>8</v>
      </c>
      <c r="Z149" t="s">
        <v>94</v>
      </c>
      <c r="AB149" s="281">
        <v>5.8274299999999998E-3</v>
      </c>
      <c r="AG149" t="s">
        <v>95</v>
      </c>
      <c r="AX149" t="s">
        <v>108</v>
      </c>
      <c r="AY149" t="s">
        <v>109</v>
      </c>
      <c r="AZ149" t="s">
        <v>214</v>
      </c>
      <c r="BC149">
        <v>3</v>
      </c>
      <c r="BH149" t="s">
        <v>99</v>
      </c>
      <c r="BO149" t="s">
        <v>111</v>
      </c>
      <c r="CD149" t="s">
        <v>161</v>
      </c>
      <c r="CE149">
        <v>112735</v>
      </c>
      <c r="CF149" t="s">
        <v>162</v>
      </c>
      <c r="CG149" t="s">
        <v>163</v>
      </c>
      <c r="CH149">
        <v>2008</v>
      </c>
    </row>
    <row r="150" spans="1:86" hidden="1" x14ac:dyDescent="0.25">
      <c r="A150">
        <v>330541</v>
      </c>
      <c r="B150" t="s">
        <v>86</v>
      </c>
      <c r="D150" t="s">
        <v>115</v>
      </c>
      <c r="K150" t="s">
        <v>90</v>
      </c>
      <c r="L150" t="s">
        <v>90</v>
      </c>
      <c r="M150" t="s">
        <v>90</v>
      </c>
      <c r="V150" t="s">
        <v>91</v>
      </c>
      <c r="W150" t="s">
        <v>107</v>
      </c>
      <c r="X150" t="s">
        <v>93</v>
      </c>
      <c r="Y150">
        <v>6</v>
      </c>
      <c r="Z150" t="s">
        <v>137</v>
      </c>
      <c r="AB150">
        <v>2.3E-3</v>
      </c>
      <c r="AG150" t="s">
        <v>95</v>
      </c>
      <c r="AX150" t="s">
        <v>201</v>
      </c>
      <c r="AY150" t="s">
        <v>202</v>
      </c>
      <c r="AZ150" t="s">
        <v>214</v>
      </c>
      <c r="BC150">
        <v>0.41670000000000001</v>
      </c>
      <c r="BH150" t="s">
        <v>99</v>
      </c>
      <c r="BO150" t="s">
        <v>111</v>
      </c>
      <c r="CD150" t="s">
        <v>204</v>
      </c>
      <c r="CE150">
        <v>75334</v>
      </c>
      <c r="CF150" t="s">
        <v>205</v>
      </c>
      <c r="CG150" t="s">
        <v>206</v>
      </c>
      <c r="CH150">
        <v>2003</v>
      </c>
    </row>
    <row r="151" spans="1:86" hidden="1" x14ac:dyDescent="0.25">
      <c r="A151">
        <v>330541</v>
      </c>
      <c r="B151" t="s">
        <v>86</v>
      </c>
      <c r="D151" t="s">
        <v>115</v>
      </c>
      <c r="K151" t="s">
        <v>128</v>
      </c>
      <c r="L151" t="s">
        <v>117</v>
      </c>
      <c r="M151" t="s">
        <v>90</v>
      </c>
      <c r="V151" t="s">
        <v>91</v>
      </c>
      <c r="W151" t="s">
        <v>92</v>
      </c>
      <c r="X151" t="s">
        <v>93</v>
      </c>
      <c r="Y151">
        <v>8</v>
      </c>
      <c r="Z151" t="s">
        <v>137</v>
      </c>
      <c r="AB151">
        <v>1.667</v>
      </c>
      <c r="AD151">
        <v>0.91500000000000004</v>
      </c>
      <c r="AF151">
        <v>2.4180000000000001</v>
      </c>
      <c r="AG151" t="s">
        <v>95</v>
      </c>
      <c r="AX151" t="s">
        <v>108</v>
      </c>
      <c r="AY151" t="s">
        <v>120</v>
      </c>
      <c r="AZ151" t="s">
        <v>214</v>
      </c>
      <c r="BC151">
        <v>4</v>
      </c>
      <c r="BH151" t="s">
        <v>99</v>
      </c>
      <c r="BO151" t="s">
        <v>111</v>
      </c>
      <c r="CD151" t="s">
        <v>139</v>
      </c>
      <c r="CE151">
        <v>166513</v>
      </c>
      <c r="CF151" t="s">
        <v>140</v>
      </c>
      <c r="CG151" t="s">
        <v>141</v>
      </c>
      <c r="CH151">
        <v>2013</v>
      </c>
    </row>
    <row r="152" spans="1:86" hidden="1" x14ac:dyDescent="0.25">
      <c r="A152">
        <v>330541</v>
      </c>
      <c r="B152" t="s">
        <v>86</v>
      </c>
      <c r="C152" t="s">
        <v>158</v>
      </c>
      <c r="D152" t="s">
        <v>115</v>
      </c>
      <c r="K152" t="s">
        <v>309</v>
      </c>
      <c r="L152" t="s">
        <v>89</v>
      </c>
      <c r="M152" t="s">
        <v>90</v>
      </c>
      <c r="P152">
        <v>3</v>
      </c>
      <c r="U152" t="s">
        <v>219</v>
      </c>
      <c r="V152" t="s">
        <v>91</v>
      </c>
      <c r="W152" t="s">
        <v>220</v>
      </c>
      <c r="X152" t="s">
        <v>93</v>
      </c>
      <c r="Y152">
        <v>11</v>
      </c>
      <c r="Z152" t="s">
        <v>94</v>
      </c>
      <c r="AD152">
        <v>0.05</v>
      </c>
      <c r="AF152">
        <v>0.1</v>
      </c>
      <c r="AG152" t="s">
        <v>95</v>
      </c>
      <c r="AX152" t="s">
        <v>108</v>
      </c>
      <c r="AY152" t="s">
        <v>160</v>
      </c>
      <c r="AZ152" t="s">
        <v>214</v>
      </c>
      <c r="BE152">
        <v>5</v>
      </c>
      <c r="BG152">
        <v>30</v>
      </c>
      <c r="BH152" t="s">
        <v>99</v>
      </c>
      <c r="BO152" t="s">
        <v>111</v>
      </c>
      <c r="CD152" t="s">
        <v>221</v>
      </c>
      <c r="CE152">
        <v>4871</v>
      </c>
      <c r="CF152" t="s">
        <v>222</v>
      </c>
      <c r="CG152" t="s">
        <v>223</v>
      </c>
      <c r="CH152">
        <v>1975</v>
      </c>
    </row>
    <row r="153" spans="1:86" hidden="1" x14ac:dyDescent="0.25">
      <c r="A153">
        <v>330541</v>
      </c>
      <c r="B153" t="s">
        <v>86</v>
      </c>
      <c r="C153" t="s">
        <v>104</v>
      </c>
      <c r="D153" t="s">
        <v>115</v>
      </c>
      <c r="K153" t="s">
        <v>310</v>
      </c>
      <c r="L153" t="s">
        <v>280</v>
      </c>
      <c r="M153" t="s">
        <v>90</v>
      </c>
      <c r="R153">
        <v>14</v>
      </c>
      <c r="T153">
        <v>28</v>
      </c>
      <c r="U153" t="s">
        <v>99</v>
      </c>
      <c r="V153" t="s">
        <v>91</v>
      </c>
      <c r="W153" t="s">
        <v>92</v>
      </c>
      <c r="X153" t="s">
        <v>93</v>
      </c>
      <c r="Z153" t="s">
        <v>94</v>
      </c>
      <c r="AB153" s="281">
        <v>3.8999999999999998E-3</v>
      </c>
      <c r="AD153">
        <v>2.5000000000000001E-3</v>
      </c>
      <c r="AF153">
        <v>6.1999999999999998E-3</v>
      </c>
      <c r="AG153" t="s">
        <v>95</v>
      </c>
      <c r="AX153" t="s">
        <v>108</v>
      </c>
      <c r="AY153" t="s">
        <v>109</v>
      </c>
      <c r="AZ153" t="s">
        <v>214</v>
      </c>
      <c r="BC153">
        <v>1.3899999999999999E-2</v>
      </c>
      <c r="BH153" t="s">
        <v>99</v>
      </c>
      <c r="BO153" t="s">
        <v>111</v>
      </c>
      <c r="CD153" t="s">
        <v>225</v>
      </c>
      <c r="CE153">
        <v>83755</v>
      </c>
      <c r="CF153" t="s">
        <v>226</v>
      </c>
      <c r="CG153" t="s">
        <v>227</v>
      </c>
      <c r="CH153">
        <v>2005</v>
      </c>
    </row>
    <row r="154" spans="1:86" hidden="1" x14ac:dyDescent="0.25">
      <c r="A154">
        <v>330541</v>
      </c>
      <c r="B154" t="s">
        <v>86</v>
      </c>
      <c r="D154" t="s">
        <v>115</v>
      </c>
      <c r="K154" t="s">
        <v>195</v>
      </c>
      <c r="L154" t="s">
        <v>89</v>
      </c>
      <c r="M154" t="s">
        <v>90</v>
      </c>
      <c r="V154" t="s">
        <v>91</v>
      </c>
      <c r="W154" t="s">
        <v>107</v>
      </c>
      <c r="X154" t="s">
        <v>93</v>
      </c>
      <c r="Z154" t="s">
        <v>137</v>
      </c>
      <c r="AB154">
        <v>0.02</v>
      </c>
      <c r="AG154" t="s">
        <v>95</v>
      </c>
      <c r="AX154" t="s">
        <v>144</v>
      </c>
      <c r="AY154" t="s">
        <v>109</v>
      </c>
      <c r="AZ154" t="s">
        <v>214</v>
      </c>
      <c r="BC154">
        <v>6.25E-2</v>
      </c>
      <c r="BH154" t="s">
        <v>99</v>
      </c>
      <c r="BO154" t="s">
        <v>111</v>
      </c>
      <c r="CD154" t="s">
        <v>229</v>
      </c>
      <c r="CE154">
        <v>8860</v>
      </c>
      <c r="CF154" t="s">
        <v>230</v>
      </c>
      <c r="CG154" t="s">
        <v>231</v>
      </c>
      <c r="CH154">
        <v>1973</v>
      </c>
    </row>
    <row r="155" spans="1:86" hidden="1" x14ac:dyDescent="0.25">
      <c r="A155">
        <v>330541</v>
      </c>
      <c r="B155" t="s">
        <v>86</v>
      </c>
      <c r="D155" t="s">
        <v>115</v>
      </c>
      <c r="F155">
        <v>99</v>
      </c>
      <c r="K155" t="s">
        <v>90</v>
      </c>
      <c r="L155" t="s">
        <v>90</v>
      </c>
      <c r="M155" t="s">
        <v>90</v>
      </c>
      <c r="V155" t="s">
        <v>257</v>
      </c>
      <c r="W155" t="s">
        <v>107</v>
      </c>
      <c r="X155" t="s">
        <v>93</v>
      </c>
      <c r="Z155" t="s">
        <v>94</v>
      </c>
      <c r="AB155">
        <v>1.3985832E-2</v>
      </c>
      <c r="AG155" t="s">
        <v>95</v>
      </c>
      <c r="AX155" t="s">
        <v>201</v>
      </c>
      <c r="AY155" t="s">
        <v>311</v>
      </c>
      <c r="AZ155" t="s">
        <v>214</v>
      </c>
      <c r="BC155">
        <v>27</v>
      </c>
      <c r="BH155" t="s">
        <v>99</v>
      </c>
      <c r="BO155" t="s">
        <v>111</v>
      </c>
      <c r="CD155" t="s">
        <v>258</v>
      </c>
      <c r="CE155">
        <v>6117</v>
      </c>
      <c r="CF155" t="s">
        <v>259</v>
      </c>
      <c r="CG155" t="s">
        <v>260</v>
      </c>
      <c r="CH155">
        <v>1992</v>
      </c>
    </row>
    <row r="156" spans="1:86" hidden="1" x14ac:dyDescent="0.25">
      <c r="A156">
        <v>330541</v>
      </c>
      <c r="B156" t="s">
        <v>86</v>
      </c>
      <c r="D156" t="s">
        <v>115</v>
      </c>
      <c r="K156" t="s">
        <v>312</v>
      </c>
      <c r="L156" t="s">
        <v>212</v>
      </c>
      <c r="M156" t="s">
        <v>90</v>
      </c>
      <c r="V156" t="s">
        <v>91</v>
      </c>
      <c r="W156" t="s">
        <v>107</v>
      </c>
      <c r="X156" t="s">
        <v>93</v>
      </c>
      <c r="Z156" t="s">
        <v>137</v>
      </c>
      <c r="AB156"/>
      <c r="AD156">
        <v>8.9999999999999993E-3</v>
      </c>
      <c r="AF156">
        <v>1.4E-2</v>
      </c>
      <c r="AG156" t="s">
        <v>95</v>
      </c>
      <c r="AX156" t="s">
        <v>144</v>
      </c>
      <c r="AY156" t="s">
        <v>109</v>
      </c>
      <c r="AZ156" t="s">
        <v>214</v>
      </c>
      <c r="BC156">
        <v>0.125</v>
      </c>
      <c r="BH156" t="s">
        <v>99</v>
      </c>
      <c r="BO156" t="s">
        <v>111</v>
      </c>
      <c r="CD156" t="s">
        <v>313</v>
      </c>
      <c r="CE156">
        <v>12512</v>
      </c>
      <c r="CF156" t="s">
        <v>314</v>
      </c>
      <c r="CG156" t="s">
        <v>315</v>
      </c>
      <c r="CH156">
        <v>1986</v>
      </c>
    </row>
    <row r="157" spans="1:86" hidden="1" x14ac:dyDescent="0.25">
      <c r="A157">
        <v>330541</v>
      </c>
      <c r="B157" t="s">
        <v>86</v>
      </c>
      <c r="D157" t="s">
        <v>115</v>
      </c>
      <c r="F157">
        <v>99.5</v>
      </c>
      <c r="K157" t="s">
        <v>128</v>
      </c>
      <c r="L157" t="s">
        <v>117</v>
      </c>
      <c r="M157" t="s">
        <v>90</v>
      </c>
      <c r="N157" t="s">
        <v>118</v>
      </c>
      <c r="V157" t="s">
        <v>91</v>
      </c>
      <c r="W157" t="s">
        <v>92</v>
      </c>
      <c r="X157" t="s">
        <v>93</v>
      </c>
      <c r="Y157" t="s">
        <v>119</v>
      </c>
      <c r="Z157" t="s">
        <v>94</v>
      </c>
      <c r="AB157" s="281">
        <v>1.5389999999999999</v>
      </c>
      <c r="AD157">
        <v>1.3360000000000001</v>
      </c>
      <c r="AF157">
        <v>1.6970000000000001</v>
      </c>
      <c r="AG157" t="s">
        <v>95</v>
      </c>
      <c r="AX157" t="s">
        <v>108</v>
      </c>
      <c r="AY157" t="s">
        <v>120</v>
      </c>
      <c r="AZ157" t="s">
        <v>214</v>
      </c>
      <c r="BC157">
        <v>4</v>
      </c>
      <c r="BH157" t="s">
        <v>99</v>
      </c>
      <c r="BO157" t="s">
        <v>111</v>
      </c>
      <c r="CD157" t="s">
        <v>122</v>
      </c>
      <c r="CE157">
        <v>161002</v>
      </c>
      <c r="CF157" t="s">
        <v>123</v>
      </c>
      <c r="CG157" t="s">
        <v>124</v>
      </c>
      <c r="CH157">
        <v>2012</v>
      </c>
    </row>
    <row r="158" spans="1:86" hidden="1" x14ac:dyDescent="0.25">
      <c r="A158">
        <v>330541</v>
      </c>
      <c r="B158" t="s">
        <v>86</v>
      </c>
      <c r="C158" t="s">
        <v>104</v>
      </c>
      <c r="D158" t="s">
        <v>105</v>
      </c>
      <c r="E158" t="s">
        <v>106</v>
      </c>
      <c r="F158">
        <v>95</v>
      </c>
      <c r="K158" t="s">
        <v>90</v>
      </c>
      <c r="L158" t="s">
        <v>90</v>
      </c>
      <c r="M158" t="s">
        <v>90</v>
      </c>
      <c r="V158" t="s">
        <v>91</v>
      </c>
      <c r="W158" t="s">
        <v>107</v>
      </c>
      <c r="X158" t="s">
        <v>93</v>
      </c>
      <c r="Z158" t="s">
        <v>94</v>
      </c>
      <c r="AB158" s="281">
        <v>6.0605271999999996E-3</v>
      </c>
      <c r="AD158">
        <v>5.1281384000000001E-3</v>
      </c>
      <c r="AF158">
        <v>7.2260131999999999E-3</v>
      </c>
      <c r="AG158" t="s">
        <v>95</v>
      </c>
      <c r="AX158" t="s">
        <v>108</v>
      </c>
      <c r="AY158" t="s">
        <v>109</v>
      </c>
      <c r="AZ158" t="s">
        <v>214</v>
      </c>
      <c r="BC158">
        <v>3.1300000000000001E-2</v>
      </c>
      <c r="BH158" t="s">
        <v>99</v>
      </c>
      <c r="BO158" t="s">
        <v>111</v>
      </c>
      <c r="CD158" t="s">
        <v>112</v>
      </c>
      <c r="CE158">
        <v>180287</v>
      </c>
      <c r="CF158" t="s">
        <v>113</v>
      </c>
      <c r="CG158" t="s">
        <v>114</v>
      </c>
      <c r="CH158">
        <v>2004</v>
      </c>
    </row>
    <row r="159" spans="1:86" hidden="1" x14ac:dyDescent="0.25">
      <c r="A159">
        <v>330541</v>
      </c>
      <c r="B159" t="s">
        <v>86</v>
      </c>
      <c r="D159" t="s">
        <v>115</v>
      </c>
      <c r="E159" t="s">
        <v>106</v>
      </c>
      <c r="F159">
        <v>99</v>
      </c>
      <c r="K159" t="s">
        <v>316</v>
      </c>
      <c r="L159" t="s">
        <v>317</v>
      </c>
      <c r="M159" t="s">
        <v>90</v>
      </c>
      <c r="V159" t="s">
        <v>91</v>
      </c>
      <c r="W159" t="s">
        <v>92</v>
      </c>
      <c r="X159" t="s">
        <v>93</v>
      </c>
      <c r="Y159">
        <v>5</v>
      </c>
      <c r="Z159" t="s">
        <v>94</v>
      </c>
      <c r="AB159">
        <v>3.5E-4</v>
      </c>
      <c r="AG159" t="s">
        <v>95</v>
      </c>
      <c r="AX159" t="s">
        <v>196</v>
      </c>
      <c r="AY159" t="s">
        <v>318</v>
      </c>
      <c r="AZ159" t="s">
        <v>214</v>
      </c>
      <c r="BC159">
        <v>14</v>
      </c>
      <c r="BH159" t="s">
        <v>99</v>
      </c>
      <c r="BO159" t="s">
        <v>111</v>
      </c>
      <c r="CD159" t="s">
        <v>319</v>
      </c>
      <c r="CE159">
        <v>102064</v>
      </c>
      <c r="CF159" t="s">
        <v>320</v>
      </c>
      <c r="CG159" t="s">
        <v>321</v>
      </c>
      <c r="CH159">
        <v>2006</v>
      </c>
    </row>
    <row r="160" spans="1:86" hidden="1" x14ac:dyDescent="0.25">
      <c r="A160">
        <v>330541</v>
      </c>
      <c r="B160" t="s">
        <v>86</v>
      </c>
      <c r="D160" t="s">
        <v>115</v>
      </c>
      <c r="K160" t="s">
        <v>322</v>
      </c>
      <c r="L160" t="s">
        <v>280</v>
      </c>
      <c r="M160" t="s">
        <v>90</v>
      </c>
      <c r="V160" t="s">
        <v>91</v>
      </c>
      <c r="W160" t="s">
        <v>107</v>
      </c>
      <c r="X160" t="s">
        <v>93</v>
      </c>
      <c r="Z160" t="s">
        <v>137</v>
      </c>
      <c r="AB160">
        <v>1.7000000000000001E-2</v>
      </c>
      <c r="AG160" t="s">
        <v>95</v>
      </c>
      <c r="AX160" t="s">
        <v>144</v>
      </c>
      <c r="AY160" t="s">
        <v>109</v>
      </c>
      <c r="AZ160" t="s">
        <v>214</v>
      </c>
      <c r="BC160">
        <v>6.25E-2</v>
      </c>
      <c r="BH160" t="s">
        <v>99</v>
      </c>
      <c r="BO160" t="s">
        <v>111</v>
      </c>
      <c r="CD160" t="s">
        <v>229</v>
      </c>
      <c r="CE160">
        <v>8860</v>
      </c>
      <c r="CF160" t="s">
        <v>230</v>
      </c>
      <c r="CG160" t="s">
        <v>231</v>
      </c>
      <c r="CH160">
        <v>1973</v>
      </c>
    </row>
    <row r="161" spans="1:86" hidden="1" x14ac:dyDescent="0.25">
      <c r="A161">
        <v>330541</v>
      </c>
      <c r="B161" t="s">
        <v>86</v>
      </c>
      <c r="D161" t="s">
        <v>115</v>
      </c>
      <c r="K161" t="s">
        <v>90</v>
      </c>
      <c r="L161" t="s">
        <v>90</v>
      </c>
      <c r="M161" t="s">
        <v>90</v>
      </c>
      <c r="V161" t="s">
        <v>168</v>
      </c>
      <c r="W161" t="s">
        <v>92</v>
      </c>
      <c r="X161" t="s">
        <v>93</v>
      </c>
      <c r="Y161">
        <v>7</v>
      </c>
      <c r="Z161" t="s">
        <v>137</v>
      </c>
      <c r="AB161"/>
      <c r="AC161" t="s">
        <v>106</v>
      </c>
      <c r="AD161">
        <v>0.01</v>
      </c>
      <c r="AE161" t="s">
        <v>234</v>
      </c>
      <c r="AF161">
        <v>0.1</v>
      </c>
      <c r="AG161" t="s">
        <v>95</v>
      </c>
      <c r="AX161" t="s">
        <v>108</v>
      </c>
      <c r="AY161" t="s">
        <v>160</v>
      </c>
      <c r="AZ161" t="s">
        <v>214</v>
      </c>
      <c r="BE161">
        <v>4</v>
      </c>
      <c r="BG161">
        <v>6</v>
      </c>
      <c r="BH161" t="s">
        <v>99</v>
      </c>
      <c r="BO161" t="s">
        <v>111</v>
      </c>
      <c r="CD161" t="s">
        <v>249</v>
      </c>
      <c r="CE161">
        <v>170085</v>
      </c>
      <c r="CF161" t="s">
        <v>250</v>
      </c>
      <c r="CG161" t="s">
        <v>251</v>
      </c>
      <c r="CH161">
        <v>2011</v>
      </c>
    </row>
    <row r="162" spans="1:86" hidden="1" x14ac:dyDescent="0.25">
      <c r="A162">
        <v>330541</v>
      </c>
      <c r="B162" t="s">
        <v>86</v>
      </c>
      <c r="D162" t="s">
        <v>115</v>
      </c>
      <c r="K162" t="s">
        <v>126</v>
      </c>
      <c r="L162" t="s">
        <v>117</v>
      </c>
      <c r="M162" t="s">
        <v>90</v>
      </c>
      <c r="V162" t="s">
        <v>91</v>
      </c>
      <c r="W162" t="s">
        <v>92</v>
      </c>
      <c r="X162" t="s">
        <v>93</v>
      </c>
      <c r="Y162">
        <v>8</v>
      </c>
      <c r="Z162" t="s">
        <v>137</v>
      </c>
      <c r="AB162">
        <v>4.2000000000000003E-2</v>
      </c>
      <c r="AD162">
        <v>3.2000000000000001E-2</v>
      </c>
      <c r="AF162">
        <v>5.0999999999999997E-2</v>
      </c>
      <c r="AG162" t="s">
        <v>95</v>
      </c>
      <c r="AX162" t="s">
        <v>108</v>
      </c>
      <c r="AY162" t="s">
        <v>120</v>
      </c>
      <c r="AZ162" t="s">
        <v>214</v>
      </c>
      <c r="BC162">
        <v>4</v>
      </c>
      <c r="BH162" t="s">
        <v>99</v>
      </c>
      <c r="BO162" t="s">
        <v>111</v>
      </c>
      <c r="CD162" t="s">
        <v>139</v>
      </c>
      <c r="CE162">
        <v>166513</v>
      </c>
      <c r="CF162" t="s">
        <v>140</v>
      </c>
      <c r="CG162" t="s">
        <v>141</v>
      </c>
      <c r="CH162">
        <v>2013</v>
      </c>
    </row>
    <row r="163" spans="1:86" hidden="1" x14ac:dyDescent="0.25">
      <c r="A163">
        <v>330541</v>
      </c>
      <c r="B163" t="s">
        <v>86</v>
      </c>
      <c r="D163" t="s">
        <v>115</v>
      </c>
      <c r="K163" t="s">
        <v>295</v>
      </c>
      <c r="L163" t="s">
        <v>212</v>
      </c>
      <c r="M163" t="s">
        <v>90</v>
      </c>
      <c r="V163" t="s">
        <v>91</v>
      </c>
      <c r="W163" t="s">
        <v>107</v>
      </c>
      <c r="X163" t="s">
        <v>93</v>
      </c>
      <c r="Z163" t="s">
        <v>137</v>
      </c>
      <c r="AB163">
        <v>0.02</v>
      </c>
      <c r="AG163" t="s">
        <v>95</v>
      </c>
      <c r="AX163" t="s">
        <v>108</v>
      </c>
      <c r="AY163" t="s">
        <v>160</v>
      </c>
      <c r="AZ163" t="s">
        <v>214</v>
      </c>
      <c r="BC163">
        <v>4</v>
      </c>
      <c r="BH163" t="s">
        <v>99</v>
      </c>
      <c r="BO163" t="s">
        <v>111</v>
      </c>
      <c r="CD163" t="s">
        <v>296</v>
      </c>
      <c r="CE163">
        <v>18453</v>
      </c>
      <c r="CF163" t="s">
        <v>297</v>
      </c>
      <c r="CG163" t="s">
        <v>298</v>
      </c>
      <c r="CH163">
        <v>1996</v>
      </c>
    </row>
    <row r="164" spans="1:86" hidden="1" x14ac:dyDescent="0.25">
      <c r="A164">
        <v>330541</v>
      </c>
      <c r="B164" t="s">
        <v>86</v>
      </c>
      <c r="D164" t="s">
        <v>115</v>
      </c>
      <c r="K164" t="s">
        <v>232</v>
      </c>
      <c r="L164" t="s">
        <v>89</v>
      </c>
      <c r="M164" t="s">
        <v>90</v>
      </c>
      <c r="V164" t="s">
        <v>91</v>
      </c>
      <c r="W164" t="s">
        <v>107</v>
      </c>
      <c r="X164" t="s">
        <v>93</v>
      </c>
      <c r="Z164" t="s">
        <v>137</v>
      </c>
      <c r="AB164">
        <v>3.6999999999999998E-2</v>
      </c>
      <c r="AG164" t="s">
        <v>95</v>
      </c>
      <c r="AX164" t="s">
        <v>144</v>
      </c>
      <c r="AY164" t="s">
        <v>109</v>
      </c>
      <c r="AZ164" t="s">
        <v>214</v>
      </c>
      <c r="BC164">
        <v>6.25E-2</v>
      </c>
      <c r="BH164" t="s">
        <v>99</v>
      </c>
      <c r="BO164" t="s">
        <v>111</v>
      </c>
      <c r="CD164" t="s">
        <v>229</v>
      </c>
      <c r="CE164">
        <v>8860</v>
      </c>
      <c r="CF164" t="s">
        <v>230</v>
      </c>
      <c r="CG164" t="s">
        <v>231</v>
      </c>
      <c r="CH164">
        <v>1973</v>
      </c>
    </row>
    <row r="165" spans="1:86" hidden="1" x14ac:dyDescent="0.25">
      <c r="A165">
        <v>330541</v>
      </c>
      <c r="B165" t="s">
        <v>86</v>
      </c>
      <c r="D165" t="s">
        <v>115</v>
      </c>
      <c r="K165" t="s">
        <v>90</v>
      </c>
      <c r="L165" t="s">
        <v>90</v>
      </c>
      <c r="M165" t="s">
        <v>90</v>
      </c>
      <c r="V165" t="s">
        <v>168</v>
      </c>
      <c r="W165" t="s">
        <v>92</v>
      </c>
      <c r="X165" t="s">
        <v>93</v>
      </c>
      <c r="Y165">
        <v>7</v>
      </c>
      <c r="Z165" t="s">
        <v>137</v>
      </c>
      <c r="AB165"/>
      <c r="AC165" t="s">
        <v>106</v>
      </c>
      <c r="AD165">
        <v>0.01</v>
      </c>
      <c r="AE165" t="s">
        <v>234</v>
      </c>
      <c r="AF165">
        <v>0.1</v>
      </c>
      <c r="AG165" t="s">
        <v>95</v>
      </c>
      <c r="AX165" t="s">
        <v>108</v>
      </c>
      <c r="AY165" t="s">
        <v>160</v>
      </c>
      <c r="AZ165" t="s">
        <v>214</v>
      </c>
      <c r="BE165">
        <v>4</v>
      </c>
      <c r="BG165">
        <v>6</v>
      </c>
      <c r="BH165" t="s">
        <v>99</v>
      </c>
      <c r="BO165" t="s">
        <v>111</v>
      </c>
      <c r="CD165" t="s">
        <v>249</v>
      </c>
      <c r="CE165">
        <v>170085</v>
      </c>
      <c r="CF165" t="s">
        <v>250</v>
      </c>
      <c r="CG165" t="s">
        <v>251</v>
      </c>
      <c r="CH165">
        <v>2011</v>
      </c>
    </row>
    <row r="166" spans="1:86" hidden="1" x14ac:dyDescent="0.25">
      <c r="A166">
        <v>330541</v>
      </c>
      <c r="B166" t="s">
        <v>86</v>
      </c>
      <c r="D166" t="s">
        <v>115</v>
      </c>
      <c r="K166" t="s">
        <v>130</v>
      </c>
      <c r="L166" t="s">
        <v>117</v>
      </c>
      <c r="M166" t="s">
        <v>90</v>
      </c>
      <c r="V166" t="s">
        <v>168</v>
      </c>
      <c r="W166" t="s">
        <v>92</v>
      </c>
      <c r="X166" t="s">
        <v>93</v>
      </c>
      <c r="Y166">
        <v>6</v>
      </c>
      <c r="Z166" t="s">
        <v>137</v>
      </c>
      <c r="AB166"/>
      <c r="AC166" t="s">
        <v>106</v>
      </c>
      <c r="AD166">
        <v>5.0000000000000001E-3</v>
      </c>
      <c r="AE166" t="s">
        <v>234</v>
      </c>
      <c r="AF166">
        <v>0.01</v>
      </c>
      <c r="AG166" t="s">
        <v>95</v>
      </c>
      <c r="AX166" t="s">
        <v>108</v>
      </c>
      <c r="AY166" t="s">
        <v>160</v>
      </c>
      <c r="AZ166" t="s">
        <v>214</v>
      </c>
      <c r="BE166">
        <v>4</v>
      </c>
      <c r="BG166">
        <v>6</v>
      </c>
      <c r="BH166" t="s">
        <v>99</v>
      </c>
      <c r="BO166" t="s">
        <v>111</v>
      </c>
      <c r="CD166" t="s">
        <v>249</v>
      </c>
      <c r="CE166">
        <v>170085</v>
      </c>
      <c r="CF166" t="s">
        <v>250</v>
      </c>
      <c r="CG166" t="s">
        <v>251</v>
      </c>
      <c r="CH166">
        <v>2011</v>
      </c>
    </row>
    <row r="167" spans="1:86" hidden="1" x14ac:dyDescent="0.25">
      <c r="A167">
        <v>330541</v>
      </c>
      <c r="B167" t="s">
        <v>86</v>
      </c>
      <c r="D167" t="s">
        <v>115</v>
      </c>
      <c r="F167">
        <v>99</v>
      </c>
      <c r="K167" t="s">
        <v>90</v>
      </c>
      <c r="L167" t="s">
        <v>90</v>
      </c>
      <c r="M167" t="s">
        <v>90</v>
      </c>
      <c r="V167" t="s">
        <v>257</v>
      </c>
      <c r="W167" t="s">
        <v>107</v>
      </c>
      <c r="X167" t="s">
        <v>93</v>
      </c>
      <c r="Z167" t="s">
        <v>94</v>
      </c>
      <c r="AB167" s="281">
        <v>1.3985832E-2</v>
      </c>
      <c r="AG167" t="s">
        <v>95</v>
      </c>
      <c r="AX167" t="s">
        <v>108</v>
      </c>
      <c r="AY167" t="s">
        <v>308</v>
      </c>
      <c r="AZ167" t="s">
        <v>214</v>
      </c>
      <c r="BC167">
        <v>27</v>
      </c>
      <c r="BH167" t="s">
        <v>99</v>
      </c>
      <c r="BO167" t="s">
        <v>111</v>
      </c>
      <c r="CD167" t="s">
        <v>258</v>
      </c>
      <c r="CE167">
        <v>6117</v>
      </c>
      <c r="CF167" t="s">
        <v>259</v>
      </c>
      <c r="CG167" t="s">
        <v>260</v>
      </c>
      <c r="CH167">
        <v>1992</v>
      </c>
    </row>
    <row r="168" spans="1:86" hidden="1" x14ac:dyDescent="0.25">
      <c r="A168">
        <v>330541</v>
      </c>
      <c r="B168" t="s">
        <v>86</v>
      </c>
      <c r="D168" t="s">
        <v>115</v>
      </c>
      <c r="F168">
        <v>99.5</v>
      </c>
      <c r="K168" t="s">
        <v>127</v>
      </c>
      <c r="L168" t="s">
        <v>117</v>
      </c>
      <c r="M168" t="s">
        <v>90</v>
      </c>
      <c r="N168" t="s">
        <v>118</v>
      </c>
      <c r="V168" t="s">
        <v>91</v>
      </c>
      <c r="W168" t="s">
        <v>92</v>
      </c>
      <c r="X168" t="s">
        <v>93</v>
      </c>
      <c r="Y168" t="s">
        <v>119</v>
      </c>
      <c r="Z168" t="s">
        <v>94</v>
      </c>
      <c r="AB168" s="281">
        <v>8.7899999999999992E-3</v>
      </c>
      <c r="AD168">
        <v>7.5100000000000002E-3</v>
      </c>
      <c r="AF168">
        <v>9.8799999999999999E-3</v>
      </c>
      <c r="AG168" t="s">
        <v>95</v>
      </c>
      <c r="AX168" t="s">
        <v>108</v>
      </c>
      <c r="AY168" t="s">
        <v>120</v>
      </c>
      <c r="AZ168" t="s">
        <v>214</v>
      </c>
      <c r="BC168">
        <v>4</v>
      </c>
      <c r="BH168" t="s">
        <v>99</v>
      </c>
      <c r="BO168" t="s">
        <v>111</v>
      </c>
      <c r="CD168" t="s">
        <v>122</v>
      </c>
      <c r="CE168">
        <v>161002</v>
      </c>
      <c r="CF168" t="s">
        <v>123</v>
      </c>
      <c r="CG168" t="s">
        <v>124</v>
      </c>
      <c r="CH168">
        <v>2012</v>
      </c>
    </row>
    <row r="169" spans="1:86" hidden="1" x14ac:dyDescent="0.25">
      <c r="A169">
        <v>330541</v>
      </c>
      <c r="B169" t="s">
        <v>86</v>
      </c>
      <c r="C169" t="s">
        <v>323</v>
      </c>
      <c r="D169" t="s">
        <v>115</v>
      </c>
      <c r="F169">
        <v>99</v>
      </c>
      <c r="K169" t="s">
        <v>90</v>
      </c>
      <c r="L169" t="s">
        <v>90</v>
      </c>
      <c r="M169" t="s">
        <v>90</v>
      </c>
      <c r="V169" t="s">
        <v>91</v>
      </c>
      <c r="W169" t="s">
        <v>107</v>
      </c>
      <c r="X169" t="s">
        <v>93</v>
      </c>
      <c r="Z169" t="s">
        <v>94</v>
      </c>
      <c r="AB169">
        <v>8.8576935999999992E-3</v>
      </c>
      <c r="AG169" t="s">
        <v>95</v>
      </c>
      <c r="AX169" t="s">
        <v>144</v>
      </c>
      <c r="AY169" t="s">
        <v>109</v>
      </c>
      <c r="AZ169" t="s">
        <v>214</v>
      </c>
      <c r="BC169">
        <v>3.1300000000000001E-2</v>
      </c>
      <c r="BH169" t="s">
        <v>99</v>
      </c>
      <c r="BO169" t="s">
        <v>111</v>
      </c>
      <c r="CD169" t="s">
        <v>324</v>
      </c>
      <c r="CE169">
        <v>17783</v>
      </c>
      <c r="CF169" t="s">
        <v>325</v>
      </c>
      <c r="CG169" t="s">
        <v>326</v>
      </c>
      <c r="CH169">
        <v>1996</v>
      </c>
    </row>
    <row r="170" spans="1:86" hidden="1" x14ac:dyDescent="0.25">
      <c r="A170">
        <v>330541</v>
      </c>
      <c r="B170" t="s">
        <v>86</v>
      </c>
      <c r="C170" t="s">
        <v>104</v>
      </c>
      <c r="D170" t="s">
        <v>105</v>
      </c>
      <c r="E170" t="s">
        <v>106</v>
      </c>
      <c r="F170">
        <v>95</v>
      </c>
      <c r="K170" t="s">
        <v>90</v>
      </c>
      <c r="L170" t="s">
        <v>90</v>
      </c>
      <c r="M170" t="s">
        <v>90</v>
      </c>
      <c r="V170" t="s">
        <v>91</v>
      </c>
      <c r="W170" t="s">
        <v>107</v>
      </c>
      <c r="X170" t="s">
        <v>93</v>
      </c>
      <c r="Z170" t="s">
        <v>94</v>
      </c>
      <c r="AB170" s="281">
        <v>8.3914991999999994E-3</v>
      </c>
      <c r="AD170">
        <v>8.1584020000000004E-3</v>
      </c>
      <c r="AF170">
        <v>8.6245964000000001E-3</v>
      </c>
      <c r="AG170" t="s">
        <v>95</v>
      </c>
      <c r="AX170" t="s">
        <v>108</v>
      </c>
      <c r="AY170" t="s">
        <v>109</v>
      </c>
      <c r="AZ170" t="s">
        <v>214</v>
      </c>
      <c r="BC170">
        <v>3.1300000000000001E-2</v>
      </c>
      <c r="BH170" t="s">
        <v>99</v>
      </c>
      <c r="BO170" t="s">
        <v>111</v>
      </c>
      <c r="CD170" t="s">
        <v>112</v>
      </c>
      <c r="CE170">
        <v>180287</v>
      </c>
      <c r="CF170" t="s">
        <v>113</v>
      </c>
      <c r="CG170" t="s">
        <v>114</v>
      </c>
      <c r="CH170">
        <v>2004</v>
      </c>
    </row>
    <row r="171" spans="1:86" hidden="1" x14ac:dyDescent="0.25">
      <c r="A171">
        <v>330541</v>
      </c>
      <c r="B171" t="s">
        <v>86</v>
      </c>
      <c r="D171" t="s">
        <v>115</v>
      </c>
      <c r="E171" t="s">
        <v>106</v>
      </c>
      <c r="F171">
        <v>98</v>
      </c>
      <c r="K171" t="s">
        <v>177</v>
      </c>
      <c r="L171" t="s">
        <v>178</v>
      </c>
      <c r="M171" t="s">
        <v>90</v>
      </c>
      <c r="V171" t="s">
        <v>91</v>
      </c>
      <c r="W171" t="s">
        <v>107</v>
      </c>
      <c r="X171" t="s">
        <v>93</v>
      </c>
      <c r="Y171" t="s">
        <v>327</v>
      </c>
      <c r="Z171" t="s">
        <v>94</v>
      </c>
      <c r="AB171">
        <v>35</v>
      </c>
      <c r="AD171">
        <v>29</v>
      </c>
      <c r="AF171">
        <v>42</v>
      </c>
      <c r="AG171" t="s">
        <v>95</v>
      </c>
      <c r="AX171" t="s">
        <v>108</v>
      </c>
      <c r="AY171" t="s">
        <v>150</v>
      </c>
      <c r="AZ171" t="s">
        <v>214</v>
      </c>
      <c r="BC171">
        <v>4</v>
      </c>
      <c r="BH171" t="s">
        <v>99</v>
      </c>
      <c r="BO171" t="s">
        <v>111</v>
      </c>
      <c r="CD171" t="s">
        <v>328</v>
      </c>
      <c r="CE171">
        <v>110086</v>
      </c>
      <c r="CF171" t="s">
        <v>329</v>
      </c>
      <c r="CG171" t="s">
        <v>330</v>
      </c>
      <c r="CH171">
        <v>2008</v>
      </c>
    </row>
    <row r="172" spans="1:86" hidden="1" x14ac:dyDescent="0.25">
      <c r="A172">
        <v>330541</v>
      </c>
      <c r="B172" t="s">
        <v>86</v>
      </c>
      <c r="C172" t="s">
        <v>323</v>
      </c>
      <c r="D172" t="s">
        <v>115</v>
      </c>
      <c r="F172">
        <v>99</v>
      </c>
      <c r="K172" t="s">
        <v>90</v>
      </c>
      <c r="L172" t="s">
        <v>90</v>
      </c>
      <c r="M172" t="s">
        <v>90</v>
      </c>
      <c r="V172" t="s">
        <v>91</v>
      </c>
      <c r="W172" t="s">
        <v>107</v>
      </c>
      <c r="X172" t="s">
        <v>93</v>
      </c>
      <c r="Z172" t="s">
        <v>94</v>
      </c>
      <c r="AB172">
        <v>9.3238880000000007E-3</v>
      </c>
      <c r="AG172" t="s">
        <v>95</v>
      </c>
      <c r="AX172" t="s">
        <v>144</v>
      </c>
      <c r="AY172" t="s">
        <v>109</v>
      </c>
      <c r="AZ172" t="s">
        <v>214</v>
      </c>
      <c r="BC172">
        <v>3.1300000000000001E-2</v>
      </c>
      <c r="BH172" t="s">
        <v>99</v>
      </c>
      <c r="BO172" t="s">
        <v>111</v>
      </c>
      <c r="CD172" t="s">
        <v>324</v>
      </c>
      <c r="CE172">
        <v>17783</v>
      </c>
      <c r="CF172" t="s">
        <v>325</v>
      </c>
      <c r="CG172" t="s">
        <v>326</v>
      </c>
      <c r="CH172">
        <v>1996</v>
      </c>
    </row>
    <row r="173" spans="1:86" hidden="1" x14ac:dyDescent="0.25">
      <c r="A173">
        <v>330541</v>
      </c>
      <c r="B173" t="s">
        <v>86</v>
      </c>
      <c r="D173" t="s">
        <v>115</v>
      </c>
      <c r="E173" t="s">
        <v>106</v>
      </c>
      <c r="F173">
        <v>99.5</v>
      </c>
      <c r="K173" t="s">
        <v>243</v>
      </c>
      <c r="L173" t="s">
        <v>89</v>
      </c>
      <c r="M173" t="s">
        <v>90</v>
      </c>
      <c r="V173" t="s">
        <v>91</v>
      </c>
      <c r="W173" t="s">
        <v>92</v>
      </c>
      <c r="X173" t="s">
        <v>93</v>
      </c>
      <c r="Z173" t="s">
        <v>94</v>
      </c>
      <c r="AB173" s="281">
        <v>9.3238880000000007E-3</v>
      </c>
      <c r="AD173">
        <v>6.9929160000000001E-3</v>
      </c>
      <c r="AF173">
        <v>1.165486E-2</v>
      </c>
      <c r="AG173" t="s">
        <v>95</v>
      </c>
      <c r="AX173" t="s">
        <v>108</v>
      </c>
      <c r="AY173" t="s">
        <v>160</v>
      </c>
      <c r="AZ173" t="s">
        <v>214</v>
      </c>
      <c r="BC173">
        <v>1</v>
      </c>
      <c r="BH173" t="s">
        <v>99</v>
      </c>
      <c r="BO173" t="s">
        <v>111</v>
      </c>
      <c r="CD173" t="s">
        <v>244</v>
      </c>
      <c r="CE173">
        <v>155441</v>
      </c>
      <c r="CF173" t="s">
        <v>245</v>
      </c>
      <c r="CG173" t="s">
        <v>246</v>
      </c>
      <c r="CH173">
        <v>2011</v>
      </c>
    </row>
    <row r="174" spans="1:86" hidden="1" x14ac:dyDescent="0.25">
      <c r="A174">
        <v>330541</v>
      </c>
      <c r="B174" t="s">
        <v>86</v>
      </c>
      <c r="D174" t="s">
        <v>115</v>
      </c>
      <c r="K174" t="s">
        <v>289</v>
      </c>
      <c r="L174" t="s">
        <v>117</v>
      </c>
      <c r="M174" t="s">
        <v>90</v>
      </c>
      <c r="V174" t="s">
        <v>168</v>
      </c>
      <c r="W174" t="s">
        <v>92</v>
      </c>
      <c r="X174" t="s">
        <v>93</v>
      </c>
      <c r="Y174">
        <v>6</v>
      </c>
      <c r="Z174" t="s">
        <v>137</v>
      </c>
      <c r="AB174"/>
      <c r="AC174" t="s">
        <v>106</v>
      </c>
      <c r="AD174">
        <v>0.01</v>
      </c>
      <c r="AE174" t="s">
        <v>234</v>
      </c>
      <c r="AF174">
        <v>1.4999999999999999E-2</v>
      </c>
      <c r="AG174" t="s">
        <v>95</v>
      </c>
      <c r="AX174" t="s">
        <v>108</v>
      </c>
      <c r="AY174" t="s">
        <v>160</v>
      </c>
      <c r="AZ174" t="s">
        <v>214</v>
      </c>
      <c r="BE174">
        <v>4</v>
      </c>
      <c r="BG174">
        <v>6</v>
      </c>
      <c r="BH174" t="s">
        <v>99</v>
      </c>
      <c r="BO174" t="s">
        <v>111</v>
      </c>
      <c r="CD174" t="s">
        <v>249</v>
      </c>
      <c r="CE174">
        <v>170085</v>
      </c>
      <c r="CF174" t="s">
        <v>250</v>
      </c>
      <c r="CG174" t="s">
        <v>251</v>
      </c>
      <c r="CH174">
        <v>2011</v>
      </c>
    </row>
    <row r="175" spans="1:86" hidden="1" x14ac:dyDescent="0.25">
      <c r="A175">
        <v>330541</v>
      </c>
      <c r="B175" t="s">
        <v>86</v>
      </c>
      <c r="C175" t="s">
        <v>158</v>
      </c>
      <c r="D175" t="s">
        <v>115</v>
      </c>
      <c r="K175" t="s">
        <v>331</v>
      </c>
      <c r="L175" t="s">
        <v>90</v>
      </c>
      <c r="M175" t="s">
        <v>90</v>
      </c>
      <c r="P175">
        <v>3</v>
      </c>
      <c r="U175" t="s">
        <v>219</v>
      </c>
      <c r="V175" t="s">
        <v>91</v>
      </c>
      <c r="W175" t="s">
        <v>220</v>
      </c>
      <c r="X175" t="s">
        <v>93</v>
      </c>
      <c r="Y175">
        <v>11</v>
      </c>
      <c r="Z175" t="s">
        <v>94</v>
      </c>
      <c r="AD175">
        <v>0.5</v>
      </c>
      <c r="AF175">
        <v>1</v>
      </c>
      <c r="AG175" t="s">
        <v>95</v>
      </c>
      <c r="AX175" t="s">
        <v>108</v>
      </c>
      <c r="AY175" t="s">
        <v>160</v>
      </c>
      <c r="AZ175" t="s">
        <v>214</v>
      </c>
      <c r="BE175">
        <v>5</v>
      </c>
      <c r="BG175">
        <v>30</v>
      </c>
      <c r="BH175" t="s">
        <v>99</v>
      </c>
      <c r="BO175" t="s">
        <v>111</v>
      </c>
      <c r="CD175" t="s">
        <v>221</v>
      </c>
      <c r="CE175">
        <v>4871</v>
      </c>
      <c r="CF175" t="s">
        <v>222</v>
      </c>
      <c r="CG175" t="s">
        <v>223</v>
      </c>
      <c r="CH175">
        <v>1975</v>
      </c>
    </row>
    <row r="176" spans="1:86" hidden="1" x14ac:dyDescent="0.25">
      <c r="A176">
        <v>330541</v>
      </c>
      <c r="B176" t="s">
        <v>86</v>
      </c>
      <c r="C176" t="s">
        <v>183</v>
      </c>
      <c r="D176" t="s">
        <v>115</v>
      </c>
      <c r="K176" t="s">
        <v>189</v>
      </c>
      <c r="L176" t="s">
        <v>190</v>
      </c>
      <c r="M176" t="s">
        <v>90</v>
      </c>
      <c r="N176" t="s">
        <v>118</v>
      </c>
      <c r="V176" t="s">
        <v>91</v>
      </c>
      <c r="W176" t="s">
        <v>107</v>
      </c>
      <c r="X176" t="s">
        <v>93</v>
      </c>
      <c r="Z176" t="s">
        <v>94</v>
      </c>
      <c r="AB176">
        <v>0.01</v>
      </c>
      <c r="AG176" t="s">
        <v>95</v>
      </c>
      <c r="AX176" t="s">
        <v>144</v>
      </c>
      <c r="AY176" t="s">
        <v>109</v>
      </c>
      <c r="AZ176" t="s">
        <v>214</v>
      </c>
      <c r="BC176">
        <v>6.25E-2</v>
      </c>
      <c r="BH176" t="s">
        <v>99</v>
      </c>
      <c r="BO176" t="s">
        <v>111</v>
      </c>
      <c r="CD176" t="s">
        <v>191</v>
      </c>
      <c r="CE176">
        <v>9211</v>
      </c>
      <c r="CF176" t="s">
        <v>192</v>
      </c>
      <c r="CG176" t="s">
        <v>193</v>
      </c>
      <c r="CH176">
        <v>1972</v>
      </c>
    </row>
    <row r="177" spans="1:86" hidden="1" x14ac:dyDescent="0.25">
      <c r="A177">
        <v>330541</v>
      </c>
      <c r="B177" t="s">
        <v>86</v>
      </c>
      <c r="C177" t="s">
        <v>104</v>
      </c>
      <c r="D177" t="s">
        <v>115</v>
      </c>
      <c r="K177" t="s">
        <v>332</v>
      </c>
      <c r="L177" t="s">
        <v>89</v>
      </c>
      <c r="M177" t="s">
        <v>90</v>
      </c>
      <c r="R177">
        <v>14</v>
      </c>
      <c r="T177">
        <v>28</v>
      </c>
      <c r="U177" t="s">
        <v>99</v>
      </c>
      <c r="V177" t="s">
        <v>91</v>
      </c>
      <c r="W177" t="s">
        <v>92</v>
      </c>
      <c r="X177" t="s">
        <v>93</v>
      </c>
      <c r="Z177" t="s">
        <v>94</v>
      </c>
      <c r="AB177" s="281">
        <v>4.1000000000000003E-3</v>
      </c>
      <c r="AD177">
        <v>2.5000000000000001E-3</v>
      </c>
      <c r="AF177">
        <v>6.8999999999999999E-3</v>
      </c>
      <c r="AG177" t="s">
        <v>95</v>
      </c>
      <c r="AX177" t="s">
        <v>108</v>
      </c>
      <c r="AY177" t="s">
        <v>109</v>
      </c>
      <c r="AZ177" t="s">
        <v>214</v>
      </c>
      <c r="BC177">
        <v>1.3899999999999999E-2</v>
      </c>
      <c r="BH177" t="s">
        <v>99</v>
      </c>
      <c r="BO177" t="s">
        <v>111</v>
      </c>
      <c r="CD177" t="s">
        <v>225</v>
      </c>
      <c r="CE177">
        <v>83755</v>
      </c>
      <c r="CF177" t="s">
        <v>226</v>
      </c>
      <c r="CG177" t="s">
        <v>227</v>
      </c>
      <c r="CH177">
        <v>2005</v>
      </c>
    </row>
    <row r="178" spans="1:86" hidden="1" x14ac:dyDescent="0.25">
      <c r="A178">
        <v>330541</v>
      </c>
      <c r="B178" t="s">
        <v>86</v>
      </c>
      <c r="C178" t="s">
        <v>104</v>
      </c>
      <c r="D178" t="s">
        <v>105</v>
      </c>
      <c r="F178">
        <v>99</v>
      </c>
      <c r="K178" t="s">
        <v>243</v>
      </c>
      <c r="L178" t="s">
        <v>89</v>
      </c>
      <c r="M178" t="s">
        <v>90</v>
      </c>
      <c r="N178" t="s">
        <v>118</v>
      </c>
      <c r="V178" t="s">
        <v>91</v>
      </c>
      <c r="W178" t="s">
        <v>92</v>
      </c>
      <c r="X178" t="s">
        <v>93</v>
      </c>
      <c r="Y178">
        <v>2</v>
      </c>
      <c r="Z178" t="s">
        <v>94</v>
      </c>
      <c r="AB178" s="281">
        <v>1.43E-2</v>
      </c>
      <c r="AD178">
        <v>1.1900000000000001E-2</v>
      </c>
      <c r="AF178">
        <v>1.72E-2</v>
      </c>
      <c r="AG178" t="s">
        <v>95</v>
      </c>
      <c r="AX178" t="s">
        <v>108</v>
      </c>
      <c r="AY178" t="s">
        <v>160</v>
      </c>
      <c r="AZ178" t="s">
        <v>214</v>
      </c>
      <c r="BC178">
        <v>2</v>
      </c>
      <c r="BH178" t="s">
        <v>99</v>
      </c>
      <c r="BO178" t="s">
        <v>111</v>
      </c>
      <c r="CD178" t="s">
        <v>333</v>
      </c>
      <c r="CE178">
        <v>170796</v>
      </c>
      <c r="CF178" t="s">
        <v>334</v>
      </c>
      <c r="CG178" t="s">
        <v>335</v>
      </c>
      <c r="CH178">
        <v>2015</v>
      </c>
    </row>
    <row r="179" spans="1:86" hidden="1" x14ac:dyDescent="0.25">
      <c r="A179">
        <v>330541</v>
      </c>
      <c r="B179" t="s">
        <v>86</v>
      </c>
      <c r="D179" t="s">
        <v>115</v>
      </c>
      <c r="F179">
        <v>99.5</v>
      </c>
      <c r="K179" t="s">
        <v>116</v>
      </c>
      <c r="L179" t="s">
        <v>117</v>
      </c>
      <c r="M179" t="s">
        <v>90</v>
      </c>
      <c r="N179" t="s">
        <v>118</v>
      </c>
      <c r="V179" t="s">
        <v>91</v>
      </c>
      <c r="W179" t="s">
        <v>92</v>
      </c>
      <c r="X179" t="s">
        <v>93</v>
      </c>
      <c r="Y179" t="s">
        <v>119</v>
      </c>
      <c r="Z179" t="s">
        <v>94</v>
      </c>
      <c r="AB179" s="281">
        <v>0.122</v>
      </c>
      <c r="AD179">
        <v>0.11700000000000001</v>
      </c>
      <c r="AF179">
        <v>0.127</v>
      </c>
      <c r="AG179" t="s">
        <v>95</v>
      </c>
      <c r="AX179" t="s">
        <v>108</v>
      </c>
      <c r="AY179" t="s">
        <v>120</v>
      </c>
      <c r="AZ179" t="s">
        <v>214</v>
      </c>
      <c r="BC179">
        <v>4</v>
      </c>
      <c r="BH179" t="s">
        <v>99</v>
      </c>
      <c r="BO179" t="s">
        <v>111</v>
      </c>
      <c r="CD179" t="s">
        <v>122</v>
      </c>
      <c r="CE179">
        <v>161002</v>
      </c>
      <c r="CF179" t="s">
        <v>123</v>
      </c>
      <c r="CG179" t="s">
        <v>124</v>
      </c>
      <c r="CH179">
        <v>2012</v>
      </c>
    </row>
    <row r="180" spans="1:86" hidden="1" x14ac:dyDescent="0.25">
      <c r="A180">
        <v>330541</v>
      </c>
      <c r="B180" t="s">
        <v>86</v>
      </c>
      <c r="D180" t="s">
        <v>115</v>
      </c>
      <c r="F180">
        <v>95</v>
      </c>
      <c r="K180" t="s">
        <v>336</v>
      </c>
      <c r="L180" t="s">
        <v>89</v>
      </c>
      <c r="M180" t="s">
        <v>90</v>
      </c>
      <c r="N180" t="s">
        <v>118</v>
      </c>
      <c r="P180">
        <v>2</v>
      </c>
      <c r="U180" t="s">
        <v>99</v>
      </c>
      <c r="V180" t="s">
        <v>91</v>
      </c>
      <c r="W180" t="s">
        <v>92</v>
      </c>
      <c r="X180" t="s">
        <v>93</v>
      </c>
      <c r="Y180">
        <v>11</v>
      </c>
      <c r="Z180" t="s">
        <v>94</v>
      </c>
      <c r="AB180" s="281">
        <v>0.54</v>
      </c>
      <c r="AG180" t="s">
        <v>95</v>
      </c>
      <c r="AX180" t="s">
        <v>108</v>
      </c>
      <c r="AY180" t="s">
        <v>160</v>
      </c>
      <c r="AZ180" t="s">
        <v>214</v>
      </c>
      <c r="BC180">
        <v>4</v>
      </c>
      <c r="BH180" t="s">
        <v>99</v>
      </c>
      <c r="BO180" t="s">
        <v>111</v>
      </c>
      <c r="CD180" t="s">
        <v>337</v>
      </c>
      <c r="CE180">
        <v>12028</v>
      </c>
      <c r="CF180" t="s">
        <v>338</v>
      </c>
      <c r="CG180" t="s">
        <v>339</v>
      </c>
      <c r="CH180">
        <v>1984</v>
      </c>
    </row>
    <row r="181" spans="1:86" hidden="1" x14ac:dyDescent="0.25">
      <c r="A181">
        <v>330541</v>
      </c>
      <c r="B181" t="s">
        <v>86</v>
      </c>
      <c r="C181" t="s">
        <v>183</v>
      </c>
      <c r="D181" t="s">
        <v>115</v>
      </c>
      <c r="K181" t="s">
        <v>195</v>
      </c>
      <c r="L181" t="s">
        <v>89</v>
      </c>
      <c r="M181" t="s">
        <v>90</v>
      </c>
      <c r="N181" t="s">
        <v>118</v>
      </c>
      <c r="V181" t="s">
        <v>91</v>
      </c>
      <c r="W181" t="s">
        <v>107</v>
      </c>
      <c r="X181" t="s">
        <v>93</v>
      </c>
      <c r="Z181" t="s">
        <v>94</v>
      </c>
      <c r="AB181">
        <v>0.02</v>
      </c>
      <c r="AG181" t="s">
        <v>95</v>
      </c>
      <c r="AX181" t="s">
        <v>144</v>
      </c>
      <c r="AY181" t="s">
        <v>109</v>
      </c>
      <c r="AZ181" t="s">
        <v>214</v>
      </c>
      <c r="BC181">
        <v>6.25E-2</v>
      </c>
      <c r="BH181" t="s">
        <v>99</v>
      </c>
      <c r="BO181" t="s">
        <v>111</v>
      </c>
      <c r="CD181" t="s">
        <v>191</v>
      </c>
      <c r="CE181">
        <v>9211</v>
      </c>
      <c r="CF181" t="s">
        <v>192</v>
      </c>
      <c r="CG181" t="s">
        <v>193</v>
      </c>
      <c r="CH181">
        <v>1972</v>
      </c>
    </row>
    <row r="182" spans="1:86" hidden="1" x14ac:dyDescent="0.25">
      <c r="A182">
        <v>330541</v>
      </c>
      <c r="B182" t="s">
        <v>86</v>
      </c>
      <c r="C182" t="s">
        <v>158</v>
      </c>
      <c r="D182" t="s">
        <v>115</v>
      </c>
      <c r="K182" t="s">
        <v>340</v>
      </c>
      <c r="L182" t="s">
        <v>90</v>
      </c>
      <c r="M182" t="s">
        <v>90</v>
      </c>
      <c r="P182">
        <v>3</v>
      </c>
      <c r="U182" t="s">
        <v>219</v>
      </c>
      <c r="V182" t="s">
        <v>91</v>
      </c>
      <c r="W182" t="s">
        <v>220</v>
      </c>
      <c r="X182" t="s">
        <v>93</v>
      </c>
      <c r="Y182">
        <v>11</v>
      </c>
      <c r="Z182" t="s">
        <v>94</v>
      </c>
      <c r="AB182" s="281">
        <v>0.2</v>
      </c>
      <c r="AG182" t="s">
        <v>95</v>
      </c>
      <c r="AX182" t="s">
        <v>108</v>
      </c>
      <c r="AY182" t="s">
        <v>160</v>
      </c>
      <c r="AZ182" t="s">
        <v>214</v>
      </c>
      <c r="BE182">
        <v>5</v>
      </c>
      <c r="BG182">
        <v>30</v>
      </c>
      <c r="BH182" t="s">
        <v>99</v>
      </c>
      <c r="BO182" t="s">
        <v>111</v>
      </c>
      <c r="CD182" t="s">
        <v>221</v>
      </c>
      <c r="CE182">
        <v>4871</v>
      </c>
      <c r="CF182" t="s">
        <v>222</v>
      </c>
      <c r="CG182" t="s">
        <v>223</v>
      </c>
      <c r="CH182">
        <v>1975</v>
      </c>
    </row>
    <row r="183" spans="1:86" hidden="1" x14ac:dyDescent="0.25">
      <c r="A183">
        <v>330541</v>
      </c>
      <c r="B183" t="s">
        <v>86</v>
      </c>
      <c r="C183" t="s">
        <v>158</v>
      </c>
      <c r="D183" t="s">
        <v>115</v>
      </c>
      <c r="K183" t="s">
        <v>341</v>
      </c>
      <c r="L183" t="s">
        <v>89</v>
      </c>
      <c r="M183" t="s">
        <v>90</v>
      </c>
      <c r="P183">
        <v>3</v>
      </c>
      <c r="U183" t="s">
        <v>219</v>
      </c>
      <c r="V183" t="s">
        <v>91</v>
      </c>
      <c r="W183" t="s">
        <v>220</v>
      </c>
      <c r="X183" t="s">
        <v>93</v>
      </c>
      <c r="Y183">
        <v>11</v>
      </c>
      <c r="Z183" t="s">
        <v>94</v>
      </c>
      <c r="AD183">
        <v>0.5</v>
      </c>
      <c r="AF183">
        <v>1</v>
      </c>
      <c r="AG183" t="s">
        <v>95</v>
      </c>
      <c r="AX183" t="s">
        <v>108</v>
      </c>
      <c r="AY183" t="s">
        <v>160</v>
      </c>
      <c r="AZ183" t="s">
        <v>214</v>
      </c>
      <c r="BE183">
        <v>5</v>
      </c>
      <c r="BG183">
        <v>30</v>
      </c>
      <c r="BH183" t="s">
        <v>99</v>
      </c>
      <c r="BO183" t="s">
        <v>111</v>
      </c>
      <c r="CD183" t="s">
        <v>221</v>
      </c>
      <c r="CE183">
        <v>4871</v>
      </c>
      <c r="CF183" t="s">
        <v>222</v>
      </c>
      <c r="CG183" t="s">
        <v>223</v>
      </c>
      <c r="CH183">
        <v>1975</v>
      </c>
    </row>
    <row r="184" spans="1:86" hidden="1" x14ac:dyDescent="0.25">
      <c r="A184">
        <v>330541</v>
      </c>
      <c r="B184" t="s">
        <v>86</v>
      </c>
      <c r="C184" t="s">
        <v>158</v>
      </c>
      <c r="D184" t="s">
        <v>115</v>
      </c>
      <c r="K184" t="s">
        <v>340</v>
      </c>
      <c r="L184" t="s">
        <v>90</v>
      </c>
      <c r="M184" t="s">
        <v>90</v>
      </c>
      <c r="P184">
        <v>3</v>
      </c>
      <c r="U184" t="s">
        <v>219</v>
      </c>
      <c r="V184" t="s">
        <v>91</v>
      </c>
      <c r="W184" t="s">
        <v>220</v>
      </c>
      <c r="X184" t="s">
        <v>93</v>
      </c>
      <c r="Y184">
        <v>11</v>
      </c>
      <c r="Z184" t="s">
        <v>94</v>
      </c>
      <c r="AD184">
        <v>0.1</v>
      </c>
      <c r="AF184">
        <v>0.2</v>
      </c>
      <c r="AG184" t="s">
        <v>95</v>
      </c>
      <c r="AX184" t="s">
        <v>108</v>
      </c>
      <c r="AY184" t="s">
        <v>160</v>
      </c>
      <c r="AZ184" t="s">
        <v>214</v>
      </c>
      <c r="BE184">
        <v>5</v>
      </c>
      <c r="BG184">
        <v>30</v>
      </c>
      <c r="BH184" t="s">
        <v>99</v>
      </c>
      <c r="BO184" t="s">
        <v>111</v>
      </c>
      <c r="CD184" t="s">
        <v>221</v>
      </c>
      <c r="CE184">
        <v>4871</v>
      </c>
      <c r="CF184" t="s">
        <v>222</v>
      </c>
      <c r="CG184" t="s">
        <v>223</v>
      </c>
      <c r="CH184">
        <v>1975</v>
      </c>
    </row>
    <row r="185" spans="1:86" hidden="1" x14ac:dyDescent="0.25">
      <c r="A185">
        <v>330541</v>
      </c>
      <c r="B185" t="s">
        <v>86</v>
      </c>
      <c r="D185" t="s">
        <v>115</v>
      </c>
      <c r="K185" t="s">
        <v>135</v>
      </c>
      <c r="L185" t="s">
        <v>117</v>
      </c>
      <c r="M185" t="s">
        <v>90</v>
      </c>
      <c r="V185" t="s">
        <v>91</v>
      </c>
      <c r="W185" t="s">
        <v>92</v>
      </c>
      <c r="X185" t="s">
        <v>93</v>
      </c>
      <c r="Y185">
        <v>8</v>
      </c>
      <c r="Z185" t="s">
        <v>137</v>
      </c>
      <c r="AB185">
        <v>1.423</v>
      </c>
      <c r="AD185">
        <v>0</v>
      </c>
      <c r="AF185">
        <v>3.2210000000000001</v>
      </c>
      <c r="AG185" t="s">
        <v>95</v>
      </c>
      <c r="AX185" t="s">
        <v>108</v>
      </c>
      <c r="AY185" t="s">
        <v>120</v>
      </c>
      <c r="AZ185" t="s">
        <v>214</v>
      </c>
      <c r="BC185">
        <v>4</v>
      </c>
      <c r="BH185" t="s">
        <v>99</v>
      </c>
      <c r="BO185" t="s">
        <v>111</v>
      </c>
      <c r="CD185" t="s">
        <v>139</v>
      </c>
      <c r="CE185">
        <v>166513</v>
      </c>
      <c r="CF185" t="s">
        <v>140</v>
      </c>
      <c r="CG185" t="s">
        <v>141</v>
      </c>
      <c r="CH185">
        <v>2013</v>
      </c>
    </row>
    <row r="186" spans="1:86" hidden="1" x14ac:dyDescent="0.25">
      <c r="A186">
        <v>330541</v>
      </c>
      <c r="B186" t="s">
        <v>86</v>
      </c>
      <c r="D186" t="s">
        <v>115</v>
      </c>
      <c r="K186" t="s">
        <v>342</v>
      </c>
      <c r="L186" t="s">
        <v>117</v>
      </c>
      <c r="M186" t="s">
        <v>90</v>
      </c>
      <c r="V186" t="s">
        <v>91</v>
      </c>
      <c r="W186" t="s">
        <v>107</v>
      </c>
      <c r="X186" t="s">
        <v>93</v>
      </c>
      <c r="Z186" t="s">
        <v>137</v>
      </c>
      <c r="AB186">
        <v>9.2999999999999999E-2</v>
      </c>
      <c r="AG186" t="s">
        <v>95</v>
      </c>
      <c r="AX186" t="s">
        <v>144</v>
      </c>
      <c r="AY186" t="s">
        <v>109</v>
      </c>
      <c r="AZ186" t="s">
        <v>214</v>
      </c>
      <c r="BC186">
        <v>6.25E-2</v>
      </c>
      <c r="BH186" t="s">
        <v>99</v>
      </c>
      <c r="BO186" t="s">
        <v>111</v>
      </c>
      <c r="CD186" t="s">
        <v>229</v>
      </c>
      <c r="CE186">
        <v>8860</v>
      </c>
      <c r="CF186" t="s">
        <v>230</v>
      </c>
      <c r="CG186" t="s">
        <v>231</v>
      </c>
      <c r="CH186">
        <v>1973</v>
      </c>
    </row>
    <row r="187" spans="1:86" hidden="1" x14ac:dyDescent="0.25">
      <c r="A187">
        <v>330541</v>
      </c>
      <c r="B187" t="s">
        <v>86</v>
      </c>
      <c r="C187" t="s">
        <v>158</v>
      </c>
      <c r="D187" t="s">
        <v>115</v>
      </c>
      <c r="K187" t="s">
        <v>247</v>
      </c>
      <c r="L187" t="s">
        <v>90</v>
      </c>
      <c r="M187" t="s">
        <v>90</v>
      </c>
      <c r="P187">
        <v>3</v>
      </c>
      <c r="U187" t="s">
        <v>219</v>
      </c>
      <c r="V187" t="s">
        <v>91</v>
      </c>
      <c r="W187" t="s">
        <v>220</v>
      </c>
      <c r="X187" t="s">
        <v>93</v>
      </c>
      <c r="Y187">
        <v>11</v>
      </c>
      <c r="Z187" t="s">
        <v>94</v>
      </c>
      <c r="AB187" s="281">
        <v>0.2</v>
      </c>
      <c r="AG187" t="s">
        <v>95</v>
      </c>
      <c r="AX187" t="s">
        <v>108</v>
      </c>
      <c r="AY187" t="s">
        <v>160</v>
      </c>
      <c r="AZ187" t="s">
        <v>214</v>
      </c>
      <c r="BE187">
        <v>5</v>
      </c>
      <c r="BG187">
        <v>30</v>
      </c>
      <c r="BH187" t="s">
        <v>99</v>
      </c>
      <c r="BO187" t="s">
        <v>111</v>
      </c>
      <c r="CD187" t="s">
        <v>221</v>
      </c>
      <c r="CE187">
        <v>4871</v>
      </c>
      <c r="CF187" t="s">
        <v>222</v>
      </c>
      <c r="CG187" t="s">
        <v>223</v>
      </c>
      <c r="CH187">
        <v>1975</v>
      </c>
    </row>
    <row r="188" spans="1:86" x14ac:dyDescent="0.25">
      <c r="A188">
        <v>330541</v>
      </c>
      <c r="B188" t="s">
        <v>86</v>
      </c>
      <c r="D188" t="s">
        <v>115</v>
      </c>
      <c r="E188" t="s">
        <v>106</v>
      </c>
      <c r="F188">
        <v>98</v>
      </c>
      <c r="K188" t="s">
        <v>224</v>
      </c>
      <c r="L188" t="s">
        <v>89</v>
      </c>
      <c r="M188" t="s">
        <v>90</v>
      </c>
      <c r="V188" t="s">
        <v>91</v>
      </c>
      <c r="W188" t="s">
        <v>107</v>
      </c>
      <c r="X188" t="s">
        <v>93</v>
      </c>
      <c r="Z188" t="s">
        <v>94</v>
      </c>
      <c r="AB188" s="281">
        <v>4.4999999999999998E-2</v>
      </c>
      <c r="AG188" t="s">
        <v>95</v>
      </c>
      <c r="AX188" t="s">
        <v>108</v>
      </c>
      <c r="AY188" t="s">
        <v>150</v>
      </c>
      <c r="AZ188" t="s">
        <v>214</v>
      </c>
      <c r="BC188">
        <v>3</v>
      </c>
      <c r="BH188" t="s">
        <v>99</v>
      </c>
      <c r="BO188" t="s">
        <v>111</v>
      </c>
      <c r="CD188" t="s">
        <v>343</v>
      </c>
      <c r="CE188">
        <v>80359</v>
      </c>
      <c r="CF188" t="s">
        <v>344</v>
      </c>
      <c r="CG188" t="s">
        <v>345</v>
      </c>
      <c r="CH188">
        <v>2002</v>
      </c>
    </row>
    <row r="189" spans="1:86" hidden="1" x14ac:dyDescent="0.25">
      <c r="A189">
        <v>330541</v>
      </c>
      <c r="B189" t="s">
        <v>86</v>
      </c>
      <c r="D189" t="s">
        <v>115</v>
      </c>
      <c r="K189" t="s">
        <v>166</v>
      </c>
      <c r="L189" t="s">
        <v>117</v>
      </c>
      <c r="M189" t="s">
        <v>90</v>
      </c>
      <c r="V189" t="s">
        <v>91</v>
      </c>
      <c r="W189" t="s">
        <v>92</v>
      </c>
      <c r="X189" t="s">
        <v>93</v>
      </c>
      <c r="Y189">
        <v>8</v>
      </c>
      <c r="Z189" t="s">
        <v>137</v>
      </c>
      <c r="AB189">
        <v>4.3999999999999997E-2</v>
      </c>
      <c r="AD189">
        <v>2.7E-2</v>
      </c>
      <c r="AF189">
        <v>0.06</v>
      </c>
      <c r="AG189" t="s">
        <v>95</v>
      </c>
      <c r="AX189" t="s">
        <v>108</v>
      </c>
      <c r="AY189" t="s">
        <v>120</v>
      </c>
      <c r="AZ189" t="s">
        <v>214</v>
      </c>
      <c r="BC189">
        <v>4</v>
      </c>
      <c r="BH189" t="s">
        <v>99</v>
      </c>
      <c r="BO189" t="s">
        <v>111</v>
      </c>
      <c r="CD189" t="s">
        <v>139</v>
      </c>
      <c r="CE189">
        <v>166513</v>
      </c>
      <c r="CF189" t="s">
        <v>140</v>
      </c>
      <c r="CG189" t="s">
        <v>141</v>
      </c>
      <c r="CH189">
        <v>2013</v>
      </c>
    </row>
    <row r="190" spans="1:86" hidden="1" x14ac:dyDescent="0.25">
      <c r="A190">
        <v>330541</v>
      </c>
      <c r="B190" t="s">
        <v>86</v>
      </c>
      <c r="C190" t="s">
        <v>104</v>
      </c>
      <c r="D190" t="s">
        <v>87</v>
      </c>
      <c r="F190">
        <v>99</v>
      </c>
      <c r="K190" t="s">
        <v>346</v>
      </c>
      <c r="L190" t="s">
        <v>347</v>
      </c>
      <c r="M190" t="s">
        <v>90</v>
      </c>
      <c r="N190" t="s">
        <v>118</v>
      </c>
      <c r="V190" t="s">
        <v>91</v>
      </c>
      <c r="W190" t="s">
        <v>107</v>
      </c>
      <c r="X190" t="s">
        <v>93</v>
      </c>
      <c r="Y190">
        <v>6</v>
      </c>
      <c r="Z190" t="s">
        <v>94</v>
      </c>
      <c r="AB190">
        <v>2.2599999999999999E-3</v>
      </c>
      <c r="AG190" t="s">
        <v>95</v>
      </c>
      <c r="AX190" t="s">
        <v>108</v>
      </c>
      <c r="AY190" t="s">
        <v>150</v>
      </c>
      <c r="AZ190" t="s">
        <v>214</v>
      </c>
      <c r="BC190">
        <v>3</v>
      </c>
      <c r="BH190" t="s">
        <v>99</v>
      </c>
      <c r="BO190" t="s">
        <v>111</v>
      </c>
      <c r="CD190" t="s">
        <v>348</v>
      </c>
      <c r="CE190">
        <v>98904</v>
      </c>
      <c r="CF190" t="s">
        <v>349</v>
      </c>
      <c r="CG190" t="s">
        <v>350</v>
      </c>
      <c r="CH190">
        <v>2005</v>
      </c>
    </row>
    <row r="191" spans="1:86" hidden="1" x14ac:dyDescent="0.25">
      <c r="A191">
        <v>330541</v>
      </c>
      <c r="B191" t="s">
        <v>86</v>
      </c>
      <c r="C191" t="s">
        <v>183</v>
      </c>
      <c r="D191" t="s">
        <v>115</v>
      </c>
      <c r="K191" t="s">
        <v>195</v>
      </c>
      <c r="L191" t="s">
        <v>89</v>
      </c>
      <c r="M191" t="s">
        <v>90</v>
      </c>
      <c r="N191" t="s">
        <v>118</v>
      </c>
      <c r="V191" t="s">
        <v>91</v>
      </c>
      <c r="W191" t="s">
        <v>107</v>
      </c>
      <c r="X191" t="s">
        <v>93</v>
      </c>
      <c r="Z191" t="s">
        <v>94</v>
      </c>
      <c r="AB191" s="281">
        <v>0.01</v>
      </c>
      <c r="AG191" t="s">
        <v>95</v>
      </c>
      <c r="AX191" t="s">
        <v>108</v>
      </c>
      <c r="AY191" t="s">
        <v>160</v>
      </c>
      <c r="AZ191" t="s">
        <v>214</v>
      </c>
      <c r="BC191">
        <v>10</v>
      </c>
      <c r="BH191" t="s">
        <v>99</v>
      </c>
      <c r="BO191" t="s">
        <v>111</v>
      </c>
      <c r="CD191" t="s">
        <v>191</v>
      </c>
      <c r="CE191">
        <v>9211</v>
      </c>
      <c r="CF191" t="s">
        <v>192</v>
      </c>
      <c r="CG191" t="s">
        <v>193</v>
      </c>
      <c r="CH191">
        <v>1972</v>
      </c>
    </row>
    <row r="192" spans="1:86" hidden="1" x14ac:dyDescent="0.25">
      <c r="A192">
        <v>330541</v>
      </c>
      <c r="B192" t="s">
        <v>86</v>
      </c>
      <c r="D192" t="s">
        <v>115</v>
      </c>
      <c r="F192">
        <v>99.5</v>
      </c>
      <c r="K192" t="s">
        <v>125</v>
      </c>
      <c r="L192" t="s">
        <v>117</v>
      </c>
      <c r="M192" t="s">
        <v>90</v>
      </c>
      <c r="N192" t="s">
        <v>118</v>
      </c>
      <c r="V192" t="s">
        <v>91</v>
      </c>
      <c r="W192" t="s">
        <v>92</v>
      </c>
      <c r="X192" t="s">
        <v>93</v>
      </c>
      <c r="Y192" t="s">
        <v>119</v>
      </c>
      <c r="Z192" t="s">
        <v>94</v>
      </c>
      <c r="AB192" s="281">
        <v>2.3E-2</v>
      </c>
      <c r="AD192">
        <v>2.1000000000000001E-2</v>
      </c>
      <c r="AF192">
        <v>2.5000000000000001E-2</v>
      </c>
      <c r="AG192" t="s">
        <v>95</v>
      </c>
      <c r="AX192" t="s">
        <v>108</v>
      </c>
      <c r="AY192" t="s">
        <v>120</v>
      </c>
      <c r="AZ192" t="s">
        <v>214</v>
      </c>
      <c r="BC192">
        <v>4</v>
      </c>
      <c r="BH192" t="s">
        <v>99</v>
      </c>
      <c r="BO192" t="s">
        <v>111</v>
      </c>
      <c r="CD192" t="s">
        <v>122</v>
      </c>
      <c r="CE192">
        <v>161002</v>
      </c>
      <c r="CF192" t="s">
        <v>123</v>
      </c>
      <c r="CG192" t="s">
        <v>124</v>
      </c>
      <c r="CH192">
        <v>2012</v>
      </c>
    </row>
    <row r="193" spans="1:86" hidden="1" x14ac:dyDescent="0.25">
      <c r="A193">
        <v>330541</v>
      </c>
      <c r="B193" t="s">
        <v>86</v>
      </c>
      <c r="C193" t="s">
        <v>104</v>
      </c>
      <c r="D193" t="s">
        <v>115</v>
      </c>
      <c r="K193" t="s">
        <v>351</v>
      </c>
      <c r="L193" t="s">
        <v>352</v>
      </c>
      <c r="M193" t="s">
        <v>90</v>
      </c>
      <c r="R193">
        <v>14</v>
      </c>
      <c r="T193">
        <v>28</v>
      </c>
      <c r="U193" t="s">
        <v>99</v>
      </c>
      <c r="V193" t="s">
        <v>91</v>
      </c>
      <c r="W193" t="s">
        <v>92</v>
      </c>
      <c r="X193" t="s">
        <v>93</v>
      </c>
      <c r="Z193" t="s">
        <v>94</v>
      </c>
      <c r="AB193">
        <v>6.4000000000000003E-3</v>
      </c>
      <c r="AD193">
        <v>5.3E-3</v>
      </c>
      <c r="AF193">
        <v>7.7999999999999996E-3</v>
      </c>
      <c r="AG193" t="s">
        <v>95</v>
      </c>
      <c r="AX193" t="s">
        <v>108</v>
      </c>
      <c r="AY193" t="s">
        <v>109</v>
      </c>
      <c r="AZ193" t="s">
        <v>214</v>
      </c>
      <c r="BC193">
        <v>1.3899999999999999E-2</v>
      </c>
      <c r="BH193" t="s">
        <v>99</v>
      </c>
      <c r="BO193" t="s">
        <v>111</v>
      </c>
      <c r="CD193" t="s">
        <v>225</v>
      </c>
      <c r="CE193">
        <v>83755</v>
      </c>
      <c r="CF193" t="s">
        <v>226</v>
      </c>
      <c r="CG193" t="s">
        <v>227</v>
      </c>
      <c r="CH193">
        <v>2005</v>
      </c>
    </row>
    <row r="194" spans="1:86" hidden="1" x14ac:dyDescent="0.25">
      <c r="A194">
        <v>330541</v>
      </c>
      <c r="B194" t="s">
        <v>86</v>
      </c>
      <c r="D194" t="s">
        <v>115</v>
      </c>
      <c r="E194" t="s">
        <v>106</v>
      </c>
      <c r="F194">
        <v>99.5</v>
      </c>
      <c r="K194" t="s">
        <v>243</v>
      </c>
      <c r="L194" t="s">
        <v>89</v>
      </c>
      <c r="M194" t="s">
        <v>90</v>
      </c>
      <c r="V194" t="s">
        <v>91</v>
      </c>
      <c r="W194" t="s">
        <v>92</v>
      </c>
      <c r="X194" t="s">
        <v>93</v>
      </c>
      <c r="Z194" t="s">
        <v>94</v>
      </c>
      <c r="AB194" s="281">
        <v>6.9929160000000001E-3</v>
      </c>
      <c r="AD194">
        <v>6.9929160000000001E-3</v>
      </c>
      <c r="AF194">
        <v>9.3238880000000007E-3</v>
      </c>
      <c r="AG194" t="s">
        <v>95</v>
      </c>
      <c r="AX194" t="s">
        <v>108</v>
      </c>
      <c r="AY194" t="s">
        <v>160</v>
      </c>
      <c r="AZ194" t="s">
        <v>214</v>
      </c>
      <c r="BC194">
        <v>1</v>
      </c>
      <c r="BH194" t="s">
        <v>99</v>
      </c>
      <c r="BO194" t="s">
        <v>111</v>
      </c>
      <c r="CD194" t="s">
        <v>244</v>
      </c>
      <c r="CE194">
        <v>155441</v>
      </c>
      <c r="CF194" t="s">
        <v>245</v>
      </c>
      <c r="CG194" t="s">
        <v>246</v>
      </c>
      <c r="CH194">
        <v>2011</v>
      </c>
    </row>
    <row r="195" spans="1:86" hidden="1" x14ac:dyDescent="0.25">
      <c r="A195">
        <v>330541</v>
      </c>
      <c r="B195" t="s">
        <v>86</v>
      </c>
      <c r="D195" t="s">
        <v>115</v>
      </c>
      <c r="F195">
        <v>99</v>
      </c>
      <c r="K195" t="s">
        <v>90</v>
      </c>
      <c r="L195" t="s">
        <v>90</v>
      </c>
      <c r="M195" t="s">
        <v>90</v>
      </c>
      <c r="V195" t="s">
        <v>91</v>
      </c>
      <c r="W195" t="s">
        <v>107</v>
      </c>
      <c r="X195" t="s">
        <v>93</v>
      </c>
      <c r="Z195" t="s">
        <v>94</v>
      </c>
      <c r="AB195">
        <v>9.3238880000000007E-3</v>
      </c>
      <c r="AG195" t="s">
        <v>95</v>
      </c>
      <c r="AX195" t="s">
        <v>144</v>
      </c>
      <c r="AY195" t="s">
        <v>109</v>
      </c>
      <c r="AZ195" t="s">
        <v>214</v>
      </c>
      <c r="BE195">
        <v>21</v>
      </c>
      <c r="BG195">
        <v>28</v>
      </c>
      <c r="BH195" t="s">
        <v>99</v>
      </c>
      <c r="BO195" t="s">
        <v>111</v>
      </c>
      <c r="CD195" t="s">
        <v>267</v>
      </c>
      <c r="CE195">
        <v>6147</v>
      </c>
      <c r="CF195" t="s">
        <v>268</v>
      </c>
      <c r="CG195" t="s">
        <v>269</v>
      </c>
      <c r="CH195">
        <v>1992</v>
      </c>
    </row>
    <row r="196" spans="1:86" hidden="1" x14ac:dyDescent="0.25">
      <c r="A196">
        <v>330541</v>
      </c>
      <c r="B196" t="s">
        <v>86</v>
      </c>
      <c r="D196" t="s">
        <v>115</v>
      </c>
      <c r="K196" t="s">
        <v>353</v>
      </c>
      <c r="L196" t="s">
        <v>134</v>
      </c>
      <c r="M196" t="s">
        <v>90</v>
      </c>
      <c r="V196" t="s">
        <v>168</v>
      </c>
      <c r="W196" t="s">
        <v>92</v>
      </c>
      <c r="X196" t="s">
        <v>93</v>
      </c>
      <c r="Y196">
        <v>6</v>
      </c>
      <c r="Z196" t="s">
        <v>137</v>
      </c>
      <c r="AB196"/>
      <c r="AC196" t="s">
        <v>106</v>
      </c>
      <c r="AD196">
        <v>5.0000000000000001E-3</v>
      </c>
      <c r="AE196" t="s">
        <v>234</v>
      </c>
      <c r="AF196">
        <v>0.01</v>
      </c>
      <c r="AG196" t="s">
        <v>95</v>
      </c>
      <c r="AX196" t="s">
        <v>108</v>
      </c>
      <c r="AY196" t="s">
        <v>160</v>
      </c>
      <c r="AZ196" t="s">
        <v>214</v>
      </c>
      <c r="BE196">
        <v>4</v>
      </c>
      <c r="BG196">
        <v>6</v>
      </c>
      <c r="BH196" t="s">
        <v>99</v>
      </c>
      <c r="BO196" t="s">
        <v>111</v>
      </c>
      <c r="CD196" t="s">
        <v>249</v>
      </c>
      <c r="CE196">
        <v>170085</v>
      </c>
      <c r="CF196" t="s">
        <v>250</v>
      </c>
      <c r="CG196" t="s">
        <v>251</v>
      </c>
      <c r="CH196">
        <v>2011</v>
      </c>
    </row>
    <row r="197" spans="1:86" hidden="1" x14ac:dyDescent="0.25">
      <c r="A197">
        <v>330541</v>
      </c>
      <c r="B197" t="s">
        <v>86</v>
      </c>
      <c r="D197" t="s">
        <v>115</v>
      </c>
      <c r="K197" t="s">
        <v>354</v>
      </c>
      <c r="L197" t="s">
        <v>89</v>
      </c>
      <c r="M197" t="s">
        <v>90</v>
      </c>
      <c r="V197" t="s">
        <v>91</v>
      </c>
      <c r="W197" t="s">
        <v>107</v>
      </c>
      <c r="X197" t="s">
        <v>93</v>
      </c>
      <c r="Z197" t="s">
        <v>137</v>
      </c>
      <c r="AB197">
        <v>2.8000000000000001E-2</v>
      </c>
      <c r="AG197" t="s">
        <v>95</v>
      </c>
      <c r="AX197" t="s">
        <v>144</v>
      </c>
      <c r="AY197" t="s">
        <v>109</v>
      </c>
      <c r="AZ197" t="s">
        <v>214</v>
      </c>
      <c r="BC197">
        <v>6.25E-2</v>
      </c>
      <c r="BH197" t="s">
        <v>99</v>
      </c>
      <c r="BO197" t="s">
        <v>111</v>
      </c>
      <c r="CD197" t="s">
        <v>229</v>
      </c>
      <c r="CE197">
        <v>8860</v>
      </c>
      <c r="CF197" t="s">
        <v>230</v>
      </c>
      <c r="CG197" t="s">
        <v>231</v>
      </c>
      <c r="CH197">
        <v>1973</v>
      </c>
    </row>
    <row r="198" spans="1:86" hidden="1" x14ac:dyDescent="0.25">
      <c r="A198">
        <v>330541</v>
      </c>
      <c r="B198" t="s">
        <v>86</v>
      </c>
      <c r="D198" t="s">
        <v>115</v>
      </c>
      <c r="K198" t="s">
        <v>355</v>
      </c>
      <c r="L198" t="s">
        <v>117</v>
      </c>
      <c r="M198" t="s">
        <v>90</v>
      </c>
      <c r="V198" t="s">
        <v>91</v>
      </c>
      <c r="W198" t="s">
        <v>107</v>
      </c>
      <c r="X198" t="s">
        <v>93</v>
      </c>
      <c r="Z198" t="s">
        <v>137</v>
      </c>
      <c r="AB198">
        <v>3.1E-2</v>
      </c>
      <c r="AG198" t="s">
        <v>95</v>
      </c>
      <c r="AX198" t="s">
        <v>144</v>
      </c>
      <c r="AY198" t="s">
        <v>109</v>
      </c>
      <c r="AZ198" t="s">
        <v>214</v>
      </c>
      <c r="BC198">
        <v>6.25E-2</v>
      </c>
      <c r="BH198" t="s">
        <v>99</v>
      </c>
      <c r="BO198" t="s">
        <v>111</v>
      </c>
      <c r="CD198" t="s">
        <v>229</v>
      </c>
      <c r="CE198">
        <v>8860</v>
      </c>
      <c r="CF198" t="s">
        <v>230</v>
      </c>
      <c r="CG198" t="s">
        <v>231</v>
      </c>
      <c r="CH198">
        <v>1973</v>
      </c>
    </row>
    <row r="199" spans="1:86" hidden="1" x14ac:dyDescent="0.25">
      <c r="A199">
        <v>330541</v>
      </c>
      <c r="B199" t="s">
        <v>86</v>
      </c>
      <c r="D199" t="s">
        <v>115</v>
      </c>
      <c r="F199">
        <v>50</v>
      </c>
      <c r="K199" t="s">
        <v>239</v>
      </c>
      <c r="L199" t="s">
        <v>89</v>
      </c>
      <c r="M199" t="s">
        <v>90</v>
      </c>
      <c r="V199" t="s">
        <v>91</v>
      </c>
      <c r="W199" t="s">
        <v>92</v>
      </c>
      <c r="X199" t="s">
        <v>93</v>
      </c>
      <c r="Z199" t="s">
        <v>137</v>
      </c>
      <c r="AB199">
        <v>4.0899999999999999E-3</v>
      </c>
      <c r="AG199" t="s">
        <v>95</v>
      </c>
      <c r="AX199" t="s">
        <v>108</v>
      </c>
      <c r="AY199" t="s">
        <v>160</v>
      </c>
      <c r="AZ199" t="s">
        <v>214</v>
      </c>
      <c r="BC199">
        <v>4</v>
      </c>
      <c r="BH199" t="s">
        <v>99</v>
      </c>
      <c r="BO199" t="s">
        <v>111</v>
      </c>
      <c r="CD199" t="s">
        <v>356</v>
      </c>
      <c r="CE199">
        <v>65945</v>
      </c>
      <c r="CF199" t="s">
        <v>357</v>
      </c>
      <c r="CG199" t="s">
        <v>358</v>
      </c>
      <c r="CH199">
        <v>2002</v>
      </c>
    </row>
    <row r="200" spans="1:86" hidden="1" x14ac:dyDescent="0.25">
      <c r="A200">
        <v>330541</v>
      </c>
      <c r="B200" t="s">
        <v>86</v>
      </c>
      <c r="D200" t="s">
        <v>115</v>
      </c>
      <c r="E200" t="s">
        <v>106</v>
      </c>
      <c r="F200">
        <v>98</v>
      </c>
      <c r="K200" t="s">
        <v>177</v>
      </c>
      <c r="L200" t="s">
        <v>178</v>
      </c>
      <c r="M200" t="s">
        <v>90</v>
      </c>
      <c r="V200" t="s">
        <v>91</v>
      </c>
      <c r="W200" t="s">
        <v>107</v>
      </c>
      <c r="X200" t="s">
        <v>93</v>
      </c>
      <c r="Y200" t="s">
        <v>327</v>
      </c>
      <c r="Z200" t="s">
        <v>94</v>
      </c>
      <c r="AB200">
        <v>19</v>
      </c>
      <c r="AG200" t="s">
        <v>95</v>
      </c>
      <c r="AX200" t="s">
        <v>108</v>
      </c>
      <c r="AY200" t="s">
        <v>150</v>
      </c>
      <c r="AZ200" t="s">
        <v>214</v>
      </c>
      <c r="BC200">
        <v>1</v>
      </c>
      <c r="BH200" t="s">
        <v>99</v>
      </c>
      <c r="BO200" t="s">
        <v>111</v>
      </c>
      <c r="CD200" t="s">
        <v>328</v>
      </c>
      <c r="CE200">
        <v>110086</v>
      </c>
      <c r="CF200" t="s">
        <v>329</v>
      </c>
      <c r="CG200" t="s">
        <v>330</v>
      </c>
      <c r="CH200">
        <v>2008</v>
      </c>
    </row>
    <row r="201" spans="1:86" hidden="1" x14ac:dyDescent="0.25">
      <c r="A201">
        <v>330541</v>
      </c>
      <c r="B201" t="s">
        <v>86</v>
      </c>
      <c r="C201" t="s">
        <v>158</v>
      </c>
      <c r="D201" t="s">
        <v>115</v>
      </c>
      <c r="K201" t="s">
        <v>359</v>
      </c>
      <c r="L201" t="s">
        <v>89</v>
      </c>
      <c r="M201" t="s">
        <v>90</v>
      </c>
      <c r="P201">
        <v>3</v>
      </c>
      <c r="U201" t="s">
        <v>219</v>
      </c>
      <c r="V201" t="s">
        <v>91</v>
      </c>
      <c r="W201" t="s">
        <v>220</v>
      </c>
      <c r="X201" t="s">
        <v>93</v>
      </c>
      <c r="Y201">
        <v>11</v>
      </c>
      <c r="Z201" t="s">
        <v>94</v>
      </c>
      <c r="AB201" s="281">
        <v>0.5</v>
      </c>
      <c r="AG201" t="s">
        <v>95</v>
      </c>
      <c r="AX201" t="s">
        <v>108</v>
      </c>
      <c r="AY201" t="s">
        <v>160</v>
      </c>
      <c r="AZ201" t="s">
        <v>214</v>
      </c>
      <c r="BE201">
        <v>5</v>
      </c>
      <c r="BG201">
        <v>30</v>
      </c>
      <c r="BH201" t="s">
        <v>99</v>
      </c>
      <c r="BO201" t="s">
        <v>111</v>
      </c>
      <c r="CD201" t="s">
        <v>221</v>
      </c>
      <c r="CE201">
        <v>4871</v>
      </c>
      <c r="CF201" t="s">
        <v>222</v>
      </c>
      <c r="CG201" t="s">
        <v>223</v>
      </c>
      <c r="CH201">
        <v>1975</v>
      </c>
    </row>
    <row r="202" spans="1:86" hidden="1" x14ac:dyDescent="0.25">
      <c r="A202">
        <v>330541</v>
      </c>
      <c r="B202" t="s">
        <v>86</v>
      </c>
      <c r="D202" t="s">
        <v>115</v>
      </c>
      <c r="F202">
        <v>50</v>
      </c>
      <c r="K202" t="s">
        <v>218</v>
      </c>
      <c r="L202" t="s">
        <v>89</v>
      </c>
      <c r="M202" t="s">
        <v>90</v>
      </c>
      <c r="V202" t="s">
        <v>91</v>
      </c>
      <c r="W202" t="s">
        <v>92</v>
      </c>
      <c r="X202" t="s">
        <v>93</v>
      </c>
      <c r="Z202" t="s">
        <v>137</v>
      </c>
      <c r="AB202">
        <v>1.2999999999999999E-3</v>
      </c>
      <c r="AG202" t="s">
        <v>95</v>
      </c>
      <c r="AX202" t="s">
        <v>108</v>
      </c>
      <c r="AY202" t="s">
        <v>160</v>
      </c>
      <c r="AZ202" t="s">
        <v>214</v>
      </c>
      <c r="BC202">
        <v>4</v>
      </c>
      <c r="BH202" t="s">
        <v>99</v>
      </c>
      <c r="BO202" t="s">
        <v>111</v>
      </c>
      <c r="CD202" t="s">
        <v>360</v>
      </c>
      <c r="CE202">
        <v>61983</v>
      </c>
      <c r="CF202" t="s">
        <v>361</v>
      </c>
      <c r="CG202" t="s">
        <v>362</v>
      </c>
      <c r="CH202">
        <v>2001</v>
      </c>
    </row>
    <row r="203" spans="1:86" hidden="1" x14ac:dyDescent="0.25">
      <c r="A203">
        <v>330541</v>
      </c>
      <c r="B203" t="s">
        <v>86</v>
      </c>
      <c r="C203" t="s">
        <v>104</v>
      </c>
      <c r="D203" t="s">
        <v>105</v>
      </c>
      <c r="E203" t="s">
        <v>149</v>
      </c>
      <c r="F203">
        <v>99</v>
      </c>
      <c r="K203" t="s">
        <v>165</v>
      </c>
      <c r="L203" t="s">
        <v>117</v>
      </c>
      <c r="M203" t="s">
        <v>90</v>
      </c>
      <c r="V203" t="s">
        <v>91</v>
      </c>
      <c r="W203" t="s">
        <v>92</v>
      </c>
      <c r="X203" t="s">
        <v>93</v>
      </c>
      <c r="Y203">
        <v>5</v>
      </c>
      <c r="Z203" t="s">
        <v>94</v>
      </c>
      <c r="AB203" s="281">
        <v>4.7E-2</v>
      </c>
      <c r="AG203" t="s">
        <v>95</v>
      </c>
      <c r="AX203" t="s">
        <v>108</v>
      </c>
      <c r="AY203" t="s">
        <v>150</v>
      </c>
      <c r="AZ203" t="s">
        <v>214</v>
      </c>
      <c r="BC203">
        <v>2</v>
      </c>
      <c r="BH203" t="s">
        <v>99</v>
      </c>
      <c r="BO203" t="s">
        <v>111</v>
      </c>
      <c r="CD203" t="s">
        <v>151</v>
      </c>
      <c r="CE203">
        <v>174505</v>
      </c>
      <c r="CF203" t="s">
        <v>152</v>
      </c>
      <c r="CG203" t="s">
        <v>153</v>
      </c>
      <c r="CH203">
        <v>2016</v>
      </c>
    </row>
    <row r="204" spans="1:86" hidden="1" x14ac:dyDescent="0.25">
      <c r="A204">
        <v>330541</v>
      </c>
      <c r="B204" t="s">
        <v>86</v>
      </c>
      <c r="D204" t="s">
        <v>115</v>
      </c>
      <c r="K204" t="s">
        <v>184</v>
      </c>
      <c r="L204" t="s">
        <v>89</v>
      </c>
      <c r="M204" t="s">
        <v>90</v>
      </c>
      <c r="V204" t="s">
        <v>91</v>
      </c>
      <c r="W204" t="s">
        <v>92</v>
      </c>
      <c r="X204" t="s">
        <v>93</v>
      </c>
      <c r="Z204" t="s">
        <v>137</v>
      </c>
      <c r="AB204">
        <v>4.4999999999999998E-2</v>
      </c>
      <c r="AG204" t="s">
        <v>95</v>
      </c>
      <c r="AX204" t="s">
        <v>108</v>
      </c>
      <c r="AY204" t="s">
        <v>160</v>
      </c>
      <c r="AZ204" t="s">
        <v>214</v>
      </c>
      <c r="BC204">
        <v>3</v>
      </c>
      <c r="BH204" t="s">
        <v>99</v>
      </c>
      <c r="BO204" t="s">
        <v>111</v>
      </c>
      <c r="CD204" t="s">
        <v>363</v>
      </c>
      <c r="CE204">
        <v>152874</v>
      </c>
      <c r="CF204" t="s">
        <v>364</v>
      </c>
      <c r="CG204" t="s">
        <v>365</v>
      </c>
      <c r="CH204">
        <v>2005</v>
      </c>
    </row>
    <row r="205" spans="1:86" x14ac:dyDescent="0.25">
      <c r="A205">
        <v>330541</v>
      </c>
      <c r="B205" t="s">
        <v>86</v>
      </c>
      <c r="F205">
        <v>96.8</v>
      </c>
      <c r="K205" t="s">
        <v>224</v>
      </c>
      <c r="L205" t="s">
        <v>89</v>
      </c>
      <c r="M205" t="s">
        <v>90</v>
      </c>
      <c r="V205" t="s">
        <v>91</v>
      </c>
      <c r="W205" t="s">
        <v>92</v>
      </c>
      <c r="X205" t="s">
        <v>93</v>
      </c>
      <c r="Z205" t="s">
        <v>94</v>
      </c>
      <c r="AB205" s="281">
        <v>2.3999999999999998E-3</v>
      </c>
      <c r="AD205">
        <v>2E-3</v>
      </c>
      <c r="AF205">
        <v>2.8E-3</v>
      </c>
      <c r="AG205" t="s">
        <v>95</v>
      </c>
      <c r="AX205" t="s">
        <v>108</v>
      </c>
      <c r="AY205" t="s">
        <v>150</v>
      </c>
      <c r="AZ205" t="s">
        <v>214</v>
      </c>
      <c r="BC205">
        <v>4</v>
      </c>
      <c r="BH205" t="s">
        <v>99</v>
      </c>
      <c r="BO205" t="s">
        <v>111</v>
      </c>
      <c r="CD205" t="s">
        <v>366</v>
      </c>
      <c r="CE205">
        <v>344</v>
      </c>
      <c r="CF205" t="s">
        <v>367</v>
      </c>
      <c r="CG205" t="s">
        <v>368</v>
      </c>
      <c r="CH205">
        <v>1992</v>
      </c>
    </row>
    <row r="206" spans="1:86" hidden="1" x14ac:dyDescent="0.25">
      <c r="A206">
        <v>330541</v>
      </c>
      <c r="B206" t="s">
        <v>86</v>
      </c>
      <c r="D206" t="s">
        <v>115</v>
      </c>
      <c r="E206" t="s">
        <v>106</v>
      </c>
      <c r="F206">
        <v>99</v>
      </c>
      <c r="K206" t="s">
        <v>316</v>
      </c>
      <c r="L206" t="s">
        <v>317</v>
      </c>
      <c r="M206" t="s">
        <v>90</v>
      </c>
      <c r="V206" t="s">
        <v>91</v>
      </c>
      <c r="W206" t="s">
        <v>92</v>
      </c>
      <c r="X206" t="s">
        <v>93</v>
      </c>
      <c r="Y206">
        <v>5</v>
      </c>
      <c r="Z206" t="s">
        <v>94</v>
      </c>
      <c r="AB206">
        <v>4.0330000000000001E-3</v>
      </c>
      <c r="AG206" t="s">
        <v>95</v>
      </c>
      <c r="AX206" t="s">
        <v>108</v>
      </c>
      <c r="AY206" t="s">
        <v>311</v>
      </c>
      <c r="AZ206" t="s">
        <v>214</v>
      </c>
      <c r="BC206">
        <v>14</v>
      </c>
      <c r="BH206" t="s">
        <v>99</v>
      </c>
      <c r="BO206" t="s">
        <v>111</v>
      </c>
      <c r="CD206" t="s">
        <v>319</v>
      </c>
      <c r="CE206">
        <v>102064</v>
      </c>
      <c r="CF206" t="s">
        <v>320</v>
      </c>
      <c r="CG206" t="s">
        <v>321</v>
      </c>
      <c r="CH206">
        <v>2006</v>
      </c>
    </row>
    <row r="207" spans="1:86" hidden="1" x14ac:dyDescent="0.25">
      <c r="A207">
        <v>330541</v>
      </c>
      <c r="B207" t="s">
        <v>86</v>
      </c>
      <c r="C207" t="s">
        <v>158</v>
      </c>
      <c r="D207" t="s">
        <v>115</v>
      </c>
      <c r="K207" t="s">
        <v>290</v>
      </c>
      <c r="L207" t="s">
        <v>89</v>
      </c>
      <c r="M207" t="s">
        <v>90</v>
      </c>
      <c r="P207">
        <v>3</v>
      </c>
      <c r="U207" t="s">
        <v>219</v>
      </c>
      <c r="V207" t="s">
        <v>91</v>
      </c>
      <c r="W207" t="s">
        <v>220</v>
      </c>
      <c r="X207" t="s">
        <v>93</v>
      </c>
      <c r="Y207">
        <v>11</v>
      </c>
      <c r="Z207" t="s">
        <v>94</v>
      </c>
      <c r="AD207">
        <v>0.05</v>
      </c>
      <c r="AF207">
        <v>0.1</v>
      </c>
      <c r="AG207" t="s">
        <v>95</v>
      </c>
      <c r="AX207" t="s">
        <v>108</v>
      </c>
      <c r="AY207" t="s">
        <v>160</v>
      </c>
      <c r="AZ207" t="s">
        <v>214</v>
      </c>
      <c r="BE207">
        <v>5</v>
      </c>
      <c r="BG207">
        <v>30</v>
      </c>
      <c r="BH207" t="s">
        <v>99</v>
      </c>
      <c r="BO207" t="s">
        <v>111</v>
      </c>
      <c r="CD207" t="s">
        <v>221</v>
      </c>
      <c r="CE207">
        <v>4871</v>
      </c>
      <c r="CF207" t="s">
        <v>222</v>
      </c>
      <c r="CG207" t="s">
        <v>223</v>
      </c>
      <c r="CH207">
        <v>1975</v>
      </c>
    </row>
    <row r="208" spans="1:86" hidden="1" x14ac:dyDescent="0.25">
      <c r="A208">
        <v>330541</v>
      </c>
      <c r="B208" t="s">
        <v>86</v>
      </c>
      <c r="D208" t="s">
        <v>115</v>
      </c>
      <c r="K208" t="s">
        <v>369</v>
      </c>
      <c r="L208" t="s">
        <v>370</v>
      </c>
      <c r="M208" t="s">
        <v>90</v>
      </c>
      <c r="V208" t="s">
        <v>91</v>
      </c>
      <c r="W208" t="s">
        <v>107</v>
      </c>
      <c r="X208" t="s">
        <v>93</v>
      </c>
      <c r="Z208" t="s">
        <v>137</v>
      </c>
      <c r="AB208">
        <v>1.7999999999999999E-2</v>
      </c>
      <c r="AG208" t="s">
        <v>95</v>
      </c>
      <c r="AX208" t="s">
        <v>144</v>
      </c>
      <c r="AY208" t="s">
        <v>109</v>
      </c>
      <c r="AZ208" t="s">
        <v>214</v>
      </c>
      <c r="BC208">
        <v>6.25E-2</v>
      </c>
      <c r="BH208" t="s">
        <v>99</v>
      </c>
      <c r="BO208" t="s">
        <v>111</v>
      </c>
      <c r="CD208" t="s">
        <v>229</v>
      </c>
      <c r="CE208">
        <v>8860</v>
      </c>
      <c r="CF208" t="s">
        <v>230</v>
      </c>
      <c r="CG208" t="s">
        <v>231</v>
      </c>
      <c r="CH208">
        <v>1973</v>
      </c>
    </row>
    <row r="209" spans="1:86" hidden="1" x14ac:dyDescent="0.25">
      <c r="A209">
        <v>330541</v>
      </c>
      <c r="B209" t="s">
        <v>86</v>
      </c>
      <c r="D209" t="s">
        <v>115</v>
      </c>
      <c r="E209" t="s">
        <v>149</v>
      </c>
      <c r="F209">
        <v>99</v>
      </c>
      <c r="K209" t="s">
        <v>253</v>
      </c>
      <c r="L209" t="s">
        <v>117</v>
      </c>
      <c r="M209" t="s">
        <v>90</v>
      </c>
      <c r="N209" t="s">
        <v>118</v>
      </c>
      <c r="V209" t="s">
        <v>91</v>
      </c>
      <c r="W209" t="s">
        <v>92</v>
      </c>
      <c r="X209" t="s">
        <v>93</v>
      </c>
      <c r="Y209">
        <v>8</v>
      </c>
      <c r="Z209" t="s">
        <v>94</v>
      </c>
      <c r="AB209" s="281">
        <v>2.8000000000000001E-2</v>
      </c>
      <c r="AG209" t="s">
        <v>95</v>
      </c>
      <c r="AX209" t="s">
        <v>108</v>
      </c>
      <c r="AY209" t="s">
        <v>160</v>
      </c>
      <c r="AZ209" t="s">
        <v>214</v>
      </c>
      <c r="BC209">
        <v>4</v>
      </c>
      <c r="BH209" t="s">
        <v>99</v>
      </c>
      <c r="BO209" t="s">
        <v>111</v>
      </c>
      <c r="CD209" t="s">
        <v>254</v>
      </c>
      <c r="CE209">
        <v>101987</v>
      </c>
      <c r="CF209" t="s">
        <v>255</v>
      </c>
      <c r="CG209" t="s">
        <v>256</v>
      </c>
      <c r="CH209">
        <v>2007</v>
      </c>
    </row>
    <row r="210" spans="1:86" hidden="1" x14ac:dyDescent="0.25">
      <c r="A210">
        <v>330541</v>
      </c>
      <c r="B210" t="s">
        <v>86</v>
      </c>
      <c r="D210" t="s">
        <v>115</v>
      </c>
      <c r="F210">
        <v>99.5</v>
      </c>
      <c r="K210" t="s">
        <v>126</v>
      </c>
      <c r="L210" t="s">
        <v>117</v>
      </c>
      <c r="M210" t="s">
        <v>90</v>
      </c>
      <c r="N210" t="s">
        <v>118</v>
      </c>
      <c r="V210" t="s">
        <v>91</v>
      </c>
      <c r="W210" t="s">
        <v>92</v>
      </c>
      <c r="X210" t="s">
        <v>93</v>
      </c>
      <c r="Y210" t="s">
        <v>119</v>
      </c>
      <c r="Z210" t="s">
        <v>94</v>
      </c>
      <c r="AB210" s="281">
        <v>5.0999999999999997E-2</v>
      </c>
      <c r="AD210">
        <v>4.8000000000000001E-2</v>
      </c>
      <c r="AF210">
        <v>5.3999999999999999E-2</v>
      </c>
      <c r="AG210" t="s">
        <v>95</v>
      </c>
      <c r="AX210" t="s">
        <v>108</v>
      </c>
      <c r="AY210" t="s">
        <v>120</v>
      </c>
      <c r="AZ210" t="s">
        <v>214</v>
      </c>
      <c r="BC210">
        <v>4</v>
      </c>
      <c r="BH210" t="s">
        <v>99</v>
      </c>
      <c r="BO210" t="s">
        <v>111</v>
      </c>
      <c r="CD210" t="s">
        <v>122</v>
      </c>
      <c r="CE210">
        <v>161002</v>
      </c>
      <c r="CF210" t="s">
        <v>123</v>
      </c>
      <c r="CG210" t="s">
        <v>124</v>
      </c>
      <c r="CH210">
        <v>2012</v>
      </c>
    </row>
    <row r="211" spans="1:86" hidden="1" x14ac:dyDescent="0.25">
      <c r="A211">
        <v>330541</v>
      </c>
      <c r="B211" t="s">
        <v>86</v>
      </c>
      <c r="C211" t="s">
        <v>183</v>
      </c>
      <c r="D211" t="s">
        <v>115</v>
      </c>
      <c r="K211" t="s">
        <v>189</v>
      </c>
      <c r="L211" t="s">
        <v>190</v>
      </c>
      <c r="M211" t="s">
        <v>90</v>
      </c>
      <c r="N211" t="s">
        <v>118</v>
      </c>
      <c r="V211" t="s">
        <v>91</v>
      </c>
      <c r="W211" t="s">
        <v>107</v>
      </c>
      <c r="X211" t="s">
        <v>93</v>
      </c>
      <c r="Z211" t="s">
        <v>94</v>
      </c>
      <c r="AB211">
        <v>0.01</v>
      </c>
      <c r="AG211" t="s">
        <v>95</v>
      </c>
      <c r="AX211" t="s">
        <v>108</v>
      </c>
      <c r="AY211" t="s">
        <v>160</v>
      </c>
      <c r="AZ211" t="s">
        <v>214</v>
      </c>
      <c r="BC211">
        <v>10</v>
      </c>
      <c r="BH211" t="s">
        <v>99</v>
      </c>
      <c r="BO211" t="s">
        <v>111</v>
      </c>
      <c r="CD211" t="s">
        <v>191</v>
      </c>
      <c r="CE211">
        <v>9211</v>
      </c>
      <c r="CF211" t="s">
        <v>192</v>
      </c>
      <c r="CG211" t="s">
        <v>193</v>
      </c>
      <c r="CH211">
        <v>1972</v>
      </c>
    </row>
    <row r="212" spans="1:86" hidden="1" x14ac:dyDescent="0.25">
      <c r="A212">
        <v>330541</v>
      </c>
      <c r="B212" t="s">
        <v>86</v>
      </c>
      <c r="D212" t="s">
        <v>115</v>
      </c>
      <c r="F212">
        <v>95</v>
      </c>
      <c r="K212" t="s">
        <v>371</v>
      </c>
      <c r="L212" t="s">
        <v>89</v>
      </c>
      <c r="M212" t="s">
        <v>90</v>
      </c>
      <c r="N212" t="s">
        <v>118</v>
      </c>
      <c r="P212">
        <v>2</v>
      </c>
      <c r="U212" t="s">
        <v>99</v>
      </c>
      <c r="V212" t="s">
        <v>91</v>
      </c>
      <c r="W212" t="s">
        <v>92</v>
      </c>
      <c r="X212" t="s">
        <v>93</v>
      </c>
      <c r="Y212">
        <v>11</v>
      </c>
      <c r="Z212" t="s">
        <v>94</v>
      </c>
      <c r="AB212" s="281">
        <v>2.5000000000000001E-2</v>
      </c>
      <c r="AG212" t="s">
        <v>95</v>
      </c>
      <c r="AX212" t="s">
        <v>108</v>
      </c>
      <c r="AY212" t="s">
        <v>160</v>
      </c>
      <c r="AZ212" t="s">
        <v>214</v>
      </c>
      <c r="BC212">
        <v>4</v>
      </c>
      <c r="BH212" t="s">
        <v>99</v>
      </c>
      <c r="BO212" t="s">
        <v>111</v>
      </c>
      <c r="CD212" t="s">
        <v>337</v>
      </c>
      <c r="CE212">
        <v>12028</v>
      </c>
      <c r="CF212" t="s">
        <v>338</v>
      </c>
      <c r="CG212" t="s">
        <v>339</v>
      </c>
      <c r="CH212">
        <v>1984</v>
      </c>
    </row>
    <row r="213" spans="1:86" hidden="1" x14ac:dyDescent="0.25">
      <c r="A213">
        <v>330541</v>
      </c>
      <c r="B213" t="s">
        <v>86</v>
      </c>
      <c r="D213" t="s">
        <v>115</v>
      </c>
      <c r="K213" t="s">
        <v>353</v>
      </c>
      <c r="L213" t="s">
        <v>134</v>
      </c>
      <c r="M213" t="s">
        <v>90</v>
      </c>
      <c r="V213" t="s">
        <v>168</v>
      </c>
      <c r="W213" t="s">
        <v>92</v>
      </c>
      <c r="X213" t="s">
        <v>93</v>
      </c>
      <c r="Y213">
        <v>6</v>
      </c>
      <c r="Z213" t="s">
        <v>137</v>
      </c>
      <c r="AB213"/>
      <c r="AC213" t="s">
        <v>106</v>
      </c>
      <c r="AD213">
        <v>5.0000000000000001E-3</v>
      </c>
      <c r="AE213" t="s">
        <v>234</v>
      </c>
      <c r="AF213">
        <v>0.01</v>
      </c>
      <c r="AG213" t="s">
        <v>95</v>
      </c>
      <c r="AX213" t="s">
        <v>108</v>
      </c>
      <c r="AY213" t="s">
        <v>160</v>
      </c>
      <c r="AZ213" t="s">
        <v>214</v>
      </c>
      <c r="BE213">
        <v>4</v>
      </c>
      <c r="BG213">
        <v>6</v>
      </c>
      <c r="BH213" t="s">
        <v>99</v>
      </c>
      <c r="BO213" t="s">
        <v>111</v>
      </c>
      <c r="CD213" t="s">
        <v>249</v>
      </c>
      <c r="CE213">
        <v>170085</v>
      </c>
      <c r="CF213" t="s">
        <v>250</v>
      </c>
      <c r="CG213" t="s">
        <v>251</v>
      </c>
      <c r="CH213">
        <v>2011</v>
      </c>
    </row>
    <row r="214" spans="1:86" hidden="1" x14ac:dyDescent="0.25">
      <c r="A214">
        <v>330541</v>
      </c>
      <c r="B214" t="s">
        <v>86</v>
      </c>
      <c r="C214" t="s">
        <v>104</v>
      </c>
      <c r="D214" t="s">
        <v>115</v>
      </c>
      <c r="K214" t="s">
        <v>372</v>
      </c>
      <c r="L214" t="s">
        <v>143</v>
      </c>
      <c r="M214" t="s">
        <v>90</v>
      </c>
      <c r="R214">
        <v>14</v>
      </c>
      <c r="T214">
        <v>28</v>
      </c>
      <c r="U214" t="s">
        <v>99</v>
      </c>
      <c r="V214" t="s">
        <v>91</v>
      </c>
      <c r="W214" t="s">
        <v>92</v>
      </c>
      <c r="X214" t="s">
        <v>93</v>
      </c>
      <c r="Z214" t="s">
        <v>94</v>
      </c>
      <c r="AB214" s="281">
        <v>7.6E-3</v>
      </c>
      <c r="AD214">
        <v>5.4999999999999997E-3</v>
      </c>
      <c r="AF214">
        <v>1.0500000000000001E-2</v>
      </c>
      <c r="AG214" t="s">
        <v>95</v>
      </c>
      <c r="AX214" t="s">
        <v>108</v>
      </c>
      <c r="AY214" t="s">
        <v>109</v>
      </c>
      <c r="AZ214" t="s">
        <v>214</v>
      </c>
      <c r="BC214">
        <v>1.3899999999999999E-2</v>
      </c>
      <c r="BH214" t="s">
        <v>99</v>
      </c>
      <c r="BO214" t="s">
        <v>111</v>
      </c>
      <c r="CD214" t="s">
        <v>225</v>
      </c>
      <c r="CE214">
        <v>83755</v>
      </c>
      <c r="CF214" t="s">
        <v>226</v>
      </c>
      <c r="CG214" t="s">
        <v>227</v>
      </c>
      <c r="CH214">
        <v>2005</v>
      </c>
    </row>
    <row r="215" spans="1:86" hidden="1" x14ac:dyDescent="0.25">
      <c r="A215">
        <v>330541</v>
      </c>
      <c r="B215" t="s">
        <v>86</v>
      </c>
      <c r="D215" t="s">
        <v>115</v>
      </c>
      <c r="F215">
        <v>80</v>
      </c>
      <c r="K215" t="s">
        <v>142</v>
      </c>
      <c r="L215" t="s">
        <v>143</v>
      </c>
      <c r="M215" t="s">
        <v>90</v>
      </c>
      <c r="V215" t="s">
        <v>91</v>
      </c>
      <c r="W215" t="s">
        <v>92</v>
      </c>
      <c r="X215" t="s">
        <v>93</v>
      </c>
      <c r="Y215">
        <v>6</v>
      </c>
      <c r="Z215" t="s">
        <v>137</v>
      </c>
      <c r="AB215">
        <v>3.7809200000000001E-3</v>
      </c>
      <c r="AD215">
        <v>3.4064999999999998E-3</v>
      </c>
      <c r="AF215">
        <v>4.1553299999999996E-3</v>
      </c>
      <c r="AG215" t="s">
        <v>95</v>
      </c>
      <c r="AX215" t="s">
        <v>144</v>
      </c>
      <c r="AY215" t="s">
        <v>145</v>
      </c>
      <c r="AZ215" t="s">
        <v>214</v>
      </c>
      <c r="BC215">
        <v>1</v>
      </c>
      <c r="BH215" t="s">
        <v>99</v>
      </c>
      <c r="BO215" t="s">
        <v>111</v>
      </c>
      <c r="CD215" t="s">
        <v>146</v>
      </c>
      <c r="CE215">
        <v>170799</v>
      </c>
      <c r="CF215" t="s">
        <v>147</v>
      </c>
      <c r="CG215" t="s">
        <v>148</v>
      </c>
      <c r="CH215">
        <v>2015</v>
      </c>
    </row>
    <row r="216" spans="1:86" hidden="1" x14ac:dyDescent="0.25">
      <c r="A216">
        <v>330541</v>
      </c>
      <c r="B216" t="s">
        <v>86</v>
      </c>
      <c r="D216" t="s">
        <v>115</v>
      </c>
      <c r="K216" t="s">
        <v>90</v>
      </c>
      <c r="L216" t="s">
        <v>90</v>
      </c>
      <c r="M216" t="s">
        <v>90</v>
      </c>
      <c r="V216" t="s">
        <v>91</v>
      </c>
      <c r="W216" t="s">
        <v>107</v>
      </c>
      <c r="X216" t="s">
        <v>93</v>
      </c>
      <c r="Y216">
        <v>6</v>
      </c>
      <c r="Z216" t="s">
        <v>137</v>
      </c>
      <c r="AB216">
        <v>2.8999999999999998E-3</v>
      </c>
      <c r="AG216" t="s">
        <v>95</v>
      </c>
      <c r="AX216" t="s">
        <v>201</v>
      </c>
      <c r="AY216" t="s">
        <v>202</v>
      </c>
      <c r="AZ216" t="s">
        <v>214</v>
      </c>
      <c r="BC216">
        <v>0.41670000000000001</v>
      </c>
      <c r="BH216" t="s">
        <v>99</v>
      </c>
      <c r="BO216" t="s">
        <v>111</v>
      </c>
      <c r="CD216" t="s">
        <v>204</v>
      </c>
      <c r="CE216">
        <v>75334</v>
      </c>
      <c r="CF216" t="s">
        <v>205</v>
      </c>
      <c r="CG216" t="s">
        <v>206</v>
      </c>
      <c r="CH216">
        <v>2003</v>
      </c>
    </row>
    <row r="217" spans="1:86" hidden="1" x14ac:dyDescent="0.25">
      <c r="A217">
        <v>330541</v>
      </c>
      <c r="B217" t="s">
        <v>86</v>
      </c>
      <c r="D217" t="s">
        <v>115</v>
      </c>
      <c r="F217">
        <v>99.5</v>
      </c>
      <c r="K217" t="s">
        <v>133</v>
      </c>
      <c r="L217" t="s">
        <v>134</v>
      </c>
      <c r="M217" t="s">
        <v>90</v>
      </c>
      <c r="N217" t="s">
        <v>118</v>
      </c>
      <c r="V217" t="s">
        <v>91</v>
      </c>
      <c r="W217" t="s">
        <v>92</v>
      </c>
      <c r="X217" t="s">
        <v>93</v>
      </c>
      <c r="Y217" t="s">
        <v>119</v>
      </c>
      <c r="Z217" t="s">
        <v>94</v>
      </c>
      <c r="AB217">
        <v>1.734</v>
      </c>
      <c r="AD217">
        <v>1.5780000000000001</v>
      </c>
      <c r="AF217">
        <v>1.9850000000000001</v>
      </c>
      <c r="AG217" t="s">
        <v>95</v>
      </c>
      <c r="AX217" t="s">
        <v>108</v>
      </c>
      <c r="AY217" t="s">
        <v>120</v>
      </c>
      <c r="AZ217" t="s">
        <v>214</v>
      </c>
      <c r="BC217">
        <v>4</v>
      </c>
      <c r="BH217" t="s">
        <v>99</v>
      </c>
      <c r="BO217" t="s">
        <v>111</v>
      </c>
      <c r="CD217" t="s">
        <v>122</v>
      </c>
      <c r="CE217">
        <v>161002</v>
      </c>
      <c r="CF217" t="s">
        <v>123</v>
      </c>
      <c r="CG217" t="s">
        <v>124</v>
      </c>
      <c r="CH217">
        <v>2012</v>
      </c>
    </row>
    <row r="218" spans="1:86" hidden="1" x14ac:dyDescent="0.25">
      <c r="A218">
        <v>330541</v>
      </c>
      <c r="B218" t="s">
        <v>86</v>
      </c>
      <c r="C218" t="s">
        <v>158</v>
      </c>
      <c r="D218" t="s">
        <v>115</v>
      </c>
      <c r="K218" t="s">
        <v>290</v>
      </c>
      <c r="L218" t="s">
        <v>89</v>
      </c>
      <c r="M218" t="s">
        <v>90</v>
      </c>
      <c r="P218">
        <v>3</v>
      </c>
      <c r="U218" t="s">
        <v>219</v>
      </c>
      <c r="V218" t="s">
        <v>91</v>
      </c>
      <c r="W218" t="s">
        <v>220</v>
      </c>
      <c r="X218" t="s">
        <v>93</v>
      </c>
      <c r="Y218">
        <v>11</v>
      </c>
      <c r="Z218" t="s">
        <v>94</v>
      </c>
      <c r="AD218">
        <v>0.1</v>
      </c>
      <c r="AF218">
        <v>0.2</v>
      </c>
      <c r="AG218" t="s">
        <v>95</v>
      </c>
      <c r="AX218" t="s">
        <v>108</v>
      </c>
      <c r="AY218" t="s">
        <v>160</v>
      </c>
      <c r="AZ218" t="s">
        <v>214</v>
      </c>
      <c r="BE218">
        <v>5</v>
      </c>
      <c r="BG218">
        <v>30</v>
      </c>
      <c r="BH218" t="s">
        <v>99</v>
      </c>
      <c r="BO218" t="s">
        <v>111</v>
      </c>
      <c r="CD218" t="s">
        <v>221</v>
      </c>
      <c r="CE218">
        <v>4871</v>
      </c>
      <c r="CF218" t="s">
        <v>222</v>
      </c>
      <c r="CG218" t="s">
        <v>223</v>
      </c>
      <c r="CH218">
        <v>1975</v>
      </c>
    </row>
    <row r="219" spans="1:86" hidden="1" x14ac:dyDescent="0.25">
      <c r="A219">
        <v>330541</v>
      </c>
      <c r="B219" t="s">
        <v>86</v>
      </c>
      <c r="D219" t="s">
        <v>115</v>
      </c>
      <c r="F219">
        <v>80</v>
      </c>
      <c r="K219" t="s">
        <v>142</v>
      </c>
      <c r="L219" t="s">
        <v>143</v>
      </c>
      <c r="M219" t="s">
        <v>90</v>
      </c>
      <c r="V219" t="s">
        <v>91</v>
      </c>
      <c r="W219" t="s">
        <v>92</v>
      </c>
      <c r="X219" t="s">
        <v>93</v>
      </c>
      <c r="Y219">
        <v>6</v>
      </c>
      <c r="Z219" t="s">
        <v>137</v>
      </c>
      <c r="AB219">
        <v>1.8369900000000002E-2</v>
      </c>
      <c r="AD219">
        <v>1.469343E-2</v>
      </c>
      <c r="AF219">
        <v>2.2046380000000001E-2</v>
      </c>
      <c r="AG219" t="s">
        <v>95</v>
      </c>
      <c r="AX219" t="s">
        <v>144</v>
      </c>
      <c r="AY219" t="s">
        <v>145</v>
      </c>
      <c r="AZ219" t="s">
        <v>373</v>
      </c>
      <c r="BC219">
        <v>1</v>
      </c>
      <c r="BH219" t="s">
        <v>99</v>
      </c>
      <c r="BO219" t="s">
        <v>111</v>
      </c>
      <c r="CD219" t="s">
        <v>146</v>
      </c>
      <c r="CE219">
        <v>170799</v>
      </c>
      <c r="CF219" t="s">
        <v>147</v>
      </c>
      <c r="CG219" t="s">
        <v>148</v>
      </c>
      <c r="CH219">
        <v>2015</v>
      </c>
    </row>
    <row r="220" spans="1:86" hidden="1" x14ac:dyDescent="0.25">
      <c r="A220">
        <v>330541</v>
      </c>
      <c r="B220" t="s">
        <v>86</v>
      </c>
      <c r="D220" t="s">
        <v>115</v>
      </c>
      <c r="K220" t="s">
        <v>374</v>
      </c>
      <c r="L220" t="s">
        <v>375</v>
      </c>
      <c r="M220" t="s">
        <v>90</v>
      </c>
      <c r="V220" t="s">
        <v>91</v>
      </c>
      <c r="W220" t="s">
        <v>92</v>
      </c>
      <c r="X220" t="s">
        <v>93</v>
      </c>
      <c r="Z220" t="s">
        <v>137</v>
      </c>
      <c r="AB220">
        <v>1.2999999999999999E-2</v>
      </c>
      <c r="AD220">
        <v>5.0000000000000001E-3</v>
      </c>
      <c r="AF220">
        <v>3.5999999999999997E-2</v>
      </c>
      <c r="AG220" t="s">
        <v>95</v>
      </c>
      <c r="AX220" t="s">
        <v>108</v>
      </c>
      <c r="AY220" t="s">
        <v>174</v>
      </c>
      <c r="AZ220" t="s">
        <v>376</v>
      </c>
      <c r="BC220">
        <v>16</v>
      </c>
      <c r="BH220" t="s">
        <v>99</v>
      </c>
      <c r="BO220" t="s">
        <v>111</v>
      </c>
      <c r="CD220" t="s">
        <v>377</v>
      </c>
      <c r="CE220">
        <v>91692</v>
      </c>
      <c r="CF220" t="s">
        <v>378</v>
      </c>
      <c r="CG220" t="s">
        <v>379</v>
      </c>
      <c r="CH220">
        <v>1977</v>
      </c>
    </row>
    <row r="221" spans="1:86" hidden="1" x14ac:dyDescent="0.25">
      <c r="A221">
        <v>330541</v>
      </c>
      <c r="B221" t="s">
        <v>86</v>
      </c>
      <c r="C221" t="s">
        <v>380</v>
      </c>
      <c r="D221" t="s">
        <v>87</v>
      </c>
      <c r="K221" t="s">
        <v>189</v>
      </c>
      <c r="L221" t="s">
        <v>190</v>
      </c>
      <c r="M221" t="s">
        <v>90</v>
      </c>
      <c r="N221" t="s">
        <v>118</v>
      </c>
      <c r="V221" t="s">
        <v>91</v>
      </c>
      <c r="W221" t="s">
        <v>92</v>
      </c>
      <c r="X221" t="s">
        <v>93</v>
      </c>
      <c r="Y221" t="s">
        <v>381</v>
      </c>
      <c r="Z221" t="s">
        <v>94</v>
      </c>
      <c r="AB221">
        <v>3.5399999999999999E-4</v>
      </c>
      <c r="AD221">
        <v>3.0899999999999998E-4</v>
      </c>
      <c r="AF221">
        <v>4.2400000000000001E-4</v>
      </c>
      <c r="AG221" t="s">
        <v>95</v>
      </c>
      <c r="AX221" t="s">
        <v>201</v>
      </c>
      <c r="AY221" t="s">
        <v>202</v>
      </c>
      <c r="AZ221" t="s">
        <v>382</v>
      </c>
      <c r="BA221" t="s">
        <v>179</v>
      </c>
      <c r="BC221">
        <v>3.5000000000000001E-3</v>
      </c>
      <c r="BH221" t="s">
        <v>99</v>
      </c>
      <c r="BO221" t="s">
        <v>111</v>
      </c>
      <c r="CD221" t="s">
        <v>383</v>
      </c>
      <c r="CE221">
        <v>112607</v>
      </c>
      <c r="CF221" t="s">
        <v>384</v>
      </c>
      <c r="CG221" t="s">
        <v>385</v>
      </c>
      <c r="CH221">
        <v>2009</v>
      </c>
    </row>
    <row r="222" spans="1:86" hidden="1" x14ac:dyDescent="0.25">
      <c r="A222">
        <v>330541</v>
      </c>
      <c r="B222" t="s">
        <v>86</v>
      </c>
      <c r="C222" t="s">
        <v>380</v>
      </c>
      <c r="D222" t="s">
        <v>87</v>
      </c>
      <c r="K222" t="s">
        <v>189</v>
      </c>
      <c r="L222" t="s">
        <v>190</v>
      </c>
      <c r="M222" t="s">
        <v>90</v>
      </c>
      <c r="N222" t="s">
        <v>118</v>
      </c>
      <c r="V222" t="s">
        <v>91</v>
      </c>
      <c r="W222" t="s">
        <v>92</v>
      </c>
      <c r="X222" t="s">
        <v>93</v>
      </c>
      <c r="Y222" t="s">
        <v>381</v>
      </c>
      <c r="Z222" t="s">
        <v>94</v>
      </c>
      <c r="AB222">
        <v>4.1800000000000002E-4</v>
      </c>
      <c r="AD222">
        <v>3.7599999999999998E-4</v>
      </c>
      <c r="AF222">
        <v>4.66E-4</v>
      </c>
      <c r="AG222" t="s">
        <v>95</v>
      </c>
      <c r="AX222" t="s">
        <v>201</v>
      </c>
      <c r="AY222" t="s">
        <v>202</v>
      </c>
      <c r="AZ222" t="s">
        <v>382</v>
      </c>
      <c r="BA222" t="s">
        <v>179</v>
      </c>
      <c r="BC222">
        <v>3.5000000000000001E-3</v>
      </c>
      <c r="BH222" t="s">
        <v>99</v>
      </c>
      <c r="BO222" t="s">
        <v>111</v>
      </c>
      <c r="CD222" t="s">
        <v>383</v>
      </c>
      <c r="CE222">
        <v>112607</v>
      </c>
      <c r="CF222" t="s">
        <v>384</v>
      </c>
      <c r="CG222" t="s">
        <v>385</v>
      </c>
      <c r="CH222">
        <v>2009</v>
      </c>
    </row>
    <row r="223" spans="1:86" hidden="1" x14ac:dyDescent="0.25">
      <c r="A223">
        <v>330541</v>
      </c>
      <c r="B223" t="s">
        <v>86</v>
      </c>
      <c r="C223" t="s">
        <v>380</v>
      </c>
      <c r="D223" t="s">
        <v>87</v>
      </c>
      <c r="K223" t="s">
        <v>189</v>
      </c>
      <c r="L223" t="s">
        <v>190</v>
      </c>
      <c r="M223" t="s">
        <v>90</v>
      </c>
      <c r="N223" t="s">
        <v>118</v>
      </c>
      <c r="V223" t="s">
        <v>91</v>
      </c>
      <c r="W223" t="s">
        <v>92</v>
      </c>
      <c r="X223" t="s">
        <v>93</v>
      </c>
      <c r="Y223" t="s">
        <v>381</v>
      </c>
      <c r="Z223" t="s">
        <v>94</v>
      </c>
      <c r="AB223">
        <v>4.4099999999999999E-4</v>
      </c>
      <c r="AD223">
        <v>3.8099999999999999E-4</v>
      </c>
      <c r="AF223">
        <v>5.3899999999999998E-4</v>
      </c>
      <c r="AG223" t="s">
        <v>95</v>
      </c>
      <c r="AX223" t="s">
        <v>201</v>
      </c>
      <c r="AY223" t="s">
        <v>202</v>
      </c>
      <c r="AZ223" t="s">
        <v>382</v>
      </c>
      <c r="BA223" t="s">
        <v>179</v>
      </c>
      <c r="BC223">
        <v>3.5000000000000001E-3</v>
      </c>
      <c r="BH223" t="s">
        <v>99</v>
      </c>
      <c r="BO223" t="s">
        <v>111</v>
      </c>
      <c r="CD223" t="s">
        <v>383</v>
      </c>
      <c r="CE223">
        <v>112607</v>
      </c>
      <c r="CF223" t="s">
        <v>384</v>
      </c>
      <c r="CG223" t="s">
        <v>385</v>
      </c>
      <c r="CH223">
        <v>2009</v>
      </c>
    </row>
    <row r="224" spans="1:86" hidden="1" x14ac:dyDescent="0.25">
      <c r="A224">
        <v>330541</v>
      </c>
      <c r="B224" t="s">
        <v>86</v>
      </c>
      <c r="D224" t="s">
        <v>87</v>
      </c>
      <c r="E224" t="s">
        <v>106</v>
      </c>
      <c r="F224">
        <v>95</v>
      </c>
      <c r="K224" t="s">
        <v>386</v>
      </c>
      <c r="L224" t="s">
        <v>89</v>
      </c>
      <c r="M224" t="s">
        <v>90</v>
      </c>
      <c r="V224" t="s">
        <v>91</v>
      </c>
      <c r="W224" t="s">
        <v>107</v>
      </c>
      <c r="X224" t="s">
        <v>93</v>
      </c>
      <c r="Y224">
        <v>15</v>
      </c>
      <c r="Z224" t="s">
        <v>94</v>
      </c>
      <c r="AB224">
        <v>1.0200000000000001E-3</v>
      </c>
      <c r="AD224">
        <v>9.3999999999999997E-4</v>
      </c>
      <c r="AF224">
        <v>1.1000000000000001E-3</v>
      </c>
      <c r="AG224" t="s">
        <v>95</v>
      </c>
      <c r="AX224" t="s">
        <v>144</v>
      </c>
      <c r="AY224" t="s">
        <v>109</v>
      </c>
      <c r="AZ224" t="s">
        <v>387</v>
      </c>
      <c r="BC224">
        <v>1</v>
      </c>
      <c r="BH224" t="s">
        <v>99</v>
      </c>
      <c r="BO224" t="s">
        <v>111</v>
      </c>
      <c r="CD224" t="s">
        <v>388</v>
      </c>
      <c r="CE224">
        <v>178673</v>
      </c>
      <c r="CF224" t="s">
        <v>389</v>
      </c>
      <c r="CG224" t="s">
        <v>390</v>
      </c>
      <c r="CH224">
        <v>2018</v>
      </c>
    </row>
    <row r="225" spans="1:86" hidden="1" x14ac:dyDescent="0.25">
      <c r="A225">
        <v>330541</v>
      </c>
      <c r="B225" t="s">
        <v>86</v>
      </c>
      <c r="D225" t="s">
        <v>115</v>
      </c>
      <c r="F225">
        <v>98</v>
      </c>
      <c r="K225" t="s">
        <v>391</v>
      </c>
      <c r="L225" t="s">
        <v>178</v>
      </c>
      <c r="M225" t="s">
        <v>90</v>
      </c>
      <c r="V225" t="s">
        <v>91</v>
      </c>
      <c r="W225" t="s">
        <v>107</v>
      </c>
      <c r="X225" t="s">
        <v>93</v>
      </c>
      <c r="Y225">
        <v>7</v>
      </c>
      <c r="Z225" t="s">
        <v>94</v>
      </c>
      <c r="AB225">
        <v>7.4999999999999997E-3</v>
      </c>
      <c r="AG225" t="s">
        <v>95</v>
      </c>
      <c r="AX225" t="s">
        <v>144</v>
      </c>
      <c r="AY225" t="s">
        <v>109</v>
      </c>
      <c r="AZ225" t="s">
        <v>387</v>
      </c>
      <c r="BA225" t="s">
        <v>179</v>
      </c>
      <c r="BC225">
        <v>1</v>
      </c>
      <c r="BH225" t="s">
        <v>99</v>
      </c>
      <c r="BO225" t="s">
        <v>111</v>
      </c>
      <c r="CD225" t="s">
        <v>392</v>
      </c>
      <c r="CE225">
        <v>153835</v>
      </c>
      <c r="CF225" t="s">
        <v>393</v>
      </c>
      <c r="CG225" t="s">
        <v>394</v>
      </c>
      <c r="CH225">
        <v>2011</v>
      </c>
    </row>
    <row r="226" spans="1:86" x14ac:dyDescent="0.25">
      <c r="A226">
        <v>330541</v>
      </c>
      <c r="B226" t="s">
        <v>86</v>
      </c>
      <c r="D226" t="s">
        <v>115</v>
      </c>
      <c r="K226" t="s">
        <v>224</v>
      </c>
      <c r="L226" t="s">
        <v>89</v>
      </c>
      <c r="M226" t="s">
        <v>90</v>
      </c>
      <c r="V226" t="s">
        <v>91</v>
      </c>
      <c r="W226" t="s">
        <v>107</v>
      </c>
      <c r="X226" t="s">
        <v>93</v>
      </c>
      <c r="Y226">
        <v>4</v>
      </c>
      <c r="Z226" t="s">
        <v>137</v>
      </c>
      <c r="AB226">
        <v>1.9000000000000001E-4</v>
      </c>
      <c r="AD226">
        <v>1.8000000000000001E-4</v>
      </c>
      <c r="AF226">
        <v>2.0000000000000001E-4</v>
      </c>
      <c r="AG226" t="s">
        <v>95</v>
      </c>
      <c r="AX226" t="s">
        <v>108</v>
      </c>
      <c r="AY226" t="s">
        <v>311</v>
      </c>
      <c r="AZ226" t="s">
        <v>387</v>
      </c>
      <c r="BB226" t="s">
        <v>106</v>
      </c>
      <c r="BC226">
        <v>2.0799999999999999E-2</v>
      </c>
      <c r="BH226" t="s">
        <v>99</v>
      </c>
      <c r="BO226" t="s">
        <v>111</v>
      </c>
      <c r="CD226" t="s">
        <v>395</v>
      </c>
      <c r="CE226">
        <v>80943</v>
      </c>
      <c r="CF226" t="s">
        <v>396</v>
      </c>
      <c r="CG226" t="s">
        <v>397</v>
      </c>
      <c r="CH226">
        <v>2005</v>
      </c>
    </row>
    <row r="227" spans="1:86" hidden="1" x14ac:dyDescent="0.25">
      <c r="A227">
        <v>330541</v>
      </c>
      <c r="B227" t="s">
        <v>86</v>
      </c>
      <c r="C227" t="s">
        <v>158</v>
      </c>
      <c r="D227" t="s">
        <v>115</v>
      </c>
      <c r="K227" t="s">
        <v>159</v>
      </c>
      <c r="L227" t="s">
        <v>90</v>
      </c>
      <c r="M227" t="s">
        <v>90</v>
      </c>
      <c r="N227" t="s">
        <v>118</v>
      </c>
      <c r="V227" t="s">
        <v>91</v>
      </c>
      <c r="W227" t="s">
        <v>92</v>
      </c>
      <c r="X227" t="s">
        <v>93</v>
      </c>
      <c r="Z227" t="s">
        <v>94</v>
      </c>
      <c r="AB227">
        <v>3.2000000000000003E-4</v>
      </c>
      <c r="AG227" t="s">
        <v>95</v>
      </c>
      <c r="AX227" t="s">
        <v>144</v>
      </c>
      <c r="AY227" t="s">
        <v>109</v>
      </c>
      <c r="AZ227" t="s">
        <v>387</v>
      </c>
      <c r="BA227" t="s">
        <v>179</v>
      </c>
      <c r="BB227" t="s">
        <v>234</v>
      </c>
      <c r="BC227">
        <v>0.16669999999999999</v>
      </c>
      <c r="BH227" t="s">
        <v>99</v>
      </c>
      <c r="BO227" t="s">
        <v>111</v>
      </c>
      <c r="CD227" t="s">
        <v>398</v>
      </c>
      <c r="CE227">
        <v>153836</v>
      </c>
      <c r="CF227" t="s">
        <v>399</v>
      </c>
      <c r="CG227" t="s">
        <v>400</v>
      </c>
      <c r="CH227">
        <v>2010</v>
      </c>
    </row>
    <row r="228" spans="1:86" hidden="1" x14ac:dyDescent="0.25">
      <c r="A228">
        <v>330541</v>
      </c>
      <c r="B228" t="s">
        <v>86</v>
      </c>
      <c r="D228" t="s">
        <v>115</v>
      </c>
      <c r="K228" t="s">
        <v>401</v>
      </c>
      <c r="L228" t="s">
        <v>90</v>
      </c>
      <c r="M228" t="s">
        <v>90</v>
      </c>
      <c r="V228" t="s">
        <v>91</v>
      </c>
      <c r="W228" t="s">
        <v>107</v>
      </c>
      <c r="X228" t="s">
        <v>93</v>
      </c>
      <c r="Y228">
        <v>4</v>
      </c>
      <c r="Z228" t="s">
        <v>137</v>
      </c>
      <c r="AB228">
        <v>1.4999999999999999E-4</v>
      </c>
      <c r="AD228">
        <v>1.3999999999999999E-4</v>
      </c>
      <c r="AF228">
        <v>1.6000000000000001E-4</v>
      </c>
      <c r="AG228" t="s">
        <v>95</v>
      </c>
      <c r="AX228" t="s">
        <v>108</v>
      </c>
      <c r="AY228" t="s">
        <v>311</v>
      </c>
      <c r="AZ228" t="s">
        <v>387</v>
      </c>
      <c r="BB228" t="s">
        <v>106</v>
      </c>
      <c r="BC228">
        <v>2.7799999999999998E-2</v>
      </c>
      <c r="BH228" t="s">
        <v>99</v>
      </c>
      <c r="BO228" t="s">
        <v>111</v>
      </c>
      <c r="CD228" t="s">
        <v>395</v>
      </c>
      <c r="CE228">
        <v>80943</v>
      </c>
      <c r="CF228" t="s">
        <v>396</v>
      </c>
      <c r="CG228" t="s">
        <v>397</v>
      </c>
      <c r="CH228">
        <v>2005</v>
      </c>
    </row>
    <row r="229" spans="1:86" hidden="1" x14ac:dyDescent="0.25">
      <c r="A229">
        <v>330541</v>
      </c>
      <c r="B229" t="s">
        <v>86</v>
      </c>
      <c r="C229" t="s">
        <v>158</v>
      </c>
      <c r="D229" t="s">
        <v>115</v>
      </c>
      <c r="K229" t="s">
        <v>173</v>
      </c>
      <c r="L229" t="s">
        <v>117</v>
      </c>
      <c r="M229" t="s">
        <v>90</v>
      </c>
      <c r="N229" t="s">
        <v>118</v>
      </c>
      <c r="V229" t="s">
        <v>91</v>
      </c>
      <c r="W229" t="s">
        <v>92</v>
      </c>
      <c r="X229" t="s">
        <v>93</v>
      </c>
      <c r="Z229" t="s">
        <v>94</v>
      </c>
      <c r="AB229">
        <v>7.7999999999999999E-4</v>
      </c>
      <c r="AG229" t="s">
        <v>95</v>
      </c>
      <c r="AX229" t="s">
        <v>144</v>
      </c>
      <c r="AY229" t="s">
        <v>109</v>
      </c>
      <c r="AZ229" t="s">
        <v>387</v>
      </c>
      <c r="BA229" t="s">
        <v>179</v>
      </c>
      <c r="BB229" t="s">
        <v>234</v>
      </c>
      <c r="BC229">
        <v>0.16669999999999999</v>
      </c>
      <c r="BH229" t="s">
        <v>99</v>
      </c>
      <c r="BO229" t="s">
        <v>111</v>
      </c>
      <c r="CD229" t="s">
        <v>398</v>
      </c>
      <c r="CE229">
        <v>153836</v>
      </c>
      <c r="CF229" t="s">
        <v>399</v>
      </c>
      <c r="CG229" t="s">
        <v>400</v>
      </c>
      <c r="CH229">
        <v>2010</v>
      </c>
    </row>
    <row r="230" spans="1:86" hidden="1" x14ac:dyDescent="0.25">
      <c r="A230">
        <v>330541</v>
      </c>
      <c r="B230" t="s">
        <v>86</v>
      </c>
      <c r="D230" t="s">
        <v>87</v>
      </c>
      <c r="E230" t="s">
        <v>106</v>
      </c>
      <c r="F230">
        <v>95</v>
      </c>
      <c r="K230" t="s">
        <v>386</v>
      </c>
      <c r="L230" t="s">
        <v>89</v>
      </c>
      <c r="M230" t="s">
        <v>90</v>
      </c>
      <c r="V230" t="s">
        <v>91</v>
      </c>
      <c r="W230" t="s">
        <v>107</v>
      </c>
      <c r="X230" t="s">
        <v>93</v>
      </c>
      <c r="Y230">
        <v>15</v>
      </c>
      <c r="Z230" t="s">
        <v>94</v>
      </c>
      <c r="AB230">
        <v>6.3000000000000003E-4</v>
      </c>
      <c r="AD230">
        <v>5.8E-4</v>
      </c>
      <c r="AF230">
        <v>6.8999999999999997E-4</v>
      </c>
      <c r="AG230" t="s">
        <v>95</v>
      </c>
      <c r="AX230" t="s">
        <v>144</v>
      </c>
      <c r="AY230" t="s">
        <v>109</v>
      </c>
      <c r="AZ230" t="s">
        <v>387</v>
      </c>
      <c r="BC230">
        <v>1</v>
      </c>
      <c r="BH230" t="s">
        <v>99</v>
      </c>
      <c r="BO230" t="s">
        <v>111</v>
      </c>
      <c r="CD230" t="s">
        <v>388</v>
      </c>
      <c r="CE230">
        <v>178673</v>
      </c>
      <c r="CF230" t="s">
        <v>389</v>
      </c>
      <c r="CG230" t="s">
        <v>390</v>
      </c>
      <c r="CH230">
        <v>2018</v>
      </c>
    </row>
    <row r="231" spans="1:86" hidden="1" x14ac:dyDescent="0.25">
      <c r="A231">
        <v>330541</v>
      </c>
      <c r="B231" t="s">
        <v>86</v>
      </c>
      <c r="D231" t="s">
        <v>87</v>
      </c>
      <c r="E231" t="s">
        <v>106</v>
      </c>
      <c r="F231">
        <v>95</v>
      </c>
      <c r="K231" t="s">
        <v>391</v>
      </c>
      <c r="L231" t="s">
        <v>178</v>
      </c>
      <c r="M231" t="s">
        <v>90</v>
      </c>
      <c r="V231" t="s">
        <v>91</v>
      </c>
      <c r="W231" t="s">
        <v>107</v>
      </c>
      <c r="X231" t="s">
        <v>93</v>
      </c>
      <c r="Y231">
        <v>15</v>
      </c>
      <c r="Z231" t="s">
        <v>94</v>
      </c>
      <c r="AB231">
        <v>1.7000000000000001E-4</v>
      </c>
      <c r="AD231">
        <v>1.2E-4</v>
      </c>
      <c r="AF231">
        <v>2.4000000000000001E-4</v>
      </c>
      <c r="AG231" t="s">
        <v>95</v>
      </c>
      <c r="AX231" t="s">
        <v>144</v>
      </c>
      <c r="AY231" t="s">
        <v>109</v>
      </c>
      <c r="AZ231" t="s">
        <v>387</v>
      </c>
      <c r="BC231">
        <v>1</v>
      </c>
      <c r="BH231" t="s">
        <v>99</v>
      </c>
      <c r="BO231" t="s">
        <v>111</v>
      </c>
      <c r="CD231" t="s">
        <v>388</v>
      </c>
      <c r="CE231">
        <v>178673</v>
      </c>
      <c r="CF231" t="s">
        <v>389</v>
      </c>
      <c r="CG231" t="s">
        <v>390</v>
      </c>
      <c r="CH231">
        <v>2018</v>
      </c>
    </row>
    <row r="232" spans="1:86" hidden="1" x14ac:dyDescent="0.25">
      <c r="A232">
        <v>330541</v>
      </c>
      <c r="B232" t="s">
        <v>86</v>
      </c>
      <c r="D232" t="s">
        <v>87</v>
      </c>
      <c r="E232" t="s">
        <v>106</v>
      </c>
      <c r="F232">
        <v>95</v>
      </c>
      <c r="K232" t="s">
        <v>391</v>
      </c>
      <c r="L232" t="s">
        <v>178</v>
      </c>
      <c r="M232" t="s">
        <v>90</v>
      </c>
      <c r="V232" t="s">
        <v>91</v>
      </c>
      <c r="W232" t="s">
        <v>107</v>
      </c>
      <c r="X232" t="s">
        <v>93</v>
      </c>
      <c r="Y232">
        <v>15</v>
      </c>
      <c r="Z232" t="s">
        <v>94</v>
      </c>
      <c r="AB232">
        <v>6.4000000000000005E-4</v>
      </c>
      <c r="AD232">
        <v>5.6999999999999998E-4</v>
      </c>
      <c r="AF232">
        <v>7.1000000000000002E-4</v>
      </c>
      <c r="AG232" t="s">
        <v>95</v>
      </c>
      <c r="AX232" t="s">
        <v>144</v>
      </c>
      <c r="AY232" t="s">
        <v>109</v>
      </c>
      <c r="AZ232" t="s">
        <v>387</v>
      </c>
      <c r="BC232">
        <v>1</v>
      </c>
      <c r="BH232" t="s">
        <v>99</v>
      </c>
      <c r="BO232" t="s">
        <v>111</v>
      </c>
      <c r="CD232" t="s">
        <v>388</v>
      </c>
      <c r="CE232">
        <v>178673</v>
      </c>
      <c r="CF232" t="s">
        <v>389</v>
      </c>
      <c r="CG232" t="s">
        <v>390</v>
      </c>
      <c r="CH232">
        <v>2018</v>
      </c>
    </row>
    <row r="233" spans="1:86" hidden="1" x14ac:dyDescent="0.25">
      <c r="A233">
        <v>330541</v>
      </c>
      <c r="B233" t="s">
        <v>86</v>
      </c>
      <c r="D233" t="s">
        <v>115</v>
      </c>
      <c r="F233">
        <v>98</v>
      </c>
      <c r="K233" t="s">
        <v>402</v>
      </c>
      <c r="L233" t="s">
        <v>212</v>
      </c>
      <c r="M233" t="s">
        <v>90</v>
      </c>
      <c r="V233" t="s">
        <v>91</v>
      </c>
      <c r="W233" t="s">
        <v>107</v>
      </c>
      <c r="X233" t="s">
        <v>93</v>
      </c>
      <c r="Y233">
        <v>7</v>
      </c>
      <c r="Z233" t="s">
        <v>94</v>
      </c>
      <c r="AB233">
        <v>2.8999999999999998E-3</v>
      </c>
      <c r="AG233" t="s">
        <v>95</v>
      </c>
      <c r="AX233" t="s">
        <v>144</v>
      </c>
      <c r="AY233" t="s">
        <v>109</v>
      </c>
      <c r="AZ233" t="s">
        <v>387</v>
      </c>
      <c r="BA233" t="s">
        <v>179</v>
      </c>
      <c r="BC233">
        <v>1</v>
      </c>
      <c r="BH233" t="s">
        <v>99</v>
      </c>
      <c r="BO233" t="s">
        <v>111</v>
      </c>
      <c r="CD233" t="s">
        <v>392</v>
      </c>
      <c r="CE233">
        <v>153835</v>
      </c>
      <c r="CF233" t="s">
        <v>393</v>
      </c>
      <c r="CG233" t="s">
        <v>394</v>
      </c>
      <c r="CH233">
        <v>2011</v>
      </c>
    </row>
    <row r="234" spans="1:86" hidden="1" x14ac:dyDescent="0.25">
      <c r="A234">
        <v>330541</v>
      </c>
      <c r="B234" t="s">
        <v>86</v>
      </c>
      <c r="D234" t="s">
        <v>115</v>
      </c>
      <c r="K234" t="s">
        <v>403</v>
      </c>
      <c r="L234" t="s">
        <v>89</v>
      </c>
      <c r="M234" t="s">
        <v>90</v>
      </c>
      <c r="V234" t="s">
        <v>91</v>
      </c>
      <c r="W234" t="s">
        <v>107</v>
      </c>
      <c r="X234" t="s">
        <v>93</v>
      </c>
      <c r="Y234">
        <v>4</v>
      </c>
      <c r="Z234" t="s">
        <v>137</v>
      </c>
      <c r="AB234">
        <v>1.1E-4</v>
      </c>
      <c r="AD234">
        <v>9.8999999999999994E-5</v>
      </c>
      <c r="AF234">
        <v>1.1E-4</v>
      </c>
      <c r="AG234" t="s">
        <v>95</v>
      </c>
      <c r="AX234" t="s">
        <v>108</v>
      </c>
      <c r="AY234" t="s">
        <v>311</v>
      </c>
      <c r="AZ234" t="s">
        <v>387</v>
      </c>
      <c r="BB234" t="s">
        <v>106</v>
      </c>
      <c r="BC234">
        <v>2.7799999999999998E-2</v>
      </c>
      <c r="BH234" t="s">
        <v>99</v>
      </c>
      <c r="BO234" t="s">
        <v>111</v>
      </c>
      <c r="CD234" t="s">
        <v>395</v>
      </c>
      <c r="CE234">
        <v>80943</v>
      </c>
      <c r="CF234" t="s">
        <v>396</v>
      </c>
      <c r="CG234" t="s">
        <v>397</v>
      </c>
      <c r="CH234">
        <v>2005</v>
      </c>
    </row>
    <row r="235" spans="1:86" hidden="1" x14ac:dyDescent="0.25">
      <c r="A235">
        <v>330541</v>
      </c>
      <c r="B235" t="s">
        <v>86</v>
      </c>
      <c r="D235" t="s">
        <v>115</v>
      </c>
      <c r="K235" t="s">
        <v>404</v>
      </c>
      <c r="L235" t="s">
        <v>117</v>
      </c>
      <c r="M235" t="s">
        <v>90</v>
      </c>
      <c r="V235" t="s">
        <v>91</v>
      </c>
      <c r="W235" t="s">
        <v>107</v>
      </c>
      <c r="X235" t="s">
        <v>93</v>
      </c>
      <c r="Y235">
        <v>4</v>
      </c>
      <c r="Z235" t="s">
        <v>137</v>
      </c>
      <c r="AB235">
        <v>1E-4</v>
      </c>
      <c r="AG235" t="s">
        <v>95</v>
      </c>
      <c r="AX235" t="s">
        <v>108</v>
      </c>
      <c r="AY235" t="s">
        <v>311</v>
      </c>
      <c r="AZ235" t="s">
        <v>387</v>
      </c>
      <c r="BC235">
        <v>9.7000000000000003E-3</v>
      </c>
      <c r="BH235" t="s">
        <v>99</v>
      </c>
      <c r="BO235" t="s">
        <v>111</v>
      </c>
      <c r="CD235" t="s">
        <v>395</v>
      </c>
      <c r="CE235">
        <v>80943</v>
      </c>
      <c r="CF235" t="s">
        <v>396</v>
      </c>
      <c r="CG235" t="s">
        <v>397</v>
      </c>
      <c r="CH235">
        <v>2005</v>
      </c>
    </row>
    <row r="236" spans="1:86" hidden="1" x14ac:dyDescent="0.25">
      <c r="A236">
        <v>330541</v>
      </c>
      <c r="B236" t="s">
        <v>86</v>
      </c>
      <c r="D236" t="s">
        <v>115</v>
      </c>
      <c r="K236" t="s">
        <v>239</v>
      </c>
      <c r="L236" t="s">
        <v>89</v>
      </c>
      <c r="M236" t="s">
        <v>90</v>
      </c>
      <c r="N236" t="s">
        <v>118</v>
      </c>
      <c r="V236" t="s">
        <v>91</v>
      </c>
      <c r="W236" t="s">
        <v>92</v>
      </c>
      <c r="X236" t="s">
        <v>93</v>
      </c>
      <c r="Y236">
        <v>5</v>
      </c>
      <c r="Z236" t="s">
        <v>137</v>
      </c>
      <c r="AB236">
        <v>4.0000000000000001E-3</v>
      </c>
      <c r="AG236" t="s">
        <v>95</v>
      </c>
      <c r="AX236" t="s">
        <v>108</v>
      </c>
      <c r="AY236" t="s">
        <v>160</v>
      </c>
      <c r="AZ236" t="s">
        <v>387</v>
      </c>
      <c r="BC236">
        <v>1</v>
      </c>
      <c r="BH236" t="s">
        <v>99</v>
      </c>
      <c r="BO236" t="s">
        <v>111</v>
      </c>
      <c r="CD236" t="s">
        <v>405</v>
      </c>
      <c r="CE236">
        <v>101986</v>
      </c>
      <c r="CF236" t="s">
        <v>406</v>
      </c>
      <c r="CG236" t="s">
        <v>407</v>
      </c>
      <c r="CH236">
        <v>2002</v>
      </c>
    </row>
    <row r="237" spans="1:86" hidden="1" x14ac:dyDescent="0.25">
      <c r="A237">
        <v>330541</v>
      </c>
      <c r="B237" t="s">
        <v>86</v>
      </c>
      <c r="D237" t="s">
        <v>115</v>
      </c>
      <c r="F237">
        <v>98</v>
      </c>
      <c r="K237" t="s">
        <v>402</v>
      </c>
      <c r="L237" t="s">
        <v>212</v>
      </c>
      <c r="M237" t="s">
        <v>90</v>
      </c>
      <c r="V237" t="s">
        <v>91</v>
      </c>
      <c r="W237" t="s">
        <v>107</v>
      </c>
      <c r="X237" t="s">
        <v>93</v>
      </c>
      <c r="Y237">
        <v>7</v>
      </c>
      <c r="Z237" t="s">
        <v>94</v>
      </c>
      <c r="AB237">
        <v>2.7E-2</v>
      </c>
      <c r="AG237" t="s">
        <v>95</v>
      </c>
      <c r="AX237" t="s">
        <v>144</v>
      </c>
      <c r="AY237" t="s">
        <v>109</v>
      </c>
      <c r="AZ237" t="s">
        <v>387</v>
      </c>
      <c r="BA237" t="s">
        <v>179</v>
      </c>
      <c r="BC237">
        <v>1</v>
      </c>
      <c r="BH237" t="s">
        <v>99</v>
      </c>
      <c r="BO237" t="s">
        <v>111</v>
      </c>
      <c r="CD237" t="s">
        <v>392</v>
      </c>
      <c r="CE237">
        <v>153835</v>
      </c>
      <c r="CF237" t="s">
        <v>393</v>
      </c>
      <c r="CG237" t="s">
        <v>394</v>
      </c>
      <c r="CH237">
        <v>2011</v>
      </c>
    </row>
    <row r="238" spans="1:86" hidden="1" x14ac:dyDescent="0.25">
      <c r="A238">
        <v>330541</v>
      </c>
      <c r="B238" t="s">
        <v>86</v>
      </c>
      <c r="C238" t="s">
        <v>158</v>
      </c>
      <c r="D238" t="s">
        <v>115</v>
      </c>
      <c r="K238" t="s">
        <v>408</v>
      </c>
      <c r="L238" t="s">
        <v>117</v>
      </c>
      <c r="M238" t="s">
        <v>90</v>
      </c>
      <c r="N238" t="s">
        <v>118</v>
      </c>
      <c r="V238" t="s">
        <v>91</v>
      </c>
      <c r="W238" t="s">
        <v>92</v>
      </c>
      <c r="X238" t="s">
        <v>93</v>
      </c>
      <c r="Z238" t="s">
        <v>94</v>
      </c>
      <c r="AB238">
        <v>6.3000000000000003E-4</v>
      </c>
      <c r="AG238" t="s">
        <v>95</v>
      </c>
      <c r="AX238" t="s">
        <v>144</v>
      </c>
      <c r="AY238" t="s">
        <v>109</v>
      </c>
      <c r="AZ238" t="s">
        <v>387</v>
      </c>
      <c r="BA238" t="s">
        <v>179</v>
      </c>
      <c r="BB238" t="s">
        <v>234</v>
      </c>
      <c r="BC238">
        <v>0.16669999999999999</v>
      </c>
      <c r="BH238" t="s">
        <v>99</v>
      </c>
      <c r="BO238" t="s">
        <v>111</v>
      </c>
      <c r="CD238" t="s">
        <v>398</v>
      </c>
      <c r="CE238">
        <v>153836</v>
      </c>
      <c r="CF238" t="s">
        <v>399</v>
      </c>
      <c r="CG238" t="s">
        <v>400</v>
      </c>
      <c r="CH238">
        <v>2010</v>
      </c>
    </row>
    <row r="239" spans="1:86" hidden="1" x14ac:dyDescent="0.25">
      <c r="A239">
        <v>330541</v>
      </c>
      <c r="B239" t="s">
        <v>86</v>
      </c>
      <c r="D239" t="s">
        <v>115</v>
      </c>
      <c r="F239">
        <v>98</v>
      </c>
      <c r="K239" t="s">
        <v>391</v>
      </c>
      <c r="L239" t="s">
        <v>178</v>
      </c>
      <c r="M239" t="s">
        <v>90</v>
      </c>
      <c r="V239" t="s">
        <v>91</v>
      </c>
      <c r="W239" t="s">
        <v>107</v>
      </c>
      <c r="X239" t="s">
        <v>93</v>
      </c>
      <c r="Y239">
        <v>7</v>
      </c>
      <c r="Z239" t="s">
        <v>94</v>
      </c>
      <c r="AB239">
        <v>4.8000000000000001E-4</v>
      </c>
      <c r="AG239" t="s">
        <v>95</v>
      </c>
      <c r="AX239" t="s">
        <v>144</v>
      </c>
      <c r="AY239" t="s">
        <v>109</v>
      </c>
      <c r="AZ239" t="s">
        <v>387</v>
      </c>
      <c r="BA239" t="s">
        <v>179</v>
      </c>
      <c r="BC239">
        <v>1</v>
      </c>
      <c r="BH239" t="s">
        <v>99</v>
      </c>
      <c r="BO239" t="s">
        <v>111</v>
      </c>
      <c r="CD239" t="s">
        <v>392</v>
      </c>
      <c r="CE239">
        <v>153835</v>
      </c>
      <c r="CF239" t="s">
        <v>393</v>
      </c>
      <c r="CG239" t="s">
        <v>394</v>
      </c>
      <c r="CH239">
        <v>2011</v>
      </c>
    </row>
    <row r="240" spans="1:86" hidden="1" x14ac:dyDescent="0.25">
      <c r="A240">
        <v>330541</v>
      </c>
      <c r="B240" t="s">
        <v>86</v>
      </c>
      <c r="D240" t="s">
        <v>115</v>
      </c>
      <c r="K240" t="s">
        <v>239</v>
      </c>
      <c r="L240" t="s">
        <v>89</v>
      </c>
      <c r="M240" t="s">
        <v>90</v>
      </c>
      <c r="V240" t="s">
        <v>91</v>
      </c>
      <c r="W240" t="s">
        <v>92</v>
      </c>
      <c r="X240" t="s">
        <v>93</v>
      </c>
      <c r="Y240">
        <v>5</v>
      </c>
      <c r="Z240" t="s">
        <v>137</v>
      </c>
      <c r="AB240">
        <v>4.0000000000000001E-3</v>
      </c>
      <c r="AG240" t="s">
        <v>95</v>
      </c>
      <c r="AX240" t="s">
        <v>108</v>
      </c>
      <c r="AY240" t="s">
        <v>311</v>
      </c>
      <c r="AZ240" t="s">
        <v>387</v>
      </c>
      <c r="BC240">
        <v>1</v>
      </c>
      <c r="BH240" t="s">
        <v>99</v>
      </c>
      <c r="BO240" t="s">
        <v>111</v>
      </c>
      <c r="CD240" t="s">
        <v>409</v>
      </c>
      <c r="CE240">
        <v>98120</v>
      </c>
      <c r="CF240" t="s">
        <v>410</v>
      </c>
      <c r="CG240" t="s">
        <v>411</v>
      </c>
      <c r="CH240">
        <v>2000</v>
      </c>
    </row>
    <row r="241" spans="1:86" hidden="1" x14ac:dyDescent="0.25">
      <c r="A241">
        <v>330541</v>
      </c>
      <c r="B241" t="s">
        <v>86</v>
      </c>
      <c r="D241" t="s">
        <v>87</v>
      </c>
      <c r="E241" t="s">
        <v>106</v>
      </c>
      <c r="F241">
        <v>95</v>
      </c>
      <c r="K241" t="s">
        <v>386</v>
      </c>
      <c r="L241" t="s">
        <v>89</v>
      </c>
      <c r="M241" t="s">
        <v>90</v>
      </c>
      <c r="V241" t="s">
        <v>91</v>
      </c>
      <c r="W241" t="s">
        <v>107</v>
      </c>
      <c r="X241" t="s">
        <v>93</v>
      </c>
      <c r="Y241">
        <v>15</v>
      </c>
      <c r="Z241" t="s">
        <v>94</v>
      </c>
      <c r="AB241">
        <v>1.2700000000000001E-3</v>
      </c>
      <c r="AD241">
        <v>1.1900000000000001E-3</v>
      </c>
      <c r="AF241">
        <v>1.34E-3</v>
      </c>
      <c r="AG241" t="s">
        <v>95</v>
      </c>
      <c r="AX241" t="s">
        <v>144</v>
      </c>
      <c r="AY241" t="s">
        <v>109</v>
      </c>
      <c r="AZ241" t="s">
        <v>412</v>
      </c>
      <c r="BC241">
        <v>1</v>
      </c>
      <c r="BH241" t="s">
        <v>99</v>
      </c>
      <c r="BO241" t="s">
        <v>111</v>
      </c>
      <c r="CD241" t="s">
        <v>388</v>
      </c>
      <c r="CE241">
        <v>178673</v>
      </c>
      <c r="CF241" t="s">
        <v>389</v>
      </c>
      <c r="CG241" t="s">
        <v>390</v>
      </c>
      <c r="CH241">
        <v>2018</v>
      </c>
    </row>
    <row r="242" spans="1:86" hidden="1" x14ac:dyDescent="0.25">
      <c r="A242">
        <v>330541</v>
      </c>
      <c r="B242" t="s">
        <v>86</v>
      </c>
      <c r="D242" t="s">
        <v>87</v>
      </c>
      <c r="E242" t="s">
        <v>106</v>
      </c>
      <c r="F242">
        <v>95</v>
      </c>
      <c r="K242" t="s">
        <v>386</v>
      </c>
      <c r="L242" t="s">
        <v>89</v>
      </c>
      <c r="M242" t="s">
        <v>90</v>
      </c>
      <c r="V242" t="s">
        <v>91</v>
      </c>
      <c r="W242" t="s">
        <v>107</v>
      </c>
      <c r="X242" t="s">
        <v>93</v>
      </c>
      <c r="Y242">
        <v>15</v>
      </c>
      <c r="Z242" t="s">
        <v>94</v>
      </c>
      <c r="AB242">
        <v>1.74E-3</v>
      </c>
      <c r="AD242">
        <v>1.65E-3</v>
      </c>
      <c r="AF242">
        <v>1.8400000000000001E-3</v>
      </c>
      <c r="AG242" t="s">
        <v>95</v>
      </c>
      <c r="AX242" t="s">
        <v>144</v>
      </c>
      <c r="AY242" t="s">
        <v>109</v>
      </c>
      <c r="AZ242" t="s">
        <v>412</v>
      </c>
      <c r="BC242">
        <v>1</v>
      </c>
      <c r="BH242" t="s">
        <v>99</v>
      </c>
      <c r="BO242" t="s">
        <v>111</v>
      </c>
      <c r="CD242" t="s">
        <v>388</v>
      </c>
      <c r="CE242">
        <v>178673</v>
      </c>
      <c r="CF242" t="s">
        <v>389</v>
      </c>
      <c r="CG242" t="s">
        <v>390</v>
      </c>
      <c r="CH242">
        <v>2018</v>
      </c>
    </row>
    <row r="243" spans="1:86" hidden="1" x14ac:dyDescent="0.25">
      <c r="A243">
        <v>330541</v>
      </c>
      <c r="B243" t="s">
        <v>86</v>
      </c>
      <c r="C243" t="s">
        <v>158</v>
      </c>
      <c r="D243" t="s">
        <v>115</v>
      </c>
      <c r="K243" t="s">
        <v>413</v>
      </c>
      <c r="L243" t="s">
        <v>89</v>
      </c>
      <c r="M243" t="s">
        <v>90</v>
      </c>
      <c r="N243" t="s">
        <v>118</v>
      </c>
      <c r="V243" t="s">
        <v>91</v>
      </c>
      <c r="W243" t="s">
        <v>107</v>
      </c>
      <c r="X243" t="s">
        <v>93</v>
      </c>
      <c r="Z243" t="s">
        <v>94</v>
      </c>
      <c r="AB243">
        <v>6.6199604800000001E-4</v>
      </c>
      <c r="AG243" t="s">
        <v>95</v>
      </c>
      <c r="AX243" t="s">
        <v>108</v>
      </c>
      <c r="AY243" t="s">
        <v>120</v>
      </c>
      <c r="AZ243" t="s">
        <v>412</v>
      </c>
      <c r="BC243">
        <v>6.8999999999999999E-3</v>
      </c>
      <c r="BH243" t="s">
        <v>99</v>
      </c>
      <c r="BO243" t="s">
        <v>111</v>
      </c>
      <c r="CD243" t="s">
        <v>414</v>
      </c>
      <c r="CE243">
        <v>178632</v>
      </c>
      <c r="CF243" t="s">
        <v>415</v>
      </c>
      <c r="CG243" t="s">
        <v>416</v>
      </c>
      <c r="CH243">
        <v>2018</v>
      </c>
    </row>
    <row r="244" spans="1:86" hidden="1" x14ac:dyDescent="0.25">
      <c r="A244">
        <v>330541</v>
      </c>
      <c r="B244" t="s">
        <v>86</v>
      </c>
      <c r="C244" t="s">
        <v>158</v>
      </c>
      <c r="D244" t="s">
        <v>115</v>
      </c>
      <c r="K244" t="s">
        <v>417</v>
      </c>
      <c r="L244" t="s">
        <v>89</v>
      </c>
      <c r="M244" t="s">
        <v>90</v>
      </c>
      <c r="N244" t="s">
        <v>118</v>
      </c>
      <c r="V244" t="s">
        <v>91</v>
      </c>
      <c r="W244" t="s">
        <v>107</v>
      </c>
      <c r="X244" t="s">
        <v>93</v>
      </c>
      <c r="Z244" t="s">
        <v>94</v>
      </c>
      <c r="AB244">
        <v>2.3775914400000001E-4</v>
      </c>
      <c r="AG244" t="s">
        <v>95</v>
      </c>
      <c r="AX244" t="s">
        <v>108</v>
      </c>
      <c r="AY244" t="s">
        <v>120</v>
      </c>
      <c r="AZ244" t="s">
        <v>412</v>
      </c>
      <c r="BC244">
        <v>6.8999999999999999E-3</v>
      </c>
      <c r="BH244" t="s">
        <v>99</v>
      </c>
      <c r="BO244" t="s">
        <v>111</v>
      </c>
      <c r="CD244" t="s">
        <v>414</v>
      </c>
      <c r="CE244">
        <v>178632</v>
      </c>
      <c r="CF244" t="s">
        <v>415</v>
      </c>
      <c r="CG244" t="s">
        <v>416</v>
      </c>
      <c r="CH244">
        <v>2018</v>
      </c>
    </row>
    <row r="245" spans="1:86" hidden="1" x14ac:dyDescent="0.25">
      <c r="A245">
        <v>330541</v>
      </c>
      <c r="B245" t="s">
        <v>86</v>
      </c>
      <c r="C245" t="s">
        <v>158</v>
      </c>
      <c r="D245" t="s">
        <v>115</v>
      </c>
      <c r="K245" t="s">
        <v>418</v>
      </c>
      <c r="L245" t="s">
        <v>89</v>
      </c>
      <c r="M245" t="s">
        <v>90</v>
      </c>
      <c r="N245" t="s">
        <v>118</v>
      </c>
      <c r="V245" t="s">
        <v>91</v>
      </c>
      <c r="W245" t="s">
        <v>107</v>
      </c>
      <c r="X245" t="s">
        <v>93</v>
      </c>
      <c r="Z245" t="s">
        <v>94</v>
      </c>
      <c r="AB245">
        <v>4.68525372E-4</v>
      </c>
      <c r="AG245" t="s">
        <v>95</v>
      </c>
      <c r="AX245" t="s">
        <v>108</v>
      </c>
      <c r="AY245" t="s">
        <v>120</v>
      </c>
      <c r="AZ245" t="s">
        <v>412</v>
      </c>
      <c r="BC245">
        <v>6.8999999999999999E-3</v>
      </c>
      <c r="BH245" t="s">
        <v>99</v>
      </c>
      <c r="BO245" t="s">
        <v>111</v>
      </c>
      <c r="CD245" t="s">
        <v>414</v>
      </c>
      <c r="CE245">
        <v>178632</v>
      </c>
      <c r="CF245" t="s">
        <v>415</v>
      </c>
      <c r="CG245" t="s">
        <v>416</v>
      </c>
      <c r="CH245">
        <v>2018</v>
      </c>
    </row>
    <row r="246" spans="1:86" hidden="1" x14ac:dyDescent="0.25">
      <c r="A246">
        <v>330541</v>
      </c>
      <c r="B246" t="s">
        <v>86</v>
      </c>
      <c r="D246" t="s">
        <v>87</v>
      </c>
      <c r="E246" t="s">
        <v>106</v>
      </c>
      <c r="F246">
        <v>95</v>
      </c>
      <c r="K246" t="s">
        <v>391</v>
      </c>
      <c r="L246" t="s">
        <v>178</v>
      </c>
      <c r="M246" t="s">
        <v>90</v>
      </c>
      <c r="V246" t="s">
        <v>91</v>
      </c>
      <c r="W246" t="s">
        <v>107</v>
      </c>
      <c r="X246" t="s">
        <v>93</v>
      </c>
      <c r="Y246">
        <v>15</v>
      </c>
      <c r="Z246" t="s">
        <v>94</v>
      </c>
      <c r="AB246">
        <v>3.4000000000000002E-4</v>
      </c>
      <c r="AD246">
        <v>3.2000000000000003E-4</v>
      </c>
      <c r="AF246">
        <v>3.6000000000000002E-4</v>
      </c>
      <c r="AG246" t="s">
        <v>95</v>
      </c>
      <c r="AX246" t="s">
        <v>144</v>
      </c>
      <c r="AY246" t="s">
        <v>109</v>
      </c>
      <c r="AZ246" t="s">
        <v>412</v>
      </c>
      <c r="BC246">
        <v>1</v>
      </c>
      <c r="BH246" t="s">
        <v>99</v>
      </c>
      <c r="BO246" t="s">
        <v>111</v>
      </c>
      <c r="CD246" t="s">
        <v>388</v>
      </c>
      <c r="CE246">
        <v>178673</v>
      </c>
      <c r="CF246" t="s">
        <v>389</v>
      </c>
      <c r="CG246" t="s">
        <v>390</v>
      </c>
      <c r="CH246">
        <v>2018</v>
      </c>
    </row>
    <row r="247" spans="1:86" hidden="1" x14ac:dyDescent="0.25">
      <c r="A247">
        <v>330541</v>
      </c>
      <c r="B247" t="s">
        <v>86</v>
      </c>
      <c r="C247" t="s">
        <v>158</v>
      </c>
      <c r="D247" t="s">
        <v>115</v>
      </c>
      <c r="K247" t="s">
        <v>419</v>
      </c>
      <c r="L247" t="s">
        <v>89</v>
      </c>
      <c r="M247" t="s">
        <v>90</v>
      </c>
      <c r="N247" t="s">
        <v>118</v>
      </c>
      <c r="V247" t="s">
        <v>91</v>
      </c>
      <c r="W247" t="s">
        <v>107</v>
      </c>
      <c r="X247" t="s">
        <v>93</v>
      </c>
      <c r="Z247" t="s">
        <v>94</v>
      </c>
      <c r="AB247">
        <v>4.9183509199999999E-4</v>
      </c>
      <c r="AG247" t="s">
        <v>95</v>
      </c>
      <c r="AX247" t="s">
        <v>108</v>
      </c>
      <c r="AY247" t="s">
        <v>120</v>
      </c>
      <c r="AZ247" t="s">
        <v>412</v>
      </c>
      <c r="BC247">
        <v>6.8999999999999999E-3</v>
      </c>
      <c r="BH247" t="s">
        <v>99</v>
      </c>
      <c r="BO247" t="s">
        <v>111</v>
      </c>
      <c r="CD247" t="s">
        <v>414</v>
      </c>
      <c r="CE247">
        <v>178632</v>
      </c>
      <c r="CF247" t="s">
        <v>415</v>
      </c>
      <c r="CG247" t="s">
        <v>416</v>
      </c>
      <c r="CH247">
        <v>2018</v>
      </c>
    </row>
    <row r="248" spans="1:86" hidden="1" x14ac:dyDescent="0.25">
      <c r="A248">
        <v>330541</v>
      </c>
      <c r="B248" t="s">
        <v>86</v>
      </c>
      <c r="C248" t="s">
        <v>158</v>
      </c>
      <c r="D248" t="s">
        <v>115</v>
      </c>
      <c r="K248" t="s">
        <v>420</v>
      </c>
      <c r="L248" t="s">
        <v>89</v>
      </c>
      <c r="M248" t="s">
        <v>90</v>
      </c>
      <c r="N248" t="s">
        <v>118</v>
      </c>
      <c r="V248" t="s">
        <v>91</v>
      </c>
      <c r="W248" t="s">
        <v>107</v>
      </c>
      <c r="X248" t="s">
        <v>93</v>
      </c>
      <c r="Z248" t="s">
        <v>94</v>
      </c>
      <c r="AB248">
        <v>6.6898896399999997E-4</v>
      </c>
      <c r="AG248" t="s">
        <v>95</v>
      </c>
      <c r="AX248" t="s">
        <v>108</v>
      </c>
      <c r="AY248" t="s">
        <v>120</v>
      </c>
      <c r="AZ248" t="s">
        <v>412</v>
      </c>
      <c r="BC248">
        <v>6.8999999999999999E-3</v>
      </c>
      <c r="BH248" t="s">
        <v>99</v>
      </c>
      <c r="BO248" t="s">
        <v>111</v>
      </c>
      <c r="CD248" t="s">
        <v>414</v>
      </c>
      <c r="CE248">
        <v>178632</v>
      </c>
      <c r="CF248" t="s">
        <v>415</v>
      </c>
      <c r="CG248" t="s">
        <v>416</v>
      </c>
      <c r="CH248">
        <v>2018</v>
      </c>
    </row>
    <row r="249" spans="1:86" hidden="1" x14ac:dyDescent="0.25">
      <c r="A249">
        <v>330541</v>
      </c>
      <c r="B249" t="s">
        <v>86</v>
      </c>
      <c r="D249" t="s">
        <v>87</v>
      </c>
      <c r="E249" t="s">
        <v>106</v>
      </c>
      <c r="F249">
        <v>95</v>
      </c>
      <c r="K249" t="s">
        <v>391</v>
      </c>
      <c r="L249" t="s">
        <v>178</v>
      </c>
      <c r="M249" t="s">
        <v>90</v>
      </c>
      <c r="V249" t="s">
        <v>91</v>
      </c>
      <c r="W249" t="s">
        <v>107</v>
      </c>
      <c r="X249" t="s">
        <v>93</v>
      </c>
      <c r="Y249">
        <v>15</v>
      </c>
      <c r="Z249" t="s">
        <v>94</v>
      </c>
      <c r="AB249">
        <v>6.8000000000000005E-4</v>
      </c>
      <c r="AD249">
        <v>5.8E-4</v>
      </c>
      <c r="AF249">
        <v>7.9000000000000001E-4</v>
      </c>
      <c r="AG249" t="s">
        <v>95</v>
      </c>
      <c r="AX249" t="s">
        <v>144</v>
      </c>
      <c r="AY249" t="s">
        <v>109</v>
      </c>
      <c r="AZ249" t="s">
        <v>412</v>
      </c>
      <c r="BC249">
        <v>1</v>
      </c>
      <c r="BH249" t="s">
        <v>99</v>
      </c>
      <c r="BO249" t="s">
        <v>111</v>
      </c>
      <c r="CD249" t="s">
        <v>388</v>
      </c>
      <c r="CE249">
        <v>178673</v>
      </c>
      <c r="CF249" t="s">
        <v>389</v>
      </c>
      <c r="CG249" t="s">
        <v>390</v>
      </c>
      <c r="CH249">
        <v>2018</v>
      </c>
    </row>
    <row r="250" spans="1:86" hidden="1" x14ac:dyDescent="0.25">
      <c r="A250">
        <v>330541</v>
      </c>
      <c r="B250" t="s">
        <v>86</v>
      </c>
      <c r="D250" t="s">
        <v>115</v>
      </c>
      <c r="K250" t="s">
        <v>421</v>
      </c>
      <c r="L250" t="s">
        <v>90</v>
      </c>
      <c r="M250" t="s">
        <v>90</v>
      </c>
      <c r="V250" t="s">
        <v>91</v>
      </c>
      <c r="W250" t="s">
        <v>107</v>
      </c>
      <c r="X250" t="s">
        <v>93</v>
      </c>
      <c r="Z250" t="s">
        <v>137</v>
      </c>
      <c r="AB250">
        <v>6.9929160000000001E-3</v>
      </c>
      <c r="AG250" t="s">
        <v>95</v>
      </c>
      <c r="AX250" t="s">
        <v>144</v>
      </c>
      <c r="AY250" t="s">
        <v>109</v>
      </c>
      <c r="AZ250" t="s">
        <v>422</v>
      </c>
      <c r="BC250">
        <v>1.04E-2</v>
      </c>
      <c r="BH250" t="s">
        <v>99</v>
      </c>
      <c r="BO250" t="s">
        <v>111</v>
      </c>
      <c r="CD250" t="s">
        <v>423</v>
      </c>
      <c r="CE250">
        <v>15868</v>
      </c>
      <c r="CF250" t="s">
        <v>424</v>
      </c>
      <c r="CG250" t="s">
        <v>425</v>
      </c>
      <c r="CH250">
        <v>1976</v>
      </c>
    </row>
    <row r="251" spans="1:86" x14ac:dyDescent="0.25">
      <c r="A251">
        <v>330541</v>
      </c>
      <c r="B251" t="s">
        <v>86</v>
      </c>
      <c r="D251" t="s">
        <v>115</v>
      </c>
      <c r="K251" t="s">
        <v>224</v>
      </c>
      <c r="L251" t="s">
        <v>89</v>
      </c>
      <c r="M251" t="s">
        <v>90</v>
      </c>
      <c r="N251" t="s">
        <v>118</v>
      </c>
      <c r="V251" t="s">
        <v>91</v>
      </c>
      <c r="W251" t="s">
        <v>92</v>
      </c>
      <c r="X251" t="s">
        <v>93</v>
      </c>
      <c r="Z251" t="s">
        <v>137</v>
      </c>
      <c r="AB251">
        <v>1.165486E-2</v>
      </c>
      <c r="AG251" t="s">
        <v>95</v>
      </c>
      <c r="AX251" t="s">
        <v>108</v>
      </c>
      <c r="AY251" t="s">
        <v>109</v>
      </c>
      <c r="AZ251" t="s">
        <v>422</v>
      </c>
      <c r="BB251" t="s">
        <v>106</v>
      </c>
      <c r="BC251">
        <v>2.7799999999999998E-2</v>
      </c>
      <c r="BH251" t="s">
        <v>99</v>
      </c>
      <c r="BO251" t="s">
        <v>111</v>
      </c>
      <c r="CD251" t="s">
        <v>426</v>
      </c>
      <c r="CE251">
        <v>59914</v>
      </c>
      <c r="CF251" t="s">
        <v>427</v>
      </c>
      <c r="CG251" t="s">
        <v>428</v>
      </c>
      <c r="CH251">
        <v>1997</v>
      </c>
    </row>
    <row r="252" spans="1:86" x14ac:dyDescent="0.25">
      <c r="A252">
        <v>330541</v>
      </c>
      <c r="B252" t="s">
        <v>86</v>
      </c>
      <c r="C252" t="s">
        <v>104</v>
      </c>
      <c r="D252" t="s">
        <v>115</v>
      </c>
      <c r="K252" t="s">
        <v>224</v>
      </c>
      <c r="L252" t="s">
        <v>89</v>
      </c>
      <c r="M252" t="s">
        <v>90</v>
      </c>
      <c r="P252">
        <v>24</v>
      </c>
      <c r="U252" t="s">
        <v>213</v>
      </c>
      <c r="V252" t="s">
        <v>91</v>
      </c>
      <c r="W252" t="s">
        <v>92</v>
      </c>
      <c r="X252" t="s">
        <v>93</v>
      </c>
      <c r="Y252">
        <v>7</v>
      </c>
      <c r="Z252" t="s">
        <v>94</v>
      </c>
      <c r="AB252" s="281">
        <v>1.0500000000000001E-2</v>
      </c>
      <c r="AD252">
        <v>9.2999999999999992E-3</v>
      </c>
      <c r="AF252">
        <v>1.1299999999999999E-2</v>
      </c>
      <c r="AG252" t="s">
        <v>95</v>
      </c>
      <c r="AX252" t="s">
        <v>108</v>
      </c>
      <c r="AY252" t="s">
        <v>160</v>
      </c>
      <c r="AZ252" t="s">
        <v>422</v>
      </c>
      <c r="BC252">
        <v>3</v>
      </c>
      <c r="BH252" t="s">
        <v>99</v>
      </c>
      <c r="BO252" t="s">
        <v>111</v>
      </c>
      <c r="CD252" t="s">
        <v>429</v>
      </c>
      <c r="CE252">
        <v>102060</v>
      </c>
      <c r="CF252" t="s">
        <v>430</v>
      </c>
      <c r="CG252" t="s">
        <v>431</v>
      </c>
      <c r="CH252">
        <v>2007</v>
      </c>
    </row>
    <row r="253" spans="1:86" hidden="1" x14ac:dyDescent="0.25">
      <c r="A253">
        <v>330541</v>
      </c>
      <c r="B253" t="s">
        <v>86</v>
      </c>
      <c r="D253" t="s">
        <v>115</v>
      </c>
      <c r="K253" t="s">
        <v>432</v>
      </c>
      <c r="L253" t="s">
        <v>433</v>
      </c>
      <c r="M253" t="s">
        <v>90</v>
      </c>
      <c r="V253" t="s">
        <v>91</v>
      </c>
      <c r="W253" t="s">
        <v>92</v>
      </c>
      <c r="X253" t="s">
        <v>93</v>
      </c>
      <c r="Z253" t="s">
        <v>137</v>
      </c>
      <c r="AA253" t="s">
        <v>434</v>
      </c>
      <c r="AB253">
        <v>2.330972</v>
      </c>
      <c r="AG253" t="s">
        <v>95</v>
      </c>
      <c r="AX253" t="s">
        <v>108</v>
      </c>
      <c r="AY253" t="s">
        <v>109</v>
      </c>
      <c r="AZ253" t="s">
        <v>422</v>
      </c>
      <c r="BC253">
        <v>4</v>
      </c>
      <c r="BH253" t="s">
        <v>99</v>
      </c>
      <c r="BO253" t="s">
        <v>111</v>
      </c>
      <c r="CD253" t="s">
        <v>435</v>
      </c>
      <c r="CE253">
        <v>102056</v>
      </c>
      <c r="CF253" t="s">
        <v>436</v>
      </c>
      <c r="CG253" t="s">
        <v>437</v>
      </c>
      <c r="CH253">
        <v>1996</v>
      </c>
    </row>
    <row r="254" spans="1:86" hidden="1" x14ac:dyDescent="0.25">
      <c r="A254">
        <v>330541</v>
      </c>
      <c r="B254" t="s">
        <v>86</v>
      </c>
      <c r="D254" t="s">
        <v>115</v>
      </c>
      <c r="K254" t="s">
        <v>432</v>
      </c>
      <c r="L254" t="s">
        <v>433</v>
      </c>
      <c r="M254" t="s">
        <v>90</v>
      </c>
      <c r="V254" t="s">
        <v>91</v>
      </c>
      <c r="W254" t="s">
        <v>92</v>
      </c>
      <c r="X254" t="s">
        <v>93</v>
      </c>
      <c r="Z254" t="s">
        <v>137</v>
      </c>
      <c r="AB254"/>
      <c r="AC254" t="s">
        <v>106</v>
      </c>
      <c r="AD254">
        <v>2.330972</v>
      </c>
      <c r="AE254" t="s">
        <v>234</v>
      </c>
      <c r="AF254">
        <v>23.309719999999999</v>
      </c>
      <c r="AG254" t="s">
        <v>95</v>
      </c>
      <c r="AX254" t="s">
        <v>108</v>
      </c>
      <c r="AY254" t="s">
        <v>109</v>
      </c>
      <c r="AZ254" t="s">
        <v>422</v>
      </c>
      <c r="BC254">
        <v>7</v>
      </c>
      <c r="BH254" t="s">
        <v>99</v>
      </c>
      <c r="BO254" t="s">
        <v>111</v>
      </c>
      <c r="CD254" t="s">
        <v>435</v>
      </c>
      <c r="CE254">
        <v>102056</v>
      </c>
      <c r="CF254" t="s">
        <v>436</v>
      </c>
      <c r="CG254" t="s">
        <v>437</v>
      </c>
      <c r="CH254">
        <v>1996</v>
      </c>
    </row>
    <row r="255" spans="1:86" hidden="1" x14ac:dyDescent="0.25">
      <c r="A255">
        <v>330541</v>
      </c>
      <c r="B255" t="s">
        <v>86</v>
      </c>
      <c r="D255" t="s">
        <v>115</v>
      </c>
      <c r="K255" t="s">
        <v>432</v>
      </c>
      <c r="L255" t="s">
        <v>433</v>
      </c>
      <c r="M255" t="s">
        <v>90</v>
      </c>
      <c r="V255" t="s">
        <v>91</v>
      </c>
      <c r="W255" t="s">
        <v>92</v>
      </c>
      <c r="X255" t="s">
        <v>93</v>
      </c>
      <c r="Z255" t="s">
        <v>137</v>
      </c>
      <c r="AB255"/>
      <c r="AC255" t="s">
        <v>106</v>
      </c>
      <c r="AD255">
        <v>2.3309720000000002E-3</v>
      </c>
      <c r="AE255" t="s">
        <v>234</v>
      </c>
      <c r="AF255">
        <v>2.3309719999999999E-2</v>
      </c>
      <c r="AG255" t="s">
        <v>95</v>
      </c>
      <c r="AX255" t="s">
        <v>108</v>
      </c>
      <c r="AY255" t="s">
        <v>109</v>
      </c>
      <c r="AZ255" t="s">
        <v>422</v>
      </c>
      <c r="BC255">
        <v>2</v>
      </c>
      <c r="BH255" t="s">
        <v>99</v>
      </c>
      <c r="BO255" t="s">
        <v>111</v>
      </c>
      <c r="CD255" t="s">
        <v>435</v>
      </c>
      <c r="CE255">
        <v>102056</v>
      </c>
      <c r="CF255" t="s">
        <v>436</v>
      </c>
      <c r="CG255" t="s">
        <v>437</v>
      </c>
      <c r="CH255">
        <v>1996</v>
      </c>
    </row>
    <row r="256" spans="1:86" hidden="1" x14ac:dyDescent="0.25">
      <c r="A256">
        <v>330541</v>
      </c>
      <c r="B256" t="s">
        <v>86</v>
      </c>
      <c r="D256" t="s">
        <v>87</v>
      </c>
      <c r="E256" t="s">
        <v>106</v>
      </c>
      <c r="F256">
        <v>95</v>
      </c>
      <c r="K256" t="s">
        <v>391</v>
      </c>
      <c r="L256" t="s">
        <v>178</v>
      </c>
      <c r="M256" t="s">
        <v>90</v>
      </c>
      <c r="V256" t="s">
        <v>91</v>
      </c>
      <c r="W256" t="s">
        <v>107</v>
      </c>
      <c r="X256" t="s">
        <v>93</v>
      </c>
      <c r="Y256">
        <v>15</v>
      </c>
      <c r="Z256" t="s">
        <v>94</v>
      </c>
      <c r="AB256">
        <v>1.4E-3</v>
      </c>
      <c r="AD256">
        <v>1.2999999999999999E-3</v>
      </c>
      <c r="AF256">
        <v>1.6000000000000001E-3</v>
      </c>
      <c r="AG256" t="s">
        <v>95</v>
      </c>
      <c r="AX256" t="s">
        <v>144</v>
      </c>
      <c r="AY256" t="s">
        <v>109</v>
      </c>
      <c r="AZ256" t="s">
        <v>422</v>
      </c>
      <c r="BC256">
        <v>1</v>
      </c>
      <c r="BH256" t="s">
        <v>99</v>
      </c>
      <c r="BO256" t="s">
        <v>111</v>
      </c>
      <c r="CD256" t="s">
        <v>388</v>
      </c>
      <c r="CE256">
        <v>178673</v>
      </c>
      <c r="CF256" t="s">
        <v>389</v>
      </c>
      <c r="CG256" t="s">
        <v>390</v>
      </c>
      <c r="CH256">
        <v>2018</v>
      </c>
    </row>
    <row r="257" spans="1:86" hidden="1" x14ac:dyDescent="0.25">
      <c r="A257">
        <v>330541</v>
      </c>
      <c r="B257" t="s">
        <v>86</v>
      </c>
      <c r="D257" t="s">
        <v>115</v>
      </c>
      <c r="F257">
        <v>98</v>
      </c>
      <c r="K257" t="s">
        <v>402</v>
      </c>
      <c r="L257" t="s">
        <v>212</v>
      </c>
      <c r="M257" t="s">
        <v>90</v>
      </c>
      <c r="V257" t="s">
        <v>91</v>
      </c>
      <c r="W257" t="s">
        <v>107</v>
      </c>
      <c r="X257" t="s">
        <v>93</v>
      </c>
      <c r="Y257">
        <v>7</v>
      </c>
      <c r="Z257" t="s">
        <v>94</v>
      </c>
      <c r="AB257">
        <v>8.5000000000000006E-3</v>
      </c>
      <c r="AG257" t="s">
        <v>95</v>
      </c>
      <c r="AX257" t="s">
        <v>144</v>
      </c>
      <c r="AY257" t="s">
        <v>109</v>
      </c>
      <c r="AZ257" t="s">
        <v>422</v>
      </c>
      <c r="BA257" t="s">
        <v>179</v>
      </c>
      <c r="BC257">
        <v>1</v>
      </c>
      <c r="BH257" t="s">
        <v>99</v>
      </c>
      <c r="BO257" t="s">
        <v>111</v>
      </c>
      <c r="CD257" t="s">
        <v>392</v>
      </c>
      <c r="CE257">
        <v>153835</v>
      </c>
      <c r="CF257" t="s">
        <v>393</v>
      </c>
      <c r="CG257" t="s">
        <v>394</v>
      </c>
      <c r="CH257">
        <v>2011</v>
      </c>
    </row>
    <row r="258" spans="1:86" hidden="1" x14ac:dyDescent="0.25">
      <c r="A258">
        <v>330541</v>
      </c>
      <c r="B258" t="s">
        <v>86</v>
      </c>
      <c r="D258" t="s">
        <v>115</v>
      </c>
      <c r="K258" t="s">
        <v>372</v>
      </c>
      <c r="L258" t="s">
        <v>143</v>
      </c>
      <c r="M258" t="s">
        <v>90</v>
      </c>
      <c r="V258" t="s">
        <v>91</v>
      </c>
      <c r="W258" t="s">
        <v>92</v>
      </c>
      <c r="X258" t="s">
        <v>93</v>
      </c>
      <c r="Y258">
        <v>5</v>
      </c>
      <c r="Z258" t="s">
        <v>137</v>
      </c>
      <c r="AB258">
        <v>2.6806178E-2</v>
      </c>
      <c r="AG258" t="s">
        <v>95</v>
      </c>
      <c r="AX258" t="s">
        <v>144</v>
      </c>
      <c r="AY258" t="s">
        <v>438</v>
      </c>
      <c r="AZ258" t="s">
        <v>422</v>
      </c>
      <c r="BC258">
        <v>3</v>
      </c>
      <c r="BH258" t="s">
        <v>99</v>
      </c>
      <c r="BO258" t="s">
        <v>111</v>
      </c>
      <c r="CD258" t="s">
        <v>439</v>
      </c>
      <c r="CE258">
        <v>101992</v>
      </c>
      <c r="CF258" t="s">
        <v>440</v>
      </c>
      <c r="CG258" t="s">
        <v>441</v>
      </c>
      <c r="CH258">
        <v>2004</v>
      </c>
    </row>
    <row r="259" spans="1:86" hidden="1" x14ac:dyDescent="0.25">
      <c r="A259">
        <v>330541</v>
      </c>
      <c r="B259" t="s">
        <v>86</v>
      </c>
      <c r="D259" t="s">
        <v>115</v>
      </c>
      <c r="K259" t="s">
        <v>432</v>
      </c>
      <c r="L259" t="s">
        <v>433</v>
      </c>
      <c r="M259" t="s">
        <v>90</v>
      </c>
      <c r="V259" t="s">
        <v>91</v>
      </c>
      <c r="W259" t="s">
        <v>92</v>
      </c>
      <c r="X259" t="s">
        <v>93</v>
      </c>
      <c r="Z259" t="s">
        <v>137</v>
      </c>
      <c r="AB259"/>
      <c r="AC259" t="s">
        <v>106</v>
      </c>
      <c r="AD259">
        <v>2.3309720000000002E-3</v>
      </c>
      <c r="AE259" t="s">
        <v>234</v>
      </c>
      <c r="AF259">
        <v>2.3309719999999999E-2</v>
      </c>
      <c r="AG259" t="s">
        <v>95</v>
      </c>
      <c r="AX259" t="s">
        <v>108</v>
      </c>
      <c r="AY259" t="s">
        <v>109</v>
      </c>
      <c r="AZ259" t="s">
        <v>422</v>
      </c>
      <c r="BC259">
        <v>3</v>
      </c>
      <c r="BH259" t="s">
        <v>99</v>
      </c>
      <c r="BO259" t="s">
        <v>111</v>
      </c>
      <c r="CD259" t="s">
        <v>435</v>
      </c>
      <c r="CE259">
        <v>102056</v>
      </c>
      <c r="CF259" t="s">
        <v>436</v>
      </c>
      <c r="CG259" t="s">
        <v>437</v>
      </c>
      <c r="CH259">
        <v>1996</v>
      </c>
    </row>
    <row r="260" spans="1:86" hidden="1" x14ac:dyDescent="0.25">
      <c r="A260">
        <v>330541</v>
      </c>
      <c r="B260" t="s">
        <v>86</v>
      </c>
      <c r="D260" t="s">
        <v>115</v>
      </c>
      <c r="K260" t="s">
        <v>432</v>
      </c>
      <c r="L260" t="s">
        <v>433</v>
      </c>
      <c r="M260" t="s">
        <v>90</v>
      </c>
      <c r="V260" t="s">
        <v>91</v>
      </c>
      <c r="W260" t="s">
        <v>92</v>
      </c>
      <c r="X260" t="s">
        <v>93</v>
      </c>
      <c r="Z260" t="s">
        <v>137</v>
      </c>
      <c r="AB260"/>
      <c r="AC260" t="s">
        <v>106</v>
      </c>
      <c r="AD260">
        <v>2.3309720000000002E-3</v>
      </c>
      <c r="AE260" t="s">
        <v>234</v>
      </c>
      <c r="AF260">
        <v>2.3309719999999999E-2</v>
      </c>
      <c r="AG260" t="s">
        <v>95</v>
      </c>
      <c r="AX260" t="s">
        <v>108</v>
      </c>
      <c r="AY260" t="s">
        <v>109</v>
      </c>
      <c r="AZ260" t="s">
        <v>422</v>
      </c>
      <c r="BC260">
        <v>1</v>
      </c>
      <c r="BH260" t="s">
        <v>99</v>
      </c>
      <c r="BO260" t="s">
        <v>111</v>
      </c>
      <c r="CD260" t="s">
        <v>435</v>
      </c>
      <c r="CE260">
        <v>102056</v>
      </c>
      <c r="CF260" t="s">
        <v>436</v>
      </c>
      <c r="CG260" t="s">
        <v>437</v>
      </c>
      <c r="CH260">
        <v>1996</v>
      </c>
    </row>
    <row r="261" spans="1:86" hidden="1" x14ac:dyDescent="0.25">
      <c r="A261">
        <v>330541</v>
      </c>
      <c r="B261" t="s">
        <v>86</v>
      </c>
      <c r="D261" t="s">
        <v>115</v>
      </c>
      <c r="K261" t="s">
        <v>432</v>
      </c>
      <c r="L261" t="s">
        <v>433</v>
      </c>
      <c r="M261" t="s">
        <v>90</v>
      </c>
      <c r="V261" t="s">
        <v>91</v>
      </c>
      <c r="W261" t="s">
        <v>92</v>
      </c>
      <c r="X261" t="s">
        <v>93</v>
      </c>
      <c r="Z261" t="s">
        <v>137</v>
      </c>
      <c r="AB261"/>
      <c r="AC261" t="s">
        <v>106</v>
      </c>
      <c r="AD261">
        <v>2.3309720000000002E-3</v>
      </c>
      <c r="AE261" t="s">
        <v>234</v>
      </c>
      <c r="AF261">
        <v>2.3309719999999999E-2</v>
      </c>
      <c r="AG261" t="s">
        <v>95</v>
      </c>
      <c r="AX261" t="s">
        <v>108</v>
      </c>
      <c r="AY261" t="s">
        <v>109</v>
      </c>
      <c r="AZ261" t="s">
        <v>422</v>
      </c>
      <c r="BC261">
        <v>4</v>
      </c>
      <c r="BH261" t="s">
        <v>99</v>
      </c>
      <c r="BO261" t="s">
        <v>111</v>
      </c>
      <c r="CD261" t="s">
        <v>435</v>
      </c>
      <c r="CE261">
        <v>102056</v>
      </c>
      <c r="CF261" t="s">
        <v>436</v>
      </c>
      <c r="CG261" t="s">
        <v>437</v>
      </c>
      <c r="CH261">
        <v>1996</v>
      </c>
    </row>
    <row r="262" spans="1:86" hidden="1" x14ac:dyDescent="0.25">
      <c r="A262">
        <v>330541</v>
      </c>
      <c r="B262" t="s">
        <v>86</v>
      </c>
      <c r="D262" t="s">
        <v>115</v>
      </c>
      <c r="K262" t="s">
        <v>432</v>
      </c>
      <c r="L262" t="s">
        <v>433</v>
      </c>
      <c r="M262" t="s">
        <v>90</v>
      </c>
      <c r="V262" t="s">
        <v>91</v>
      </c>
      <c r="W262" t="s">
        <v>92</v>
      </c>
      <c r="X262" t="s">
        <v>93</v>
      </c>
      <c r="Z262" t="s">
        <v>137</v>
      </c>
      <c r="AB262"/>
      <c r="AC262" t="s">
        <v>106</v>
      </c>
      <c r="AD262">
        <v>2.3309719999999999E-2</v>
      </c>
      <c r="AE262" t="s">
        <v>234</v>
      </c>
      <c r="AF262">
        <v>0.2330972</v>
      </c>
      <c r="AG262" t="s">
        <v>95</v>
      </c>
      <c r="AX262" t="s">
        <v>108</v>
      </c>
      <c r="AY262" t="s">
        <v>109</v>
      </c>
      <c r="AZ262" t="s">
        <v>422</v>
      </c>
      <c r="BC262">
        <v>7</v>
      </c>
      <c r="BH262" t="s">
        <v>99</v>
      </c>
      <c r="BO262" t="s">
        <v>111</v>
      </c>
      <c r="CD262" t="s">
        <v>435</v>
      </c>
      <c r="CE262">
        <v>102056</v>
      </c>
      <c r="CF262" t="s">
        <v>436</v>
      </c>
      <c r="CG262" t="s">
        <v>437</v>
      </c>
      <c r="CH262">
        <v>1996</v>
      </c>
    </row>
    <row r="263" spans="1:86" hidden="1" x14ac:dyDescent="0.25">
      <c r="A263">
        <v>330541</v>
      </c>
      <c r="B263" t="s">
        <v>86</v>
      </c>
      <c r="D263" t="s">
        <v>115</v>
      </c>
      <c r="K263" t="s">
        <v>239</v>
      </c>
      <c r="L263" t="s">
        <v>89</v>
      </c>
      <c r="M263" t="s">
        <v>90</v>
      </c>
      <c r="V263" t="s">
        <v>91</v>
      </c>
      <c r="W263" t="s">
        <v>92</v>
      </c>
      <c r="X263" t="s">
        <v>93</v>
      </c>
      <c r="Y263">
        <v>5</v>
      </c>
      <c r="Z263" t="s">
        <v>137</v>
      </c>
      <c r="AB263">
        <v>0.01</v>
      </c>
      <c r="AG263" t="s">
        <v>95</v>
      </c>
      <c r="AX263" t="s">
        <v>108</v>
      </c>
      <c r="AY263" t="s">
        <v>311</v>
      </c>
      <c r="AZ263" t="s">
        <v>422</v>
      </c>
      <c r="BC263">
        <v>1</v>
      </c>
      <c r="BH263" t="s">
        <v>99</v>
      </c>
      <c r="BO263" t="s">
        <v>111</v>
      </c>
      <c r="CD263" t="s">
        <v>409</v>
      </c>
      <c r="CE263">
        <v>98120</v>
      </c>
      <c r="CF263" t="s">
        <v>410</v>
      </c>
      <c r="CG263" t="s">
        <v>411</v>
      </c>
      <c r="CH263">
        <v>2000</v>
      </c>
    </row>
    <row r="264" spans="1:86" hidden="1" x14ac:dyDescent="0.25">
      <c r="A264">
        <v>330541</v>
      </c>
      <c r="B264" t="s">
        <v>86</v>
      </c>
      <c r="D264" t="s">
        <v>115</v>
      </c>
      <c r="K264" t="s">
        <v>372</v>
      </c>
      <c r="L264" t="s">
        <v>143</v>
      </c>
      <c r="M264" t="s">
        <v>90</v>
      </c>
      <c r="V264" t="s">
        <v>91</v>
      </c>
      <c r="W264" t="s">
        <v>92</v>
      </c>
      <c r="X264" t="s">
        <v>93</v>
      </c>
      <c r="Y264">
        <v>5</v>
      </c>
      <c r="Z264" t="s">
        <v>137</v>
      </c>
      <c r="AB264">
        <v>3.1468122000000001E-2</v>
      </c>
      <c r="AG264" t="s">
        <v>95</v>
      </c>
      <c r="AX264" t="s">
        <v>144</v>
      </c>
      <c r="AY264" t="s">
        <v>438</v>
      </c>
      <c r="AZ264" t="s">
        <v>422</v>
      </c>
      <c r="BC264">
        <v>3</v>
      </c>
      <c r="BH264" t="s">
        <v>99</v>
      </c>
      <c r="BO264" t="s">
        <v>111</v>
      </c>
      <c r="CD264" t="s">
        <v>439</v>
      </c>
      <c r="CE264">
        <v>101992</v>
      </c>
      <c r="CF264" t="s">
        <v>440</v>
      </c>
      <c r="CG264" t="s">
        <v>441</v>
      </c>
      <c r="CH264">
        <v>2004</v>
      </c>
    </row>
    <row r="265" spans="1:86" hidden="1" x14ac:dyDescent="0.25">
      <c r="A265">
        <v>330541</v>
      </c>
      <c r="B265" t="s">
        <v>86</v>
      </c>
      <c r="D265" t="s">
        <v>115</v>
      </c>
      <c r="K265" t="s">
        <v>421</v>
      </c>
      <c r="L265" t="s">
        <v>90</v>
      </c>
      <c r="M265" t="s">
        <v>90</v>
      </c>
      <c r="V265" t="s">
        <v>91</v>
      </c>
      <c r="W265" t="s">
        <v>107</v>
      </c>
      <c r="X265" t="s">
        <v>93</v>
      </c>
      <c r="Z265" t="s">
        <v>137</v>
      </c>
      <c r="AB265">
        <v>6.9929160000000001E-3</v>
      </c>
      <c r="AG265" t="s">
        <v>95</v>
      </c>
      <c r="AX265" t="s">
        <v>144</v>
      </c>
      <c r="AY265" t="s">
        <v>109</v>
      </c>
      <c r="AZ265" t="s">
        <v>422</v>
      </c>
      <c r="BC265">
        <v>1.04E-2</v>
      </c>
      <c r="BH265" t="s">
        <v>99</v>
      </c>
      <c r="BO265" t="s">
        <v>111</v>
      </c>
      <c r="CD265" t="s">
        <v>423</v>
      </c>
      <c r="CE265">
        <v>15868</v>
      </c>
      <c r="CF265" t="s">
        <v>424</v>
      </c>
      <c r="CG265" t="s">
        <v>425</v>
      </c>
      <c r="CH265">
        <v>1976</v>
      </c>
    </row>
    <row r="266" spans="1:86" hidden="1" x14ac:dyDescent="0.25">
      <c r="A266">
        <v>330541</v>
      </c>
      <c r="B266" t="s">
        <v>86</v>
      </c>
      <c r="C266" t="s">
        <v>183</v>
      </c>
      <c r="D266" t="s">
        <v>115</v>
      </c>
      <c r="F266">
        <v>80</v>
      </c>
      <c r="K266" t="s">
        <v>194</v>
      </c>
      <c r="L266" t="s">
        <v>143</v>
      </c>
      <c r="M266" t="s">
        <v>90</v>
      </c>
      <c r="V266" t="s">
        <v>91</v>
      </c>
      <c r="W266" t="s">
        <v>92</v>
      </c>
      <c r="X266" t="s">
        <v>93</v>
      </c>
      <c r="Z266" t="s">
        <v>94</v>
      </c>
      <c r="AB266" s="281">
        <v>2.8000000000000001E-2</v>
      </c>
      <c r="AG266" t="s">
        <v>95</v>
      </c>
      <c r="AX266" t="s">
        <v>108</v>
      </c>
      <c r="AY266" t="s">
        <v>150</v>
      </c>
      <c r="AZ266" t="s">
        <v>422</v>
      </c>
      <c r="BC266">
        <v>4</v>
      </c>
      <c r="BH266" t="s">
        <v>99</v>
      </c>
      <c r="BO266" t="s">
        <v>111</v>
      </c>
      <c r="CD266" t="s">
        <v>186</v>
      </c>
      <c r="CE266">
        <v>69879</v>
      </c>
      <c r="CF266" t="s">
        <v>187</v>
      </c>
      <c r="CG266" t="s">
        <v>188</v>
      </c>
      <c r="CH266">
        <v>1998</v>
      </c>
    </row>
    <row r="267" spans="1:86" hidden="1" x14ac:dyDescent="0.25">
      <c r="A267">
        <v>330541</v>
      </c>
      <c r="B267" t="s">
        <v>86</v>
      </c>
      <c r="D267" t="s">
        <v>115</v>
      </c>
      <c r="F267">
        <v>80</v>
      </c>
      <c r="K267" t="s">
        <v>442</v>
      </c>
      <c r="L267" t="s">
        <v>89</v>
      </c>
      <c r="M267" t="s">
        <v>90</v>
      </c>
      <c r="P267">
        <v>1</v>
      </c>
      <c r="U267" t="s">
        <v>219</v>
      </c>
      <c r="V267" t="s">
        <v>91</v>
      </c>
      <c r="W267" t="s">
        <v>92</v>
      </c>
      <c r="X267" t="s">
        <v>93</v>
      </c>
      <c r="Y267">
        <v>13</v>
      </c>
      <c r="Z267" t="s">
        <v>94</v>
      </c>
      <c r="AB267" s="281">
        <v>0.55943328000000003</v>
      </c>
      <c r="AG267" t="s">
        <v>95</v>
      </c>
      <c r="AX267" t="s">
        <v>108</v>
      </c>
      <c r="AY267" t="s">
        <v>150</v>
      </c>
      <c r="AZ267" t="s">
        <v>422</v>
      </c>
      <c r="BC267">
        <v>7</v>
      </c>
      <c r="BH267" t="s">
        <v>99</v>
      </c>
      <c r="BO267" t="s">
        <v>111</v>
      </c>
      <c r="CD267" t="s">
        <v>443</v>
      </c>
      <c r="CE267">
        <v>61203</v>
      </c>
      <c r="CF267" t="s">
        <v>444</v>
      </c>
      <c r="CG267" t="s">
        <v>445</v>
      </c>
      <c r="CH267">
        <v>1983</v>
      </c>
    </row>
    <row r="268" spans="1:86" hidden="1" x14ac:dyDescent="0.25">
      <c r="A268">
        <v>330541</v>
      </c>
      <c r="B268" t="s">
        <v>86</v>
      </c>
      <c r="D268" t="s">
        <v>115</v>
      </c>
      <c r="K268" t="s">
        <v>432</v>
      </c>
      <c r="L268" t="s">
        <v>433</v>
      </c>
      <c r="M268" t="s">
        <v>90</v>
      </c>
      <c r="V268" t="s">
        <v>91</v>
      </c>
      <c r="W268" t="s">
        <v>92</v>
      </c>
      <c r="X268" t="s">
        <v>93</v>
      </c>
      <c r="Z268" t="s">
        <v>137</v>
      </c>
      <c r="AB268"/>
      <c r="AC268" t="s">
        <v>106</v>
      </c>
      <c r="AD268">
        <v>23.309719999999999</v>
      </c>
      <c r="AE268" t="s">
        <v>234</v>
      </c>
      <c r="AF268">
        <v>233.09719999999999</v>
      </c>
      <c r="AG268" t="s">
        <v>95</v>
      </c>
      <c r="AX268" t="s">
        <v>108</v>
      </c>
      <c r="AY268" t="s">
        <v>109</v>
      </c>
      <c r="AZ268" t="s">
        <v>422</v>
      </c>
      <c r="BC268">
        <v>3</v>
      </c>
      <c r="BH268" t="s">
        <v>99</v>
      </c>
      <c r="BO268" t="s">
        <v>111</v>
      </c>
      <c r="CD268" t="s">
        <v>435</v>
      </c>
      <c r="CE268">
        <v>102056</v>
      </c>
      <c r="CF268" t="s">
        <v>436</v>
      </c>
      <c r="CG268" t="s">
        <v>437</v>
      </c>
      <c r="CH268">
        <v>1996</v>
      </c>
    </row>
    <row r="269" spans="1:86" hidden="1" x14ac:dyDescent="0.25">
      <c r="A269">
        <v>330541</v>
      </c>
      <c r="B269" t="s">
        <v>86</v>
      </c>
      <c r="D269" t="s">
        <v>115</v>
      </c>
      <c r="K269" t="s">
        <v>432</v>
      </c>
      <c r="L269" t="s">
        <v>433</v>
      </c>
      <c r="M269" t="s">
        <v>90</v>
      </c>
      <c r="V269" t="s">
        <v>91</v>
      </c>
      <c r="W269" t="s">
        <v>92</v>
      </c>
      <c r="X269" t="s">
        <v>93</v>
      </c>
      <c r="Z269" t="s">
        <v>137</v>
      </c>
      <c r="AA269" t="s">
        <v>434</v>
      </c>
      <c r="AB269">
        <v>233.09719999999999</v>
      </c>
      <c r="AG269" t="s">
        <v>95</v>
      </c>
      <c r="AX269" t="s">
        <v>108</v>
      </c>
      <c r="AY269" t="s">
        <v>109</v>
      </c>
      <c r="AZ269" t="s">
        <v>422</v>
      </c>
      <c r="BC269">
        <v>7</v>
      </c>
      <c r="BH269" t="s">
        <v>99</v>
      </c>
      <c r="BO269" t="s">
        <v>111</v>
      </c>
      <c r="CD269" t="s">
        <v>435</v>
      </c>
      <c r="CE269">
        <v>102056</v>
      </c>
      <c r="CF269" t="s">
        <v>436</v>
      </c>
      <c r="CG269" t="s">
        <v>437</v>
      </c>
      <c r="CH269">
        <v>1996</v>
      </c>
    </row>
    <row r="270" spans="1:86" hidden="1" x14ac:dyDescent="0.25">
      <c r="A270">
        <v>330541</v>
      </c>
      <c r="B270" t="s">
        <v>86</v>
      </c>
      <c r="D270" t="s">
        <v>115</v>
      </c>
      <c r="K270" t="s">
        <v>432</v>
      </c>
      <c r="L270" t="s">
        <v>433</v>
      </c>
      <c r="M270" t="s">
        <v>90</v>
      </c>
      <c r="V270" t="s">
        <v>91</v>
      </c>
      <c r="W270" t="s">
        <v>92</v>
      </c>
      <c r="X270" t="s">
        <v>93</v>
      </c>
      <c r="Z270" t="s">
        <v>137</v>
      </c>
      <c r="AB270"/>
      <c r="AC270" t="s">
        <v>106</v>
      </c>
      <c r="AD270">
        <v>23.309719999999999</v>
      </c>
      <c r="AE270" t="s">
        <v>234</v>
      </c>
      <c r="AF270">
        <v>233.09719999999999</v>
      </c>
      <c r="AG270" t="s">
        <v>95</v>
      </c>
      <c r="AX270" t="s">
        <v>108</v>
      </c>
      <c r="AY270" t="s">
        <v>109</v>
      </c>
      <c r="AZ270" t="s">
        <v>422</v>
      </c>
      <c r="BC270">
        <v>2</v>
      </c>
      <c r="BH270" t="s">
        <v>99</v>
      </c>
      <c r="BO270" t="s">
        <v>111</v>
      </c>
      <c r="CD270" t="s">
        <v>435</v>
      </c>
      <c r="CE270">
        <v>102056</v>
      </c>
      <c r="CF270" t="s">
        <v>436</v>
      </c>
      <c r="CG270" t="s">
        <v>437</v>
      </c>
      <c r="CH270">
        <v>1996</v>
      </c>
    </row>
    <row r="271" spans="1:86" hidden="1" x14ac:dyDescent="0.25">
      <c r="A271">
        <v>330541</v>
      </c>
      <c r="B271" t="s">
        <v>86</v>
      </c>
      <c r="D271" t="s">
        <v>115</v>
      </c>
      <c r="K271" t="s">
        <v>432</v>
      </c>
      <c r="L271" t="s">
        <v>433</v>
      </c>
      <c r="M271" t="s">
        <v>90</v>
      </c>
      <c r="V271" t="s">
        <v>91</v>
      </c>
      <c r="W271" t="s">
        <v>92</v>
      </c>
      <c r="X271" t="s">
        <v>93</v>
      </c>
      <c r="Z271" t="s">
        <v>137</v>
      </c>
      <c r="AB271"/>
      <c r="AC271" t="s">
        <v>106</v>
      </c>
      <c r="AD271">
        <v>23.309719999999999</v>
      </c>
      <c r="AE271" t="s">
        <v>234</v>
      </c>
      <c r="AF271">
        <v>233.09719999999999</v>
      </c>
      <c r="AG271" t="s">
        <v>95</v>
      </c>
      <c r="AX271" t="s">
        <v>108</v>
      </c>
      <c r="AY271" t="s">
        <v>109</v>
      </c>
      <c r="AZ271" t="s">
        <v>422</v>
      </c>
      <c r="BC271">
        <v>4</v>
      </c>
      <c r="BH271" t="s">
        <v>99</v>
      </c>
      <c r="BO271" t="s">
        <v>111</v>
      </c>
      <c r="CD271" t="s">
        <v>435</v>
      </c>
      <c r="CE271">
        <v>102056</v>
      </c>
      <c r="CF271" t="s">
        <v>436</v>
      </c>
      <c r="CG271" t="s">
        <v>437</v>
      </c>
      <c r="CH271">
        <v>1996</v>
      </c>
    </row>
    <row r="272" spans="1:86" hidden="1" x14ac:dyDescent="0.25">
      <c r="A272">
        <v>330541</v>
      </c>
      <c r="B272" t="s">
        <v>86</v>
      </c>
      <c r="C272" t="s">
        <v>158</v>
      </c>
      <c r="D272" t="s">
        <v>115</v>
      </c>
      <c r="K272" t="s">
        <v>173</v>
      </c>
      <c r="L272" t="s">
        <v>117</v>
      </c>
      <c r="M272" t="s">
        <v>90</v>
      </c>
      <c r="N272" t="s">
        <v>118</v>
      </c>
      <c r="V272" t="s">
        <v>91</v>
      </c>
      <c r="W272" t="s">
        <v>92</v>
      </c>
      <c r="X272" t="s">
        <v>93</v>
      </c>
      <c r="Z272" t="s">
        <v>94</v>
      </c>
      <c r="AB272">
        <v>2.5999999999999999E-3</v>
      </c>
      <c r="AG272" t="s">
        <v>95</v>
      </c>
      <c r="AX272" t="s">
        <v>144</v>
      </c>
      <c r="AY272" t="s">
        <v>109</v>
      </c>
      <c r="AZ272" t="s">
        <v>422</v>
      </c>
      <c r="BA272" t="s">
        <v>179</v>
      </c>
      <c r="BB272" t="s">
        <v>234</v>
      </c>
      <c r="BC272">
        <v>0.16669999999999999</v>
      </c>
      <c r="BH272" t="s">
        <v>99</v>
      </c>
      <c r="BO272" t="s">
        <v>111</v>
      </c>
      <c r="CD272" t="s">
        <v>398</v>
      </c>
      <c r="CE272">
        <v>153836</v>
      </c>
      <c r="CF272" t="s">
        <v>399</v>
      </c>
      <c r="CG272" t="s">
        <v>400</v>
      </c>
      <c r="CH272">
        <v>2010</v>
      </c>
    </row>
    <row r="273" spans="1:86" hidden="1" x14ac:dyDescent="0.25">
      <c r="A273">
        <v>330541</v>
      </c>
      <c r="B273" t="s">
        <v>86</v>
      </c>
      <c r="D273" t="s">
        <v>115</v>
      </c>
      <c r="F273">
        <v>98</v>
      </c>
      <c r="K273" t="s">
        <v>446</v>
      </c>
      <c r="L273" t="s">
        <v>143</v>
      </c>
      <c r="M273" t="s">
        <v>90</v>
      </c>
      <c r="N273" t="s">
        <v>118</v>
      </c>
      <c r="P273">
        <v>6</v>
      </c>
      <c r="U273" t="s">
        <v>99</v>
      </c>
      <c r="V273" t="s">
        <v>91</v>
      </c>
      <c r="W273" t="s">
        <v>92</v>
      </c>
      <c r="X273" t="s">
        <v>93</v>
      </c>
      <c r="Z273" t="s">
        <v>94</v>
      </c>
      <c r="AB273" s="281">
        <v>0.03</v>
      </c>
      <c r="AG273" t="s">
        <v>95</v>
      </c>
      <c r="AX273" t="s">
        <v>108</v>
      </c>
      <c r="AY273" t="s">
        <v>160</v>
      </c>
      <c r="AZ273" t="s">
        <v>422</v>
      </c>
      <c r="BC273">
        <v>10</v>
      </c>
      <c r="BH273" t="s">
        <v>99</v>
      </c>
      <c r="BO273" t="s">
        <v>111</v>
      </c>
      <c r="CD273" t="s">
        <v>447</v>
      </c>
      <c r="CE273">
        <v>153873</v>
      </c>
      <c r="CF273" t="s">
        <v>448</v>
      </c>
      <c r="CG273" t="s">
        <v>449</v>
      </c>
      <c r="CH273">
        <v>2011</v>
      </c>
    </row>
    <row r="274" spans="1:86" hidden="1" x14ac:dyDescent="0.25">
      <c r="A274">
        <v>330541</v>
      </c>
      <c r="B274" t="s">
        <v>86</v>
      </c>
      <c r="C274" t="s">
        <v>158</v>
      </c>
      <c r="D274" t="s">
        <v>115</v>
      </c>
      <c r="K274" t="s">
        <v>408</v>
      </c>
      <c r="L274" t="s">
        <v>117</v>
      </c>
      <c r="M274" t="s">
        <v>90</v>
      </c>
      <c r="N274" t="s">
        <v>118</v>
      </c>
      <c r="V274" t="s">
        <v>91</v>
      </c>
      <c r="W274" t="s">
        <v>92</v>
      </c>
      <c r="X274" t="s">
        <v>93</v>
      </c>
      <c r="Z274" t="s">
        <v>94</v>
      </c>
      <c r="AB274">
        <v>4.4000000000000003E-3</v>
      </c>
      <c r="AG274" t="s">
        <v>95</v>
      </c>
      <c r="AX274" t="s">
        <v>144</v>
      </c>
      <c r="AY274" t="s">
        <v>109</v>
      </c>
      <c r="AZ274" t="s">
        <v>422</v>
      </c>
      <c r="BA274" t="s">
        <v>179</v>
      </c>
      <c r="BB274" t="s">
        <v>234</v>
      </c>
      <c r="BC274">
        <v>0.16669999999999999</v>
      </c>
      <c r="BH274" t="s">
        <v>99</v>
      </c>
      <c r="BO274" t="s">
        <v>111</v>
      </c>
      <c r="CD274" t="s">
        <v>398</v>
      </c>
      <c r="CE274">
        <v>153836</v>
      </c>
      <c r="CF274" t="s">
        <v>399</v>
      </c>
      <c r="CG274" t="s">
        <v>400</v>
      </c>
      <c r="CH274">
        <v>2010</v>
      </c>
    </row>
    <row r="275" spans="1:86" hidden="1" x14ac:dyDescent="0.25">
      <c r="A275">
        <v>330541</v>
      </c>
      <c r="B275" t="s">
        <v>86</v>
      </c>
      <c r="D275" t="s">
        <v>115</v>
      </c>
      <c r="K275" t="s">
        <v>450</v>
      </c>
      <c r="L275" t="s">
        <v>143</v>
      </c>
      <c r="M275" t="s">
        <v>90</v>
      </c>
      <c r="V275" t="s">
        <v>91</v>
      </c>
      <c r="W275" t="s">
        <v>92</v>
      </c>
      <c r="X275" t="s">
        <v>93</v>
      </c>
      <c r="Y275">
        <v>6</v>
      </c>
      <c r="Z275" t="s">
        <v>137</v>
      </c>
      <c r="AB275">
        <v>0.4</v>
      </c>
      <c r="AG275" t="s">
        <v>95</v>
      </c>
      <c r="AX275" t="s">
        <v>108</v>
      </c>
      <c r="AY275" t="s">
        <v>160</v>
      </c>
      <c r="AZ275" t="s">
        <v>422</v>
      </c>
      <c r="BC275">
        <v>12</v>
      </c>
      <c r="BH275" t="s">
        <v>99</v>
      </c>
      <c r="BO275" t="s">
        <v>111</v>
      </c>
      <c r="CD275" t="s">
        <v>451</v>
      </c>
      <c r="CE275">
        <v>102029</v>
      </c>
      <c r="CF275" t="s">
        <v>452</v>
      </c>
      <c r="CG275" t="s">
        <v>453</v>
      </c>
      <c r="CH275">
        <v>2002</v>
      </c>
    </row>
    <row r="276" spans="1:86" hidden="1" x14ac:dyDescent="0.25">
      <c r="A276">
        <v>330541</v>
      </c>
      <c r="B276" t="s">
        <v>86</v>
      </c>
      <c r="D276" t="s">
        <v>115</v>
      </c>
      <c r="K276" t="s">
        <v>450</v>
      </c>
      <c r="L276" t="s">
        <v>143</v>
      </c>
      <c r="M276" t="s">
        <v>90</v>
      </c>
      <c r="V276" t="s">
        <v>91</v>
      </c>
      <c r="W276" t="s">
        <v>92</v>
      </c>
      <c r="X276" t="s">
        <v>93</v>
      </c>
      <c r="Y276">
        <v>6</v>
      </c>
      <c r="Z276" t="s">
        <v>137</v>
      </c>
      <c r="AB276">
        <v>1</v>
      </c>
      <c r="AG276" t="s">
        <v>95</v>
      </c>
      <c r="AX276" t="s">
        <v>108</v>
      </c>
      <c r="AY276" t="s">
        <v>160</v>
      </c>
      <c r="AZ276" t="s">
        <v>422</v>
      </c>
      <c r="BC276">
        <v>12</v>
      </c>
      <c r="BH276" t="s">
        <v>99</v>
      </c>
      <c r="BO276" t="s">
        <v>111</v>
      </c>
      <c r="CD276" t="s">
        <v>451</v>
      </c>
      <c r="CE276">
        <v>102029</v>
      </c>
      <c r="CF276" t="s">
        <v>452</v>
      </c>
      <c r="CG276" t="s">
        <v>453</v>
      </c>
      <c r="CH276">
        <v>2002</v>
      </c>
    </row>
    <row r="277" spans="1:86" hidden="1" x14ac:dyDescent="0.25">
      <c r="A277">
        <v>330541</v>
      </c>
      <c r="B277" t="s">
        <v>86</v>
      </c>
      <c r="D277" t="s">
        <v>115</v>
      </c>
      <c r="K277" t="s">
        <v>421</v>
      </c>
      <c r="L277" t="s">
        <v>90</v>
      </c>
      <c r="M277" t="s">
        <v>90</v>
      </c>
      <c r="V277" t="s">
        <v>91</v>
      </c>
      <c r="W277" t="s">
        <v>107</v>
      </c>
      <c r="X277" t="s">
        <v>93</v>
      </c>
      <c r="Z277" t="s">
        <v>137</v>
      </c>
      <c r="AB277">
        <v>6.9929160000000001E-3</v>
      </c>
      <c r="AG277" t="s">
        <v>95</v>
      </c>
      <c r="AX277" t="s">
        <v>144</v>
      </c>
      <c r="AY277" t="s">
        <v>109</v>
      </c>
      <c r="AZ277" t="s">
        <v>422</v>
      </c>
      <c r="BC277">
        <v>1</v>
      </c>
      <c r="BH277" t="s">
        <v>99</v>
      </c>
      <c r="BO277" t="s">
        <v>111</v>
      </c>
      <c r="CD277" t="s">
        <v>423</v>
      </c>
      <c r="CE277">
        <v>15868</v>
      </c>
      <c r="CF277" t="s">
        <v>424</v>
      </c>
      <c r="CG277" t="s">
        <v>425</v>
      </c>
      <c r="CH277">
        <v>1976</v>
      </c>
    </row>
    <row r="278" spans="1:86" hidden="1" x14ac:dyDescent="0.25">
      <c r="A278">
        <v>330541</v>
      </c>
      <c r="B278" t="s">
        <v>86</v>
      </c>
      <c r="C278" t="s">
        <v>158</v>
      </c>
      <c r="D278" t="s">
        <v>115</v>
      </c>
      <c r="K278" t="s">
        <v>159</v>
      </c>
      <c r="L278" t="s">
        <v>90</v>
      </c>
      <c r="M278" t="s">
        <v>90</v>
      </c>
      <c r="N278" t="s">
        <v>118</v>
      </c>
      <c r="V278" t="s">
        <v>91</v>
      </c>
      <c r="W278" t="s">
        <v>92</v>
      </c>
      <c r="X278" t="s">
        <v>93</v>
      </c>
      <c r="Z278" t="s">
        <v>94</v>
      </c>
      <c r="AB278">
        <v>2.0600000000000002E-3</v>
      </c>
      <c r="AG278" t="s">
        <v>95</v>
      </c>
      <c r="AX278" t="s">
        <v>144</v>
      </c>
      <c r="AY278" t="s">
        <v>109</v>
      </c>
      <c r="AZ278" t="s">
        <v>422</v>
      </c>
      <c r="BA278" t="s">
        <v>179</v>
      </c>
      <c r="BB278" t="s">
        <v>234</v>
      </c>
      <c r="BC278">
        <v>0.16669999999999999</v>
      </c>
      <c r="BH278" t="s">
        <v>99</v>
      </c>
      <c r="BO278" t="s">
        <v>111</v>
      </c>
      <c r="CD278" t="s">
        <v>398</v>
      </c>
      <c r="CE278">
        <v>153836</v>
      </c>
      <c r="CF278" t="s">
        <v>399</v>
      </c>
      <c r="CG278" t="s">
        <v>400</v>
      </c>
      <c r="CH278">
        <v>2010</v>
      </c>
    </row>
    <row r="279" spans="1:86" hidden="1" x14ac:dyDescent="0.25">
      <c r="A279">
        <v>330541</v>
      </c>
      <c r="B279" t="s">
        <v>86</v>
      </c>
      <c r="D279" t="s">
        <v>87</v>
      </c>
      <c r="E279" t="s">
        <v>106</v>
      </c>
      <c r="F279">
        <v>95</v>
      </c>
      <c r="K279" t="s">
        <v>391</v>
      </c>
      <c r="L279" t="s">
        <v>178</v>
      </c>
      <c r="M279" t="s">
        <v>90</v>
      </c>
      <c r="V279" t="s">
        <v>91</v>
      </c>
      <c r="W279" t="s">
        <v>107</v>
      </c>
      <c r="X279" t="s">
        <v>93</v>
      </c>
      <c r="Y279">
        <v>15</v>
      </c>
      <c r="Z279" t="s">
        <v>94</v>
      </c>
      <c r="AB279">
        <v>9.5E-4</v>
      </c>
      <c r="AD279">
        <v>9.2000000000000003E-4</v>
      </c>
      <c r="AF279">
        <v>9.8999999999999999E-4</v>
      </c>
      <c r="AG279" t="s">
        <v>95</v>
      </c>
      <c r="AX279" t="s">
        <v>144</v>
      </c>
      <c r="AY279" t="s">
        <v>109</v>
      </c>
      <c r="AZ279" t="s">
        <v>422</v>
      </c>
      <c r="BC279">
        <v>1</v>
      </c>
      <c r="BH279" t="s">
        <v>99</v>
      </c>
      <c r="BO279" t="s">
        <v>111</v>
      </c>
      <c r="CD279" t="s">
        <v>388</v>
      </c>
      <c r="CE279">
        <v>178673</v>
      </c>
      <c r="CF279" t="s">
        <v>389</v>
      </c>
      <c r="CG279" t="s">
        <v>390</v>
      </c>
      <c r="CH279">
        <v>2018</v>
      </c>
    </row>
    <row r="280" spans="1:86" hidden="1" x14ac:dyDescent="0.25">
      <c r="A280">
        <v>330541</v>
      </c>
      <c r="B280" t="s">
        <v>86</v>
      </c>
      <c r="D280" t="s">
        <v>115</v>
      </c>
      <c r="F280">
        <v>98</v>
      </c>
      <c r="K280" t="s">
        <v>391</v>
      </c>
      <c r="L280" t="s">
        <v>178</v>
      </c>
      <c r="M280" t="s">
        <v>90</v>
      </c>
      <c r="V280" t="s">
        <v>91</v>
      </c>
      <c r="W280" t="s">
        <v>107</v>
      </c>
      <c r="X280" t="s">
        <v>93</v>
      </c>
      <c r="Y280">
        <v>7</v>
      </c>
      <c r="Z280" t="s">
        <v>94</v>
      </c>
      <c r="AB280">
        <v>2.8999999999999998E-3</v>
      </c>
      <c r="AG280" t="s">
        <v>95</v>
      </c>
      <c r="AX280" t="s">
        <v>144</v>
      </c>
      <c r="AY280" t="s">
        <v>109</v>
      </c>
      <c r="AZ280" t="s">
        <v>422</v>
      </c>
      <c r="BA280" t="s">
        <v>179</v>
      </c>
      <c r="BC280">
        <v>1</v>
      </c>
      <c r="BH280" t="s">
        <v>99</v>
      </c>
      <c r="BO280" t="s">
        <v>111</v>
      </c>
      <c r="CD280" t="s">
        <v>392</v>
      </c>
      <c r="CE280">
        <v>153835</v>
      </c>
      <c r="CF280" t="s">
        <v>393</v>
      </c>
      <c r="CG280" t="s">
        <v>394</v>
      </c>
      <c r="CH280">
        <v>2011</v>
      </c>
    </row>
    <row r="281" spans="1:86" hidden="1" x14ac:dyDescent="0.25">
      <c r="A281">
        <v>330541</v>
      </c>
      <c r="B281" t="s">
        <v>86</v>
      </c>
      <c r="D281" t="s">
        <v>87</v>
      </c>
      <c r="E281" t="s">
        <v>106</v>
      </c>
      <c r="F281">
        <v>98</v>
      </c>
      <c r="K281" t="s">
        <v>404</v>
      </c>
      <c r="L281" t="s">
        <v>117</v>
      </c>
      <c r="M281" t="s">
        <v>90</v>
      </c>
      <c r="N281" t="s">
        <v>118</v>
      </c>
      <c r="V281" t="s">
        <v>91</v>
      </c>
      <c r="W281" t="s">
        <v>107</v>
      </c>
      <c r="X281" t="s">
        <v>93</v>
      </c>
      <c r="Y281" t="s">
        <v>381</v>
      </c>
      <c r="Z281" t="s">
        <v>94</v>
      </c>
      <c r="AB281" s="281">
        <v>1.7000000000000001E-2</v>
      </c>
      <c r="AG281" t="s">
        <v>95</v>
      </c>
      <c r="AX281" t="s">
        <v>108</v>
      </c>
      <c r="AY281" t="s">
        <v>160</v>
      </c>
      <c r="AZ281" t="s">
        <v>422</v>
      </c>
      <c r="BC281">
        <v>3</v>
      </c>
      <c r="BH281" t="s">
        <v>99</v>
      </c>
      <c r="BO281" t="s">
        <v>111</v>
      </c>
      <c r="CD281" t="s">
        <v>328</v>
      </c>
      <c r="CE281">
        <v>110086</v>
      </c>
      <c r="CF281" t="s">
        <v>329</v>
      </c>
      <c r="CG281" t="s">
        <v>330</v>
      </c>
      <c r="CH281">
        <v>2008</v>
      </c>
    </row>
    <row r="282" spans="1:86" hidden="1" x14ac:dyDescent="0.25">
      <c r="A282">
        <v>330541</v>
      </c>
      <c r="B282" t="s">
        <v>86</v>
      </c>
      <c r="D282" t="s">
        <v>115</v>
      </c>
      <c r="K282" t="s">
        <v>432</v>
      </c>
      <c r="L282" t="s">
        <v>433</v>
      </c>
      <c r="M282" t="s">
        <v>90</v>
      </c>
      <c r="V282" t="s">
        <v>91</v>
      </c>
      <c r="W282" t="s">
        <v>92</v>
      </c>
      <c r="X282" t="s">
        <v>93</v>
      </c>
      <c r="Z282" t="s">
        <v>137</v>
      </c>
      <c r="AB282"/>
      <c r="AC282" t="s">
        <v>106</v>
      </c>
      <c r="AD282">
        <v>23.309719999999999</v>
      </c>
      <c r="AE282" t="s">
        <v>234</v>
      </c>
      <c r="AF282">
        <v>233.09719999999999</v>
      </c>
      <c r="AG282" t="s">
        <v>95</v>
      </c>
      <c r="AX282" t="s">
        <v>108</v>
      </c>
      <c r="AY282" t="s">
        <v>109</v>
      </c>
      <c r="AZ282" t="s">
        <v>422</v>
      </c>
      <c r="BC282">
        <v>7</v>
      </c>
      <c r="BH282" t="s">
        <v>99</v>
      </c>
      <c r="BO282" t="s">
        <v>111</v>
      </c>
      <c r="CD282" t="s">
        <v>435</v>
      </c>
      <c r="CE282">
        <v>102056</v>
      </c>
      <c r="CF282" t="s">
        <v>436</v>
      </c>
      <c r="CG282" t="s">
        <v>437</v>
      </c>
      <c r="CH282">
        <v>1996</v>
      </c>
    </row>
    <row r="283" spans="1:86" hidden="1" x14ac:dyDescent="0.25">
      <c r="A283">
        <v>330541</v>
      </c>
      <c r="B283" t="s">
        <v>86</v>
      </c>
      <c r="D283" t="s">
        <v>115</v>
      </c>
      <c r="K283" t="s">
        <v>432</v>
      </c>
      <c r="L283" t="s">
        <v>433</v>
      </c>
      <c r="M283" t="s">
        <v>90</v>
      </c>
      <c r="V283" t="s">
        <v>91</v>
      </c>
      <c r="W283" t="s">
        <v>92</v>
      </c>
      <c r="X283" t="s">
        <v>93</v>
      </c>
      <c r="Z283" t="s">
        <v>137</v>
      </c>
      <c r="AB283"/>
      <c r="AC283" t="s">
        <v>106</v>
      </c>
      <c r="AD283">
        <v>23.309719999999999</v>
      </c>
      <c r="AE283" t="s">
        <v>234</v>
      </c>
      <c r="AF283">
        <v>233.09719999999999</v>
      </c>
      <c r="AG283" t="s">
        <v>95</v>
      </c>
      <c r="AX283" t="s">
        <v>108</v>
      </c>
      <c r="AY283" t="s">
        <v>109</v>
      </c>
      <c r="AZ283" t="s">
        <v>422</v>
      </c>
      <c r="BC283">
        <v>4</v>
      </c>
      <c r="BH283" t="s">
        <v>99</v>
      </c>
      <c r="BO283" t="s">
        <v>111</v>
      </c>
      <c r="CD283" t="s">
        <v>435</v>
      </c>
      <c r="CE283">
        <v>102056</v>
      </c>
      <c r="CF283" t="s">
        <v>436</v>
      </c>
      <c r="CG283" t="s">
        <v>437</v>
      </c>
      <c r="CH283">
        <v>1996</v>
      </c>
    </row>
    <row r="284" spans="1:86" hidden="1" x14ac:dyDescent="0.25">
      <c r="A284">
        <v>330541</v>
      </c>
      <c r="B284" t="s">
        <v>86</v>
      </c>
      <c r="D284" t="s">
        <v>115</v>
      </c>
      <c r="K284" t="s">
        <v>432</v>
      </c>
      <c r="L284" t="s">
        <v>433</v>
      </c>
      <c r="M284" t="s">
        <v>90</v>
      </c>
      <c r="V284" t="s">
        <v>91</v>
      </c>
      <c r="W284" t="s">
        <v>92</v>
      </c>
      <c r="X284" t="s">
        <v>93</v>
      </c>
      <c r="Z284" t="s">
        <v>137</v>
      </c>
      <c r="AB284"/>
      <c r="AC284" t="s">
        <v>106</v>
      </c>
      <c r="AD284">
        <v>23.309719999999999</v>
      </c>
      <c r="AE284" t="s">
        <v>234</v>
      </c>
      <c r="AF284">
        <v>233.09719999999999</v>
      </c>
      <c r="AG284" t="s">
        <v>95</v>
      </c>
      <c r="AX284" t="s">
        <v>108</v>
      </c>
      <c r="AY284" t="s">
        <v>109</v>
      </c>
      <c r="AZ284" t="s">
        <v>422</v>
      </c>
      <c r="BC284">
        <v>2</v>
      </c>
      <c r="BH284" t="s">
        <v>99</v>
      </c>
      <c r="BO284" t="s">
        <v>111</v>
      </c>
      <c r="CD284" t="s">
        <v>435</v>
      </c>
      <c r="CE284">
        <v>102056</v>
      </c>
      <c r="CF284" t="s">
        <v>436</v>
      </c>
      <c r="CG284" t="s">
        <v>437</v>
      </c>
      <c r="CH284">
        <v>1996</v>
      </c>
    </row>
    <row r="285" spans="1:86" hidden="1" x14ac:dyDescent="0.25">
      <c r="A285">
        <v>330541</v>
      </c>
      <c r="B285" t="s">
        <v>86</v>
      </c>
      <c r="D285" t="s">
        <v>115</v>
      </c>
      <c r="K285" t="s">
        <v>432</v>
      </c>
      <c r="L285" t="s">
        <v>433</v>
      </c>
      <c r="M285" t="s">
        <v>90</v>
      </c>
      <c r="V285" t="s">
        <v>91</v>
      </c>
      <c r="W285" t="s">
        <v>92</v>
      </c>
      <c r="X285" t="s">
        <v>93</v>
      </c>
      <c r="Z285" t="s">
        <v>137</v>
      </c>
      <c r="AB285"/>
      <c r="AC285" t="s">
        <v>106</v>
      </c>
      <c r="AD285">
        <v>23.309719999999999</v>
      </c>
      <c r="AE285" t="s">
        <v>234</v>
      </c>
      <c r="AF285">
        <v>233.09719999999999</v>
      </c>
      <c r="AG285" t="s">
        <v>95</v>
      </c>
      <c r="AX285" t="s">
        <v>108</v>
      </c>
      <c r="AY285" t="s">
        <v>109</v>
      </c>
      <c r="AZ285" t="s">
        <v>422</v>
      </c>
      <c r="BC285">
        <v>3</v>
      </c>
      <c r="BH285" t="s">
        <v>99</v>
      </c>
      <c r="BO285" t="s">
        <v>111</v>
      </c>
      <c r="CD285" t="s">
        <v>435</v>
      </c>
      <c r="CE285">
        <v>102056</v>
      </c>
      <c r="CF285" t="s">
        <v>436</v>
      </c>
      <c r="CG285" t="s">
        <v>437</v>
      </c>
      <c r="CH285">
        <v>1996</v>
      </c>
    </row>
    <row r="286" spans="1:86" hidden="1" x14ac:dyDescent="0.25">
      <c r="A286">
        <v>330541</v>
      </c>
      <c r="B286" t="s">
        <v>86</v>
      </c>
      <c r="D286" t="s">
        <v>115</v>
      </c>
      <c r="K286" t="s">
        <v>432</v>
      </c>
      <c r="L286" t="s">
        <v>433</v>
      </c>
      <c r="M286" t="s">
        <v>90</v>
      </c>
      <c r="V286" t="s">
        <v>91</v>
      </c>
      <c r="W286" t="s">
        <v>92</v>
      </c>
      <c r="X286" t="s">
        <v>93</v>
      </c>
      <c r="Z286" t="s">
        <v>137</v>
      </c>
      <c r="AB286"/>
      <c r="AC286" t="s">
        <v>106</v>
      </c>
      <c r="AD286">
        <v>2.330972</v>
      </c>
      <c r="AE286" t="s">
        <v>234</v>
      </c>
      <c r="AF286">
        <v>23.309719999999999</v>
      </c>
      <c r="AG286" t="s">
        <v>95</v>
      </c>
      <c r="AX286" t="s">
        <v>108</v>
      </c>
      <c r="AY286" t="s">
        <v>109</v>
      </c>
      <c r="AZ286" t="s">
        <v>422</v>
      </c>
      <c r="BC286">
        <v>1</v>
      </c>
      <c r="BH286" t="s">
        <v>99</v>
      </c>
      <c r="BO286" t="s">
        <v>111</v>
      </c>
      <c r="CD286" t="s">
        <v>435</v>
      </c>
      <c r="CE286">
        <v>102056</v>
      </c>
      <c r="CF286" t="s">
        <v>436</v>
      </c>
      <c r="CG286" t="s">
        <v>437</v>
      </c>
      <c r="CH286">
        <v>1996</v>
      </c>
    </row>
    <row r="287" spans="1:86" hidden="1" x14ac:dyDescent="0.25">
      <c r="A287">
        <v>330541</v>
      </c>
      <c r="B287" t="s">
        <v>86</v>
      </c>
      <c r="D287" t="s">
        <v>115</v>
      </c>
      <c r="K287" t="s">
        <v>432</v>
      </c>
      <c r="L287" t="s">
        <v>433</v>
      </c>
      <c r="M287" t="s">
        <v>90</v>
      </c>
      <c r="V287" t="s">
        <v>91</v>
      </c>
      <c r="W287" t="s">
        <v>92</v>
      </c>
      <c r="X287" t="s">
        <v>93</v>
      </c>
      <c r="Z287" t="s">
        <v>137</v>
      </c>
      <c r="AB287"/>
      <c r="AC287" t="s">
        <v>106</v>
      </c>
      <c r="AD287">
        <v>23.309719999999999</v>
      </c>
      <c r="AE287" t="s">
        <v>234</v>
      </c>
      <c r="AF287">
        <v>233.09719999999999</v>
      </c>
      <c r="AG287" t="s">
        <v>95</v>
      </c>
      <c r="AX287" t="s">
        <v>108</v>
      </c>
      <c r="AY287" t="s">
        <v>109</v>
      </c>
      <c r="AZ287" t="s">
        <v>422</v>
      </c>
      <c r="BC287">
        <v>7</v>
      </c>
      <c r="BH287" t="s">
        <v>99</v>
      </c>
      <c r="BO287" t="s">
        <v>111</v>
      </c>
      <c r="CD287" t="s">
        <v>435</v>
      </c>
      <c r="CE287">
        <v>102056</v>
      </c>
      <c r="CF287" t="s">
        <v>436</v>
      </c>
      <c r="CG287" t="s">
        <v>437</v>
      </c>
      <c r="CH287">
        <v>1996</v>
      </c>
    </row>
    <row r="288" spans="1:86" hidden="1" x14ac:dyDescent="0.25">
      <c r="A288">
        <v>330541</v>
      </c>
      <c r="B288" t="s">
        <v>86</v>
      </c>
      <c r="D288" t="s">
        <v>115</v>
      </c>
      <c r="K288" t="s">
        <v>432</v>
      </c>
      <c r="L288" t="s">
        <v>433</v>
      </c>
      <c r="M288" t="s">
        <v>90</v>
      </c>
      <c r="V288" t="s">
        <v>91</v>
      </c>
      <c r="W288" t="s">
        <v>92</v>
      </c>
      <c r="X288" t="s">
        <v>93</v>
      </c>
      <c r="Z288" t="s">
        <v>137</v>
      </c>
      <c r="AB288"/>
      <c r="AC288" t="s">
        <v>106</v>
      </c>
      <c r="AD288">
        <v>23.309719999999999</v>
      </c>
      <c r="AE288" t="s">
        <v>234</v>
      </c>
      <c r="AF288">
        <v>233.09719999999999</v>
      </c>
      <c r="AG288" t="s">
        <v>95</v>
      </c>
      <c r="AX288" t="s">
        <v>108</v>
      </c>
      <c r="AY288" t="s">
        <v>109</v>
      </c>
      <c r="AZ288" t="s">
        <v>422</v>
      </c>
      <c r="BC288">
        <v>3</v>
      </c>
      <c r="BH288" t="s">
        <v>99</v>
      </c>
      <c r="BO288" t="s">
        <v>111</v>
      </c>
      <c r="CD288" t="s">
        <v>435</v>
      </c>
      <c r="CE288">
        <v>102056</v>
      </c>
      <c r="CF288" t="s">
        <v>436</v>
      </c>
      <c r="CG288" t="s">
        <v>437</v>
      </c>
      <c r="CH288">
        <v>1996</v>
      </c>
    </row>
    <row r="289" spans="1:86" hidden="1" x14ac:dyDescent="0.25">
      <c r="A289">
        <v>330541</v>
      </c>
      <c r="B289" t="s">
        <v>86</v>
      </c>
      <c r="D289" t="s">
        <v>115</v>
      </c>
      <c r="K289" t="s">
        <v>432</v>
      </c>
      <c r="L289" t="s">
        <v>433</v>
      </c>
      <c r="M289" t="s">
        <v>90</v>
      </c>
      <c r="V289" t="s">
        <v>91</v>
      </c>
      <c r="W289" t="s">
        <v>92</v>
      </c>
      <c r="X289" t="s">
        <v>93</v>
      </c>
      <c r="Z289" t="s">
        <v>137</v>
      </c>
      <c r="AB289"/>
      <c r="AC289" t="s">
        <v>106</v>
      </c>
      <c r="AD289">
        <v>23.309719999999999</v>
      </c>
      <c r="AE289" t="s">
        <v>234</v>
      </c>
      <c r="AF289">
        <v>233.09719999999999</v>
      </c>
      <c r="AG289" t="s">
        <v>95</v>
      </c>
      <c r="AX289" t="s">
        <v>108</v>
      </c>
      <c r="AY289" t="s">
        <v>109</v>
      </c>
      <c r="AZ289" t="s">
        <v>422</v>
      </c>
      <c r="BC289">
        <v>2</v>
      </c>
      <c r="BH289" t="s">
        <v>99</v>
      </c>
      <c r="BO289" t="s">
        <v>111</v>
      </c>
      <c r="CD289" t="s">
        <v>435</v>
      </c>
      <c r="CE289">
        <v>102056</v>
      </c>
      <c r="CF289" t="s">
        <v>436</v>
      </c>
      <c r="CG289" t="s">
        <v>437</v>
      </c>
      <c r="CH289">
        <v>1996</v>
      </c>
    </row>
    <row r="290" spans="1:86" hidden="1" x14ac:dyDescent="0.25">
      <c r="A290">
        <v>330541</v>
      </c>
      <c r="B290" t="s">
        <v>86</v>
      </c>
      <c r="D290" t="s">
        <v>115</v>
      </c>
      <c r="K290" t="s">
        <v>432</v>
      </c>
      <c r="L290" t="s">
        <v>433</v>
      </c>
      <c r="M290" t="s">
        <v>90</v>
      </c>
      <c r="V290" t="s">
        <v>91</v>
      </c>
      <c r="W290" t="s">
        <v>92</v>
      </c>
      <c r="X290" t="s">
        <v>93</v>
      </c>
      <c r="Z290" t="s">
        <v>137</v>
      </c>
      <c r="AB290"/>
      <c r="AC290" t="s">
        <v>106</v>
      </c>
      <c r="AD290">
        <v>23.309719999999999</v>
      </c>
      <c r="AE290" t="s">
        <v>234</v>
      </c>
      <c r="AF290">
        <v>233.09719999999999</v>
      </c>
      <c r="AG290" t="s">
        <v>95</v>
      </c>
      <c r="AX290" t="s">
        <v>108</v>
      </c>
      <c r="AY290" t="s">
        <v>109</v>
      </c>
      <c r="AZ290" t="s">
        <v>422</v>
      </c>
      <c r="BC290">
        <v>4</v>
      </c>
      <c r="BH290" t="s">
        <v>99</v>
      </c>
      <c r="BO290" t="s">
        <v>111</v>
      </c>
      <c r="CD290" t="s">
        <v>435</v>
      </c>
      <c r="CE290">
        <v>102056</v>
      </c>
      <c r="CF290" t="s">
        <v>436</v>
      </c>
      <c r="CG290" t="s">
        <v>437</v>
      </c>
      <c r="CH290">
        <v>1996</v>
      </c>
    </row>
    <row r="291" spans="1:86" hidden="1" x14ac:dyDescent="0.25">
      <c r="A291">
        <v>330541</v>
      </c>
      <c r="B291" t="s">
        <v>86</v>
      </c>
      <c r="D291" t="s">
        <v>115</v>
      </c>
      <c r="K291" t="s">
        <v>239</v>
      </c>
      <c r="L291" t="s">
        <v>89</v>
      </c>
      <c r="M291" t="s">
        <v>90</v>
      </c>
      <c r="N291" t="s">
        <v>118</v>
      </c>
      <c r="V291" t="s">
        <v>91</v>
      </c>
      <c r="W291" t="s">
        <v>92</v>
      </c>
      <c r="X291" t="s">
        <v>93</v>
      </c>
      <c r="Y291">
        <v>5</v>
      </c>
      <c r="Z291" t="s">
        <v>137</v>
      </c>
      <c r="AB291">
        <v>0.01</v>
      </c>
      <c r="AG291" t="s">
        <v>95</v>
      </c>
      <c r="AX291" t="s">
        <v>108</v>
      </c>
      <c r="AY291" t="s">
        <v>160</v>
      </c>
      <c r="AZ291" t="s">
        <v>422</v>
      </c>
      <c r="BC291">
        <v>1</v>
      </c>
      <c r="BH291" t="s">
        <v>99</v>
      </c>
      <c r="BO291" t="s">
        <v>111</v>
      </c>
      <c r="CD291" t="s">
        <v>405</v>
      </c>
      <c r="CE291">
        <v>101986</v>
      </c>
      <c r="CF291" t="s">
        <v>406</v>
      </c>
      <c r="CG291" t="s">
        <v>407</v>
      </c>
      <c r="CH291">
        <v>2002</v>
      </c>
    </row>
    <row r="292" spans="1:86" hidden="1" x14ac:dyDescent="0.25">
      <c r="A292">
        <v>330541</v>
      </c>
      <c r="B292" t="s">
        <v>86</v>
      </c>
      <c r="D292" t="s">
        <v>115</v>
      </c>
      <c r="K292" t="s">
        <v>432</v>
      </c>
      <c r="L292" t="s">
        <v>433</v>
      </c>
      <c r="M292" t="s">
        <v>90</v>
      </c>
      <c r="V292" t="s">
        <v>91</v>
      </c>
      <c r="W292" t="s">
        <v>92</v>
      </c>
      <c r="X292" t="s">
        <v>93</v>
      </c>
      <c r="Z292" t="s">
        <v>137</v>
      </c>
      <c r="AB292"/>
      <c r="AC292" t="s">
        <v>106</v>
      </c>
      <c r="AD292">
        <v>23.309719999999999</v>
      </c>
      <c r="AE292" t="s">
        <v>234</v>
      </c>
      <c r="AF292">
        <v>233.09719999999999</v>
      </c>
      <c r="AG292" t="s">
        <v>95</v>
      </c>
      <c r="AX292" t="s">
        <v>108</v>
      </c>
      <c r="AY292" t="s">
        <v>109</v>
      </c>
      <c r="AZ292" t="s">
        <v>422</v>
      </c>
      <c r="BC292">
        <v>4</v>
      </c>
      <c r="BH292" t="s">
        <v>99</v>
      </c>
      <c r="BO292" t="s">
        <v>111</v>
      </c>
      <c r="CD292" t="s">
        <v>435</v>
      </c>
      <c r="CE292">
        <v>102056</v>
      </c>
      <c r="CF292" t="s">
        <v>436</v>
      </c>
      <c r="CG292" t="s">
        <v>437</v>
      </c>
      <c r="CH292">
        <v>1996</v>
      </c>
    </row>
    <row r="293" spans="1:86" hidden="1" x14ac:dyDescent="0.25">
      <c r="A293">
        <v>330541</v>
      </c>
      <c r="B293" t="s">
        <v>86</v>
      </c>
      <c r="D293" t="s">
        <v>115</v>
      </c>
      <c r="K293" t="s">
        <v>432</v>
      </c>
      <c r="L293" t="s">
        <v>433</v>
      </c>
      <c r="M293" t="s">
        <v>90</v>
      </c>
      <c r="V293" t="s">
        <v>91</v>
      </c>
      <c r="W293" t="s">
        <v>92</v>
      </c>
      <c r="X293" t="s">
        <v>93</v>
      </c>
      <c r="Z293" t="s">
        <v>137</v>
      </c>
      <c r="AB293"/>
      <c r="AC293" t="s">
        <v>106</v>
      </c>
      <c r="AD293">
        <v>23.309719999999999</v>
      </c>
      <c r="AE293" t="s">
        <v>234</v>
      </c>
      <c r="AF293">
        <v>233.09719999999999</v>
      </c>
      <c r="AG293" t="s">
        <v>95</v>
      </c>
      <c r="AX293" t="s">
        <v>108</v>
      </c>
      <c r="AY293" t="s">
        <v>109</v>
      </c>
      <c r="AZ293" t="s">
        <v>422</v>
      </c>
      <c r="BC293">
        <v>7</v>
      </c>
      <c r="BH293" t="s">
        <v>99</v>
      </c>
      <c r="BO293" t="s">
        <v>111</v>
      </c>
      <c r="CD293" t="s">
        <v>435</v>
      </c>
      <c r="CE293">
        <v>102056</v>
      </c>
      <c r="CF293" t="s">
        <v>436</v>
      </c>
      <c r="CG293" t="s">
        <v>437</v>
      </c>
      <c r="CH293">
        <v>1996</v>
      </c>
    </row>
    <row r="294" spans="1:86" hidden="1" x14ac:dyDescent="0.25">
      <c r="A294">
        <v>330541</v>
      </c>
      <c r="B294" t="s">
        <v>86</v>
      </c>
      <c r="D294" t="s">
        <v>115</v>
      </c>
      <c r="K294" t="s">
        <v>432</v>
      </c>
      <c r="L294" t="s">
        <v>433</v>
      </c>
      <c r="M294" t="s">
        <v>90</v>
      </c>
      <c r="V294" t="s">
        <v>91</v>
      </c>
      <c r="W294" t="s">
        <v>92</v>
      </c>
      <c r="X294" t="s">
        <v>93</v>
      </c>
      <c r="Z294" t="s">
        <v>137</v>
      </c>
      <c r="AB294"/>
      <c r="AC294" t="s">
        <v>106</v>
      </c>
      <c r="AD294">
        <v>23.309719999999999</v>
      </c>
      <c r="AE294" t="s">
        <v>234</v>
      </c>
      <c r="AF294">
        <v>233.09719999999999</v>
      </c>
      <c r="AG294" t="s">
        <v>95</v>
      </c>
      <c r="AX294" t="s">
        <v>108</v>
      </c>
      <c r="AY294" t="s">
        <v>109</v>
      </c>
      <c r="AZ294" t="s">
        <v>422</v>
      </c>
      <c r="BC294">
        <v>2</v>
      </c>
      <c r="BH294" t="s">
        <v>99</v>
      </c>
      <c r="BO294" t="s">
        <v>111</v>
      </c>
      <c r="CD294" t="s">
        <v>435</v>
      </c>
      <c r="CE294">
        <v>102056</v>
      </c>
      <c r="CF294" t="s">
        <v>436</v>
      </c>
      <c r="CG294" t="s">
        <v>437</v>
      </c>
      <c r="CH294">
        <v>1996</v>
      </c>
    </row>
    <row r="295" spans="1:86" hidden="1" x14ac:dyDescent="0.25">
      <c r="A295">
        <v>330541</v>
      </c>
      <c r="B295" t="s">
        <v>86</v>
      </c>
      <c r="D295" t="s">
        <v>115</v>
      </c>
      <c r="K295" t="s">
        <v>432</v>
      </c>
      <c r="L295" t="s">
        <v>433</v>
      </c>
      <c r="M295" t="s">
        <v>90</v>
      </c>
      <c r="V295" t="s">
        <v>91</v>
      </c>
      <c r="W295" t="s">
        <v>92</v>
      </c>
      <c r="X295" t="s">
        <v>93</v>
      </c>
      <c r="Z295" t="s">
        <v>137</v>
      </c>
      <c r="AB295"/>
      <c r="AC295" t="s">
        <v>106</v>
      </c>
      <c r="AD295">
        <v>2.330972</v>
      </c>
      <c r="AE295" t="s">
        <v>234</v>
      </c>
      <c r="AF295">
        <v>23.309719999999999</v>
      </c>
      <c r="AG295" t="s">
        <v>95</v>
      </c>
      <c r="AX295" t="s">
        <v>108</v>
      </c>
      <c r="AY295" t="s">
        <v>109</v>
      </c>
      <c r="AZ295" t="s">
        <v>422</v>
      </c>
      <c r="BC295">
        <v>1</v>
      </c>
      <c r="BH295" t="s">
        <v>99</v>
      </c>
      <c r="BO295" t="s">
        <v>111</v>
      </c>
      <c r="CD295" t="s">
        <v>435</v>
      </c>
      <c r="CE295">
        <v>102056</v>
      </c>
      <c r="CF295" t="s">
        <v>436</v>
      </c>
      <c r="CG295" t="s">
        <v>437</v>
      </c>
      <c r="CH295">
        <v>1996</v>
      </c>
    </row>
    <row r="296" spans="1:86" hidden="1" x14ac:dyDescent="0.25">
      <c r="A296">
        <v>330541</v>
      </c>
      <c r="B296" t="s">
        <v>86</v>
      </c>
      <c r="D296" t="s">
        <v>115</v>
      </c>
      <c r="K296" t="s">
        <v>432</v>
      </c>
      <c r="L296" t="s">
        <v>433</v>
      </c>
      <c r="M296" t="s">
        <v>90</v>
      </c>
      <c r="V296" t="s">
        <v>91</v>
      </c>
      <c r="W296" t="s">
        <v>92</v>
      </c>
      <c r="X296" t="s">
        <v>93</v>
      </c>
      <c r="Z296" t="s">
        <v>137</v>
      </c>
      <c r="AB296"/>
      <c r="AC296" t="s">
        <v>106</v>
      </c>
      <c r="AD296">
        <v>23.309719999999999</v>
      </c>
      <c r="AE296" t="s">
        <v>234</v>
      </c>
      <c r="AF296">
        <v>233.09719999999999</v>
      </c>
      <c r="AG296" t="s">
        <v>95</v>
      </c>
      <c r="AX296" t="s">
        <v>108</v>
      </c>
      <c r="AY296" t="s">
        <v>109</v>
      </c>
      <c r="AZ296" t="s">
        <v>422</v>
      </c>
      <c r="BC296">
        <v>3</v>
      </c>
      <c r="BH296" t="s">
        <v>99</v>
      </c>
      <c r="BO296" t="s">
        <v>111</v>
      </c>
      <c r="CD296" t="s">
        <v>435</v>
      </c>
      <c r="CE296">
        <v>102056</v>
      </c>
      <c r="CF296" t="s">
        <v>436</v>
      </c>
      <c r="CG296" t="s">
        <v>437</v>
      </c>
      <c r="CH296">
        <v>1996</v>
      </c>
    </row>
    <row r="297" spans="1:86" hidden="1" x14ac:dyDescent="0.25">
      <c r="A297">
        <v>330541</v>
      </c>
      <c r="B297" t="s">
        <v>86</v>
      </c>
      <c r="D297" t="s">
        <v>115</v>
      </c>
      <c r="K297" t="s">
        <v>454</v>
      </c>
      <c r="L297" t="s">
        <v>143</v>
      </c>
      <c r="M297" t="s">
        <v>90</v>
      </c>
      <c r="W297" t="s">
        <v>92</v>
      </c>
      <c r="X297" t="s">
        <v>93</v>
      </c>
      <c r="Z297" t="s">
        <v>137</v>
      </c>
      <c r="AB297">
        <v>4.6619439999999999E-4</v>
      </c>
      <c r="AG297" t="s">
        <v>95</v>
      </c>
      <c r="AX297" t="s">
        <v>144</v>
      </c>
      <c r="AY297" t="s">
        <v>455</v>
      </c>
      <c r="AZ297" t="s">
        <v>422</v>
      </c>
      <c r="BC297">
        <v>5</v>
      </c>
      <c r="BH297" t="s">
        <v>99</v>
      </c>
      <c r="BO297" t="s">
        <v>111</v>
      </c>
      <c r="CD297" t="s">
        <v>456</v>
      </c>
      <c r="CE297">
        <v>115620</v>
      </c>
      <c r="CF297" t="s">
        <v>457</v>
      </c>
      <c r="CG297" t="s">
        <v>458</v>
      </c>
      <c r="CH297">
        <v>2008</v>
      </c>
    </row>
    <row r="298" spans="1:86" hidden="1" x14ac:dyDescent="0.25">
      <c r="A298">
        <v>330541</v>
      </c>
      <c r="B298" t="s">
        <v>86</v>
      </c>
      <c r="D298" t="s">
        <v>87</v>
      </c>
      <c r="E298" t="s">
        <v>106</v>
      </c>
      <c r="F298">
        <v>98</v>
      </c>
      <c r="K298" t="s">
        <v>459</v>
      </c>
      <c r="L298" t="s">
        <v>90</v>
      </c>
      <c r="M298" t="s">
        <v>90</v>
      </c>
      <c r="N298" t="s">
        <v>118</v>
      </c>
      <c r="V298" t="s">
        <v>91</v>
      </c>
      <c r="W298" t="s">
        <v>107</v>
      </c>
      <c r="X298" t="s">
        <v>93</v>
      </c>
      <c r="Y298" t="s">
        <v>381</v>
      </c>
      <c r="Z298" t="s">
        <v>94</v>
      </c>
      <c r="AB298" s="281">
        <v>2.4E-2</v>
      </c>
      <c r="AG298" t="s">
        <v>95</v>
      </c>
      <c r="AX298" t="s">
        <v>108</v>
      </c>
      <c r="AY298" t="s">
        <v>160</v>
      </c>
      <c r="AZ298" t="s">
        <v>422</v>
      </c>
      <c r="BC298">
        <v>3</v>
      </c>
      <c r="BH298" t="s">
        <v>99</v>
      </c>
      <c r="BO298" t="s">
        <v>111</v>
      </c>
      <c r="CD298" t="s">
        <v>328</v>
      </c>
      <c r="CE298">
        <v>110086</v>
      </c>
      <c r="CF298" t="s">
        <v>329</v>
      </c>
      <c r="CG298" t="s">
        <v>330</v>
      </c>
      <c r="CH298">
        <v>2008</v>
      </c>
    </row>
    <row r="299" spans="1:86" hidden="1" x14ac:dyDescent="0.25">
      <c r="A299">
        <v>330541</v>
      </c>
      <c r="B299" t="s">
        <v>86</v>
      </c>
      <c r="C299" t="s">
        <v>183</v>
      </c>
      <c r="D299" t="s">
        <v>115</v>
      </c>
      <c r="F299">
        <v>80</v>
      </c>
      <c r="K299" t="s">
        <v>184</v>
      </c>
      <c r="L299" t="s">
        <v>89</v>
      </c>
      <c r="M299" t="s">
        <v>90</v>
      </c>
      <c r="V299" t="s">
        <v>91</v>
      </c>
      <c r="W299" t="s">
        <v>92</v>
      </c>
      <c r="X299" t="s">
        <v>93</v>
      </c>
      <c r="Z299" t="s">
        <v>94</v>
      </c>
      <c r="AB299" s="281">
        <v>3.6400000000000002E-2</v>
      </c>
      <c r="AG299" t="s">
        <v>95</v>
      </c>
      <c r="AX299" t="s">
        <v>108</v>
      </c>
      <c r="AY299" t="s">
        <v>150</v>
      </c>
      <c r="AZ299" t="s">
        <v>422</v>
      </c>
      <c r="BC299">
        <v>4</v>
      </c>
      <c r="BH299" t="s">
        <v>99</v>
      </c>
      <c r="BO299" t="s">
        <v>111</v>
      </c>
      <c r="CD299" t="s">
        <v>186</v>
      </c>
      <c r="CE299">
        <v>69879</v>
      </c>
      <c r="CF299" t="s">
        <v>187</v>
      </c>
      <c r="CG299" t="s">
        <v>188</v>
      </c>
      <c r="CH299">
        <v>1998</v>
      </c>
    </row>
    <row r="300" spans="1:86" hidden="1" x14ac:dyDescent="0.25">
      <c r="A300">
        <v>330541</v>
      </c>
      <c r="B300" t="s">
        <v>86</v>
      </c>
      <c r="K300" t="s">
        <v>460</v>
      </c>
      <c r="L300" t="s">
        <v>89</v>
      </c>
      <c r="M300" t="s">
        <v>90</v>
      </c>
      <c r="V300" t="s">
        <v>91</v>
      </c>
      <c r="W300" t="s">
        <v>92</v>
      </c>
      <c r="X300" t="s">
        <v>93</v>
      </c>
      <c r="Z300" t="s">
        <v>137</v>
      </c>
      <c r="AB300">
        <v>0.20978748</v>
      </c>
      <c r="AG300" t="s">
        <v>95</v>
      </c>
      <c r="AX300" t="s">
        <v>201</v>
      </c>
      <c r="AY300" t="s">
        <v>311</v>
      </c>
      <c r="AZ300" t="s">
        <v>422</v>
      </c>
      <c r="BC300">
        <v>1.04E-2</v>
      </c>
      <c r="BH300" t="s">
        <v>99</v>
      </c>
      <c r="BO300" t="s">
        <v>111</v>
      </c>
      <c r="CD300" t="s">
        <v>461</v>
      </c>
      <c r="CE300">
        <v>14619</v>
      </c>
      <c r="CF300" t="s">
        <v>462</v>
      </c>
      <c r="CG300" t="s">
        <v>463</v>
      </c>
      <c r="CH300">
        <v>1993</v>
      </c>
    </row>
    <row r="301" spans="1:86" hidden="1" x14ac:dyDescent="0.25">
      <c r="A301">
        <v>330541</v>
      </c>
      <c r="B301" t="s">
        <v>86</v>
      </c>
      <c r="D301" t="s">
        <v>115</v>
      </c>
      <c r="K301" t="s">
        <v>432</v>
      </c>
      <c r="L301" t="s">
        <v>433</v>
      </c>
      <c r="M301" t="s">
        <v>90</v>
      </c>
      <c r="V301" t="s">
        <v>91</v>
      </c>
      <c r="W301" t="s">
        <v>92</v>
      </c>
      <c r="X301" t="s">
        <v>93</v>
      </c>
      <c r="Z301" t="s">
        <v>137</v>
      </c>
      <c r="AB301"/>
      <c r="AC301" t="s">
        <v>106</v>
      </c>
      <c r="AD301">
        <v>0.2330972</v>
      </c>
      <c r="AE301" t="s">
        <v>234</v>
      </c>
      <c r="AF301">
        <v>2.330972</v>
      </c>
      <c r="AG301" t="s">
        <v>95</v>
      </c>
      <c r="AX301" t="s">
        <v>108</v>
      </c>
      <c r="AY301" t="s">
        <v>109</v>
      </c>
      <c r="AZ301" t="s">
        <v>422</v>
      </c>
      <c r="BC301">
        <v>4</v>
      </c>
      <c r="BH301" t="s">
        <v>99</v>
      </c>
      <c r="BO301" t="s">
        <v>111</v>
      </c>
      <c r="CD301" t="s">
        <v>435</v>
      </c>
      <c r="CE301">
        <v>102056</v>
      </c>
      <c r="CF301" t="s">
        <v>436</v>
      </c>
      <c r="CG301" t="s">
        <v>437</v>
      </c>
      <c r="CH301">
        <v>1996</v>
      </c>
    </row>
    <row r="302" spans="1:86" hidden="1" x14ac:dyDescent="0.25">
      <c r="A302">
        <v>330541</v>
      </c>
      <c r="B302" t="s">
        <v>86</v>
      </c>
      <c r="D302" t="s">
        <v>115</v>
      </c>
      <c r="K302" t="s">
        <v>432</v>
      </c>
      <c r="L302" t="s">
        <v>433</v>
      </c>
      <c r="M302" t="s">
        <v>90</v>
      </c>
      <c r="V302" t="s">
        <v>91</v>
      </c>
      <c r="W302" t="s">
        <v>92</v>
      </c>
      <c r="X302" t="s">
        <v>93</v>
      </c>
      <c r="Z302" t="s">
        <v>137</v>
      </c>
      <c r="AB302"/>
      <c r="AC302" t="s">
        <v>106</v>
      </c>
      <c r="AD302">
        <v>2.330972</v>
      </c>
      <c r="AE302" t="s">
        <v>234</v>
      </c>
      <c r="AF302">
        <v>23.309719999999999</v>
      </c>
      <c r="AG302" t="s">
        <v>95</v>
      </c>
      <c r="AX302" t="s">
        <v>108</v>
      </c>
      <c r="AY302" t="s">
        <v>109</v>
      </c>
      <c r="AZ302" t="s">
        <v>422</v>
      </c>
      <c r="BC302">
        <v>7</v>
      </c>
      <c r="BH302" t="s">
        <v>99</v>
      </c>
      <c r="BO302" t="s">
        <v>111</v>
      </c>
      <c r="CD302" t="s">
        <v>435</v>
      </c>
      <c r="CE302">
        <v>102056</v>
      </c>
      <c r="CF302" t="s">
        <v>436</v>
      </c>
      <c r="CG302" t="s">
        <v>437</v>
      </c>
      <c r="CH302">
        <v>1996</v>
      </c>
    </row>
    <row r="303" spans="1:86" hidden="1" x14ac:dyDescent="0.25">
      <c r="A303">
        <v>330541</v>
      </c>
      <c r="B303" t="s">
        <v>86</v>
      </c>
      <c r="D303" t="s">
        <v>115</v>
      </c>
      <c r="K303" t="s">
        <v>432</v>
      </c>
      <c r="L303" t="s">
        <v>433</v>
      </c>
      <c r="M303" t="s">
        <v>90</v>
      </c>
      <c r="V303" t="s">
        <v>91</v>
      </c>
      <c r="W303" t="s">
        <v>92</v>
      </c>
      <c r="X303" t="s">
        <v>93</v>
      </c>
      <c r="Z303" t="s">
        <v>137</v>
      </c>
      <c r="AB303"/>
      <c r="AC303" t="s">
        <v>106</v>
      </c>
      <c r="AD303">
        <v>0.2330972</v>
      </c>
      <c r="AE303" t="s">
        <v>234</v>
      </c>
      <c r="AF303">
        <v>2.330972</v>
      </c>
      <c r="AG303" t="s">
        <v>95</v>
      </c>
      <c r="AX303" t="s">
        <v>108</v>
      </c>
      <c r="AY303" t="s">
        <v>109</v>
      </c>
      <c r="AZ303" t="s">
        <v>422</v>
      </c>
      <c r="BC303">
        <v>2</v>
      </c>
      <c r="BH303" t="s">
        <v>99</v>
      </c>
      <c r="BO303" t="s">
        <v>111</v>
      </c>
      <c r="CD303" t="s">
        <v>435</v>
      </c>
      <c r="CE303">
        <v>102056</v>
      </c>
      <c r="CF303" t="s">
        <v>436</v>
      </c>
      <c r="CG303" t="s">
        <v>437</v>
      </c>
      <c r="CH303">
        <v>1996</v>
      </c>
    </row>
    <row r="304" spans="1:86" hidden="1" x14ac:dyDescent="0.25">
      <c r="A304">
        <v>330541</v>
      </c>
      <c r="B304" t="s">
        <v>86</v>
      </c>
      <c r="D304" t="s">
        <v>115</v>
      </c>
      <c r="K304" t="s">
        <v>432</v>
      </c>
      <c r="L304" t="s">
        <v>433</v>
      </c>
      <c r="M304" t="s">
        <v>90</v>
      </c>
      <c r="V304" t="s">
        <v>91</v>
      </c>
      <c r="W304" t="s">
        <v>92</v>
      </c>
      <c r="X304" t="s">
        <v>93</v>
      </c>
      <c r="Z304" t="s">
        <v>137</v>
      </c>
      <c r="AA304" t="s">
        <v>434</v>
      </c>
      <c r="AB304">
        <v>2.330972</v>
      </c>
      <c r="AG304" t="s">
        <v>95</v>
      </c>
      <c r="AX304" t="s">
        <v>108</v>
      </c>
      <c r="AY304" t="s">
        <v>109</v>
      </c>
      <c r="AZ304" t="s">
        <v>422</v>
      </c>
      <c r="BC304">
        <v>3</v>
      </c>
      <c r="BH304" t="s">
        <v>99</v>
      </c>
      <c r="BO304" t="s">
        <v>111</v>
      </c>
      <c r="CD304" t="s">
        <v>435</v>
      </c>
      <c r="CE304">
        <v>102056</v>
      </c>
      <c r="CF304" t="s">
        <v>436</v>
      </c>
      <c r="CG304" t="s">
        <v>437</v>
      </c>
      <c r="CH304">
        <v>1996</v>
      </c>
    </row>
    <row r="305" spans="1:86" hidden="1" x14ac:dyDescent="0.25">
      <c r="A305">
        <v>330541</v>
      </c>
      <c r="B305" t="s">
        <v>86</v>
      </c>
      <c r="D305" t="s">
        <v>115</v>
      </c>
      <c r="K305" t="s">
        <v>432</v>
      </c>
      <c r="L305" t="s">
        <v>433</v>
      </c>
      <c r="M305" t="s">
        <v>90</v>
      </c>
      <c r="V305" t="s">
        <v>91</v>
      </c>
      <c r="W305" t="s">
        <v>92</v>
      </c>
      <c r="X305" t="s">
        <v>93</v>
      </c>
      <c r="Z305" t="s">
        <v>137</v>
      </c>
      <c r="AB305"/>
      <c r="AC305" t="s">
        <v>106</v>
      </c>
      <c r="AD305">
        <v>0.2330972</v>
      </c>
      <c r="AE305" t="s">
        <v>234</v>
      </c>
      <c r="AF305">
        <v>2.330972</v>
      </c>
      <c r="AG305" t="s">
        <v>95</v>
      </c>
      <c r="AX305" t="s">
        <v>108</v>
      </c>
      <c r="AY305" t="s">
        <v>109</v>
      </c>
      <c r="AZ305" t="s">
        <v>422</v>
      </c>
      <c r="BC305">
        <v>1</v>
      </c>
      <c r="BH305" t="s">
        <v>99</v>
      </c>
      <c r="BO305" t="s">
        <v>111</v>
      </c>
      <c r="CD305" t="s">
        <v>435</v>
      </c>
      <c r="CE305">
        <v>102056</v>
      </c>
      <c r="CF305" t="s">
        <v>436</v>
      </c>
      <c r="CG305" t="s">
        <v>437</v>
      </c>
      <c r="CH305">
        <v>1996</v>
      </c>
    </row>
    <row r="306" spans="1:86" hidden="1" x14ac:dyDescent="0.25">
      <c r="A306">
        <v>330541</v>
      </c>
      <c r="B306" t="s">
        <v>86</v>
      </c>
      <c r="D306" t="s">
        <v>115</v>
      </c>
      <c r="K306" t="s">
        <v>464</v>
      </c>
      <c r="L306" t="s">
        <v>89</v>
      </c>
      <c r="M306" t="s">
        <v>90</v>
      </c>
      <c r="V306" t="s">
        <v>91</v>
      </c>
      <c r="W306" t="s">
        <v>107</v>
      </c>
      <c r="X306" t="s">
        <v>93</v>
      </c>
      <c r="Z306" t="s">
        <v>465</v>
      </c>
      <c r="AB306">
        <v>9.3238880000000007E-3</v>
      </c>
      <c r="AG306" t="s">
        <v>95</v>
      </c>
      <c r="AX306" t="s">
        <v>144</v>
      </c>
      <c r="AY306" t="s">
        <v>109</v>
      </c>
      <c r="AZ306" t="s">
        <v>422</v>
      </c>
      <c r="BC306">
        <v>1.04E-2</v>
      </c>
      <c r="BH306" t="s">
        <v>99</v>
      </c>
      <c r="BO306" t="s">
        <v>111</v>
      </c>
      <c r="CD306" t="s">
        <v>423</v>
      </c>
      <c r="CE306">
        <v>15868</v>
      </c>
      <c r="CF306" t="s">
        <v>424</v>
      </c>
      <c r="CG306" t="s">
        <v>425</v>
      </c>
      <c r="CH306">
        <v>1976</v>
      </c>
    </row>
    <row r="307" spans="1:86" hidden="1" x14ac:dyDescent="0.25">
      <c r="A307">
        <v>330541</v>
      </c>
      <c r="B307" t="s">
        <v>86</v>
      </c>
      <c r="C307" t="s">
        <v>104</v>
      </c>
      <c r="D307" t="s">
        <v>115</v>
      </c>
      <c r="K307" t="s">
        <v>184</v>
      </c>
      <c r="L307" t="s">
        <v>89</v>
      </c>
      <c r="M307" t="s">
        <v>90</v>
      </c>
      <c r="R307">
        <v>3</v>
      </c>
      <c r="T307">
        <v>4</v>
      </c>
      <c r="U307" t="s">
        <v>99</v>
      </c>
      <c r="V307" t="s">
        <v>91</v>
      </c>
      <c r="W307" t="s">
        <v>92</v>
      </c>
      <c r="X307" t="s">
        <v>93</v>
      </c>
      <c r="Y307">
        <v>12</v>
      </c>
      <c r="Z307" t="s">
        <v>94</v>
      </c>
      <c r="AB307" s="281">
        <v>6.9929160000000001E-3</v>
      </c>
      <c r="AD307">
        <v>6.9929160000000001E-3</v>
      </c>
      <c r="AF307">
        <v>9.3238880000000007E-3</v>
      </c>
      <c r="AG307" t="s">
        <v>95</v>
      </c>
      <c r="AX307" t="s">
        <v>108</v>
      </c>
      <c r="AY307" t="s">
        <v>160</v>
      </c>
      <c r="AZ307" t="s">
        <v>422</v>
      </c>
      <c r="BC307">
        <v>3</v>
      </c>
      <c r="BH307" t="s">
        <v>99</v>
      </c>
      <c r="BO307" t="s">
        <v>111</v>
      </c>
      <c r="CD307" t="s">
        <v>466</v>
      </c>
      <c r="CE307">
        <v>115495</v>
      </c>
      <c r="CF307" t="s">
        <v>467</v>
      </c>
      <c r="CG307" t="s">
        <v>468</v>
      </c>
      <c r="CH307">
        <v>2009</v>
      </c>
    </row>
    <row r="308" spans="1:86" hidden="1" x14ac:dyDescent="0.25">
      <c r="A308">
        <v>330541</v>
      </c>
      <c r="B308" t="s">
        <v>86</v>
      </c>
      <c r="D308" t="s">
        <v>115</v>
      </c>
      <c r="K308" t="s">
        <v>469</v>
      </c>
      <c r="L308" t="s">
        <v>117</v>
      </c>
      <c r="M308" t="s">
        <v>90</v>
      </c>
      <c r="V308" t="s">
        <v>91</v>
      </c>
      <c r="W308" t="s">
        <v>107</v>
      </c>
      <c r="X308" t="s">
        <v>93</v>
      </c>
      <c r="Y308">
        <v>6</v>
      </c>
      <c r="Z308" t="s">
        <v>137</v>
      </c>
      <c r="AB308">
        <v>3.5999999999999997E-2</v>
      </c>
      <c r="AD308">
        <v>3.1E-2</v>
      </c>
      <c r="AF308">
        <v>4.1000000000000002E-2</v>
      </c>
      <c r="AG308" t="s">
        <v>95</v>
      </c>
      <c r="AX308" t="s">
        <v>108</v>
      </c>
      <c r="AY308" t="s">
        <v>150</v>
      </c>
      <c r="AZ308" t="s">
        <v>422</v>
      </c>
      <c r="BC308">
        <v>3</v>
      </c>
      <c r="BH308" t="s">
        <v>99</v>
      </c>
      <c r="BO308" t="s">
        <v>111</v>
      </c>
      <c r="CD308" t="s">
        <v>470</v>
      </c>
      <c r="CE308">
        <v>102065</v>
      </c>
      <c r="CF308" t="s">
        <v>471</v>
      </c>
      <c r="CG308" t="s">
        <v>472</v>
      </c>
      <c r="CH308">
        <v>2006</v>
      </c>
    </row>
    <row r="309" spans="1:86" x14ac:dyDescent="0.25">
      <c r="A309">
        <v>330541</v>
      </c>
      <c r="B309" t="s">
        <v>86</v>
      </c>
      <c r="D309" t="s">
        <v>115</v>
      </c>
      <c r="K309" t="s">
        <v>224</v>
      </c>
      <c r="L309" t="s">
        <v>89</v>
      </c>
      <c r="M309" t="s">
        <v>90</v>
      </c>
      <c r="N309" t="s">
        <v>118</v>
      </c>
      <c r="V309" t="s">
        <v>91</v>
      </c>
      <c r="W309" t="s">
        <v>92</v>
      </c>
      <c r="X309" t="s">
        <v>93</v>
      </c>
      <c r="Z309" t="s">
        <v>137</v>
      </c>
      <c r="AB309">
        <v>1.6316804000000001E-2</v>
      </c>
      <c r="AG309" t="s">
        <v>95</v>
      </c>
      <c r="AX309" t="s">
        <v>108</v>
      </c>
      <c r="AY309" t="s">
        <v>120</v>
      </c>
      <c r="AZ309" t="s">
        <v>422</v>
      </c>
      <c r="BC309">
        <v>4</v>
      </c>
      <c r="BH309" t="s">
        <v>99</v>
      </c>
      <c r="BO309" t="s">
        <v>111</v>
      </c>
      <c r="CD309" t="s">
        <v>426</v>
      </c>
      <c r="CE309">
        <v>59914</v>
      </c>
      <c r="CF309" t="s">
        <v>427</v>
      </c>
      <c r="CG309" t="s">
        <v>428</v>
      </c>
      <c r="CH309">
        <v>1997</v>
      </c>
    </row>
    <row r="310" spans="1:86" hidden="1" x14ac:dyDescent="0.25">
      <c r="A310">
        <v>330541</v>
      </c>
      <c r="B310" t="s">
        <v>86</v>
      </c>
      <c r="D310" t="s">
        <v>87</v>
      </c>
      <c r="E310" t="s">
        <v>106</v>
      </c>
      <c r="F310">
        <v>95</v>
      </c>
      <c r="K310" t="s">
        <v>386</v>
      </c>
      <c r="L310" t="s">
        <v>89</v>
      </c>
      <c r="M310" t="s">
        <v>90</v>
      </c>
      <c r="V310" t="s">
        <v>91</v>
      </c>
      <c r="W310" t="s">
        <v>107</v>
      </c>
      <c r="X310" t="s">
        <v>93</v>
      </c>
      <c r="Y310">
        <v>15</v>
      </c>
      <c r="Z310" t="s">
        <v>94</v>
      </c>
      <c r="AB310">
        <v>4.4000000000000003E-3</v>
      </c>
      <c r="AD310">
        <v>4.1999999999999997E-3</v>
      </c>
      <c r="AF310">
        <v>4.5999999999999999E-3</v>
      </c>
      <c r="AG310" t="s">
        <v>95</v>
      </c>
      <c r="AX310" t="s">
        <v>144</v>
      </c>
      <c r="AY310" t="s">
        <v>109</v>
      </c>
      <c r="AZ310" t="s">
        <v>422</v>
      </c>
      <c r="BC310">
        <v>1</v>
      </c>
      <c r="BH310" t="s">
        <v>99</v>
      </c>
      <c r="BO310" t="s">
        <v>111</v>
      </c>
      <c r="CD310" t="s">
        <v>388</v>
      </c>
      <c r="CE310">
        <v>178673</v>
      </c>
      <c r="CF310" t="s">
        <v>389</v>
      </c>
      <c r="CG310" t="s">
        <v>390</v>
      </c>
      <c r="CH310">
        <v>2018</v>
      </c>
    </row>
    <row r="311" spans="1:86" hidden="1" x14ac:dyDescent="0.25">
      <c r="A311">
        <v>330541</v>
      </c>
      <c r="B311" t="s">
        <v>86</v>
      </c>
      <c r="D311" t="s">
        <v>115</v>
      </c>
      <c r="K311" t="s">
        <v>454</v>
      </c>
      <c r="L311" t="s">
        <v>143</v>
      </c>
      <c r="M311" t="s">
        <v>90</v>
      </c>
      <c r="W311" t="s">
        <v>92</v>
      </c>
      <c r="X311" t="s">
        <v>93</v>
      </c>
      <c r="Y311">
        <v>4</v>
      </c>
      <c r="Z311" t="s">
        <v>137</v>
      </c>
      <c r="AB311">
        <v>0.97900823999999997</v>
      </c>
      <c r="AG311" t="s">
        <v>95</v>
      </c>
      <c r="AX311" t="s">
        <v>144</v>
      </c>
      <c r="AY311" t="s">
        <v>455</v>
      </c>
      <c r="AZ311" t="s">
        <v>422</v>
      </c>
      <c r="BH311" t="s">
        <v>473</v>
      </c>
      <c r="BO311" t="s">
        <v>111</v>
      </c>
      <c r="CD311" t="s">
        <v>456</v>
      </c>
      <c r="CE311">
        <v>115620</v>
      </c>
      <c r="CF311" t="s">
        <v>457</v>
      </c>
      <c r="CG311" t="s">
        <v>458</v>
      </c>
      <c r="CH311">
        <v>2008</v>
      </c>
    </row>
    <row r="312" spans="1:86" hidden="1" x14ac:dyDescent="0.25">
      <c r="A312">
        <v>330541</v>
      </c>
      <c r="B312" t="s">
        <v>86</v>
      </c>
      <c r="D312" t="s">
        <v>115</v>
      </c>
      <c r="K312" t="s">
        <v>369</v>
      </c>
      <c r="L312" t="s">
        <v>370</v>
      </c>
      <c r="M312" t="s">
        <v>90</v>
      </c>
      <c r="V312" t="s">
        <v>91</v>
      </c>
      <c r="W312" t="s">
        <v>107</v>
      </c>
      <c r="X312" t="s">
        <v>93</v>
      </c>
      <c r="Z312" t="s">
        <v>465</v>
      </c>
      <c r="AB312">
        <v>1.8647776000000001E-2</v>
      </c>
      <c r="AG312" t="s">
        <v>95</v>
      </c>
      <c r="AX312" t="s">
        <v>144</v>
      </c>
      <c r="AY312" t="s">
        <v>109</v>
      </c>
      <c r="AZ312" t="s">
        <v>422</v>
      </c>
      <c r="BC312">
        <v>1.04E-2</v>
      </c>
      <c r="BH312" t="s">
        <v>99</v>
      </c>
      <c r="BO312" t="s">
        <v>111</v>
      </c>
      <c r="CD312" t="s">
        <v>423</v>
      </c>
      <c r="CE312">
        <v>15868</v>
      </c>
      <c r="CF312" t="s">
        <v>424</v>
      </c>
      <c r="CG312" t="s">
        <v>425</v>
      </c>
      <c r="CH312">
        <v>1976</v>
      </c>
    </row>
    <row r="313" spans="1:86" hidden="1" x14ac:dyDescent="0.25">
      <c r="A313">
        <v>330541</v>
      </c>
      <c r="B313" t="s">
        <v>86</v>
      </c>
      <c r="D313" t="s">
        <v>115</v>
      </c>
      <c r="K313" t="s">
        <v>432</v>
      </c>
      <c r="L313" t="s">
        <v>433</v>
      </c>
      <c r="M313" t="s">
        <v>90</v>
      </c>
      <c r="V313" t="s">
        <v>91</v>
      </c>
      <c r="W313" t="s">
        <v>92</v>
      </c>
      <c r="X313" t="s">
        <v>93</v>
      </c>
      <c r="Z313" t="s">
        <v>137</v>
      </c>
      <c r="AB313"/>
      <c r="AC313" t="s">
        <v>106</v>
      </c>
      <c r="AD313">
        <v>0.2330972</v>
      </c>
      <c r="AE313" t="s">
        <v>234</v>
      </c>
      <c r="AF313">
        <v>2.330972</v>
      </c>
      <c r="AG313" t="s">
        <v>95</v>
      </c>
      <c r="AX313" t="s">
        <v>108</v>
      </c>
      <c r="AY313" t="s">
        <v>109</v>
      </c>
      <c r="AZ313" t="s">
        <v>422</v>
      </c>
      <c r="BC313">
        <v>3</v>
      </c>
      <c r="BH313" t="s">
        <v>99</v>
      </c>
      <c r="BO313" t="s">
        <v>111</v>
      </c>
      <c r="CD313" t="s">
        <v>435</v>
      </c>
      <c r="CE313">
        <v>102056</v>
      </c>
      <c r="CF313" t="s">
        <v>436</v>
      </c>
      <c r="CG313" t="s">
        <v>437</v>
      </c>
      <c r="CH313">
        <v>1996</v>
      </c>
    </row>
    <row r="314" spans="1:86" hidden="1" x14ac:dyDescent="0.25">
      <c r="A314">
        <v>330541</v>
      </c>
      <c r="B314" t="s">
        <v>86</v>
      </c>
      <c r="D314" t="s">
        <v>115</v>
      </c>
      <c r="K314" t="s">
        <v>432</v>
      </c>
      <c r="L314" t="s">
        <v>433</v>
      </c>
      <c r="M314" t="s">
        <v>90</v>
      </c>
      <c r="V314" t="s">
        <v>91</v>
      </c>
      <c r="W314" t="s">
        <v>92</v>
      </c>
      <c r="X314" t="s">
        <v>93</v>
      </c>
      <c r="Z314" t="s">
        <v>137</v>
      </c>
      <c r="AB314"/>
      <c r="AC314" t="s">
        <v>106</v>
      </c>
      <c r="AD314">
        <v>2.330972</v>
      </c>
      <c r="AE314" t="s">
        <v>234</v>
      </c>
      <c r="AF314">
        <v>23.309719999999999</v>
      </c>
      <c r="AG314" t="s">
        <v>95</v>
      </c>
      <c r="AX314" t="s">
        <v>108</v>
      </c>
      <c r="AY314" t="s">
        <v>109</v>
      </c>
      <c r="AZ314" t="s">
        <v>422</v>
      </c>
      <c r="BC314">
        <v>2</v>
      </c>
      <c r="BH314" t="s">
        <v>99</v>
      </c>
      <c r="BO314" t="s">
        <v>111</v>
      </c>
      <c r="CD314" t="s">
        <v>435</v>
      </c>
      <c r="CE314">
        <v>102056</v>
      </c>
      <c r="CF314" t="s">
        <v>436</v>
      </c>
      <c r="CG314" t="s">
        <v>437</v>
      </c>
      <c r="CH314">
        <v>1996</v>
      </c>
    </row>
    <row r="315" spans="1:86" x14ac:dyDescent="0.25">
      <c r="A315">
        <v>330541</v>
      </c>
      <c r="B315" t="s">
        <v>86</v>
      </c>
      <c r="D315" t="s">
        <v>115</v>
      </c>
      <c r="K315" t="s">
        <v>224</v>
      </c>
      <c r="L315" t="s">
        <v>89</v>
      </c>
      <c r="M315" t="s">
        <v>90</v>
      </c>
      <c r="N315" t="s">
        <v>118</v>
      </c>
      <c r="V315" t="s">
        <v>91</v>
      </c>
      <c r="W315" t="s">
        <v>92</v>
      </c>
      <c r="X315" t="s">
        <v>93</v>
      </c>
      <c r="Z315" t="s">
        <v>137</v>
      </c>
      <c r="AB315">
        <v>1.6316804000000001E-2</v>
      </c>
      <c r="AG315" t="s">
        <v>95</v>
      </c>
      <c r="AX315" t="s">
        <v>108</v>
      </c>
      <c r="AY315" t="s">
        <v>109</v>
      </c>
      <c r="AZ315" t="s">
        <v>422</v>
      </c>
      <c r="BB315" t="s">
        <v>106</v>
      </c>
      <c r="BC315">
        <v>2.7799999999999998E-2</v>
      </c>
      <c r="BH315" t="s">
        <v>99</v>
      </c>
      <c r="BO315" t="s">
        <v>111</v>
      </c>
      <c r="CD315" t="s">
        <v>426</v>
      </c>
      <c r="CE315">
        <v>59914</v>
      </c>
      <c r="CF315" t="s">
        <v>427</v>
      </c>
      <c r="CG315" t="s">
        <v>428</v>
      </c>
      <c r="CH315">
        <v>1997</v>
      </c>
    </row>
    <row r="316" spans="1:86" hidden="1" x14ac:dyDescent="0.25">
      <c r="A316">
        <v>330541</v>
      </c>
      <c r="B316" t="s">
        <v>86</v>
      </c>
      <c r="D316" t="s">
        <v>87</v>
      </c>
      <c r="E316" t="s">
        <v>106</v>
      </c>
      <c r="F316">
        <v>95</v>
      </c>
      <c r="K316" t="s">
        <v>386</v>
      </c>
      <c r="L316" t="s">
        <v>89</v>
      </c>
      <c r="M316" t="s">
        <v>90</v>
      </c>
      <c r="V316" t="s">
        <v>91</v>
      </c>
      <c r="W316" t="s">
        <v>107</v>
      </c>
      <c r="X316" t="s">
        <v>93</v>
      </c>
      <c r="Y316">
        <v>15</v>
      </c>
      <c r="Z316" t="s">
        <v>94</v>
      </c>
      <c r="AB316">
        <v>4.1000000000000003E-3</v>
      </c>
      <c r="AD316">
        <v>3.8E-3</v>
      </c>
      <c r="AF316">
        <v>4.4999999999999997E-3</v>
      </c>
      <c r="AG316" t="s">
        <v>95</v>
      </c>
      <c r="AX316" t="s">
        <v>144</v>
      </c>
      <c r="AY316" t="s">
        <v>109</v>
      </c>
      <c r="AZ316" t="s">
        <v>422</v>
      </c>
      <c r="BC316">
        <v>1</v>
      </c>
      <c r="BH316" t="s">
        <v>99</v>
      </c>
      <c r="BO316" t="s">
        <v>111</v>
      </c>
      <c r="CD316" t="s">
        <v>388</v>
      </c>
      <c r="CE316">
        <v>178673</v>
      </c>
      <c r="CF316" t="s">
        <v>389</v>
      </c>
      <c r="CG316" t="s">
        <v>390</v>
      </c>
      <c r="CH316">
        <v>2018</v>
      </c>
    </row>
    <row r="317" spans="1:86" hidden="1" x14ac:dyDescent="0.25">
      <c r="A317">
        <v>330541</v>
      </c>
      <c r="B317" t="s">
        <v>86</v>
      </c>
      <c r="D317" t="s">
        <v>115</v>
      </c>
      <c r="F317">
        <v>98</v>
      </c>
      <c r="K317" t="s">
        <v>446</v>
      </c>
      <c r="L317" t="s">
        <v>143</v>
      </c>
      <c r="M317" t="s">
        <v>90</v>
      </c>
      <c r="N317" t="s">
        <v>118</v>
      </c>
      <c r="P317">
        <v>6</v>
      </c>
      <c r="U317" t="s">
        <v>99</v>
      </c>
      <c r="V317" t="s">
        <v>91</v>
      </c>
      <c r="W317" t="s">
        <v>92</v>
      </c>
      <c r="X317" t="s">
        <v>93</v>
      </c>
      <c r="Z317" t="s">
        <v>94</v>
      </c>
      <c r="AB317" s="281">
        <v>0.08</v>
      </c>
      <c r="AG317" t="s">
        <v>95</v>
      </c>
      <c r="AX317" t="s">
        <v>108</v>
      </c>
      <c r="AY317" t="s">
        <v>160</v>
      </c>
      <c r="AZ317" t="s">
        <v>422</v>
      </c>
      <c r="BC317">
        <v>10</v>
      </c>
      <c r="BH317" t="s">
        <v>99</v>
      </c>
      <c r="BO317" t="s">
        <v>111</v>
      </c>
      <c r="CD317" t="s">
        <v>447</v>
      </c>
      <c r="CE317">
        <v>153873</v>
      </c>
      <c r="CF317" t="s">
        <v>448</v>
      </c>
      <c r="CG317" t="s">
        <v>449</v>
      </c>
      <c r="CH317">
        <v>2011</v>
      </c>
    </row>
    <row r="318" spans="1:86" hidden="1" x14ac:dyDescent="0.25">
      <c r="A318">
        <v>330541</v>
      </c>
      <c r="B318" t="s">
        <v>86</v>
      </c>
      <c r="D318" t="s">
        <v>115</v>
      </c>
      <c r="K318" t="s">
        <v>239</v>
      </c>
      <c r="L318" t="s">
        <v>89</v>
      </c>
      <c r="M318" t="s">
        <v>90</v>
      </c>
      <c r="N318" t="s">
        <v>118</v>
      </c>
      <c r="V318" t="s">
        <v>91</v>
      </c>
      <c r="W318" t="s">
        <v>92</v>
      </c>
      <c r="X318" t="s">
        <v>93</v>
      </c>
      <c r="Y318">
        <v>5</v>
      </c>
      <c r="Z318" t="s">
        <v>137</v>
      </c>
      <c r="AB318">
        <v>1.7999999999999999E-2</v>
      </c>
      <c r="AG318" t="s">
        <v>95</v>
      </c>
      <c r="AX318" t="s">
        <v>108</v>
      </c>
      <c r="AY318" t="s">
        <v>160</v>
      </c>
      <c r="AZ318" t="s">
        <v>474</v>
      </c>
      <c r="BC318">
        <v>1</v>
      </c>
      <c r="BH318" t="s">
        <v>99</v>
      </c>
      <c r="BO318" t="s">
        <v>111</v>
      </c>
      <c r="CD318" t="s">
        <v>405</v>
      </c>
      <c r="CE318">
        <v>101986</v>
      </c>
      <c r="CF318" t="s">
        <v>406</v>
      </c>
      <c r="CG318" t="s">
        <v>407</v>
      </c>
      <c r="CH318">
        <v>2002</v>
      </c>
    </row>
    <row r="319" spans="1:86" hidden="1" x14ac:dyDescent="0.25">
      <c r="A319">
        <v>330541</v>
      </c>
      <c r="B319" t="s">
        <v>86</v>
      </c>
      <c r="D319" t="s">
        <v>115</v>
      </c>
      <c r="K319" t="s">
        <v>239</v>
      </c>
      <c r="L319" t="s">
        <v>89</v>
      </c>
      <c r="M319" t="s">
        <v>90</v>
      </c>
      <c r="V319" t="s">
        <v>91</v>
      </c>
      <c r="W319" t="s">
        <v>92</v>
      </c>
      <c r="X319" t="s">
        <v>93</v>
      </c>
      <c r="Y319">
        <v>5</v>
      </c>
      <c r="Z319" t="s">
        <v>137</v>
      </c>
      <c r="AB319">
        <v>1.7999999999999999E-2</v>
      </c>
      <c r="AG319" t="s">
        <v>95</v>
      </c>
      <c r="AX319" t="s">
        <v>108</v>
      </c>
      <c r="AY319" t="s">
        <v>311</v>
      </c>
      <c r="AZ319" t="s">
        <v>474</v>
      </c>
      <c r="BC319">
        <v>1</v>
      </c>
      <c r="BH319" t="s">
        <v>99</v>
      </c>
      <c r="BO319" t="s">
        <v>111</v>
      </c>
      <c r="CD319" t="s">
        <v>409</v>
      </c>
      <c r="CE319">
        <v>98120</v>
      </c>
      <c r="CF319" t="s">
        <v>410</v>
      </c>
      <c r="CG319" t="s">
        <v>411</v>
      </c>
      <c r="CH319">
        <v>2000</v>
      </c>
    </row>
    <row r="320" spans="1:86" hidden="1" x14ac:dyDescent="0.25">
      <c r="A320">
        <v>330541</v>
      </c>
      <c r="B320" t="s">
        <v>86</v>
      </c>
      <c r="D320" t="s">
        <v>115</v>
      </c>
      <c r="K320" t="s">
        <v>454</v>
      </c>
      <c r="L320" t="s">
        <v>143</v>
      </c>
      <c r="M320" t="s">
        <v>90</v>
      </c>
      <c r="W320" t="s">
        <v>92</v>
      </c>
      <c r="X320" t="s">
        <v>93</v>
      </c>
      <c r="Y320">
        <v>4</v>
      </c>
      <c r="Z320" t="s">
        <v>137</v>
      </c>
      <c r="AB320">
        <v>0.48950411999999999</v>
      </c>
      <c r="AG320" t="s">
        <v>95</v>
      </c>
      <c r="AX320" t="s">
        <v>108</v>
      </c>
      <c r="AY320" t="s">
        <v>311</v>
      </c>
      <c r="AZ320" t="s">
        <v>475</v>
      </c>
      <c r="BA320" t="s">
        <v>179</v>
      </c>
      <c r="BC320">
        <v>5</v>
      </c>
      <c r="BH320" t="s">
        <v>99</v>
      </c>
      <c r="BO320" t="s">
        <v>111</v>
      </c>
      <c r="CD320" t="s">
        <v>456</v>
      </c>
      <c r="CE320">
        <v>115620</v>
      </c>
      <c r="CF320" t="s">
        <v>457</v>
      </c>
      <c r="CG320" t="s">
        <v>458</v>
      </c>
      <c r="CH320">
        <v>2008</v>
      </c>
    </row>
    <row r="321" spans="1:86" hidden="1" x14ac:dyDescent="0.25">
      <c r="A321">
        <v>330541</v>
      </c>
      <c r="B321" t="s">
        <v>86</v>
      </c>
      <c r="D321" t="s">
        <v>115</v>
      </c>
      <c r="K321" t="s">
        <v>476</v>
      </c>
      <c r="L321" t="s">
        <v>143</v>
      </c>
      <c r="M321" t="s">
        <v>90</v>
      </c>
      <c r="V321" t="s">
        <v>91</v>
      </c>
      <c r="W321" t="s">
        <v>92</v>
      </c>
      <c r="X321" t="s">
        <v>93</v>
      </c>
      <c r="Z321" t="s">
        <v>137</v>
      </c>
      <c r="AB321">
        <v>0.04</v>
      </c>
      <c r="AG321" t="s">
        <v>95</v>
      </c>
      <c r="AX321" t="s">
        <v>108</v>
      </c>
      <c r="AY321" t="s">
        <v>160</v>
      </c>
      <c r="AZ321" t="s">
        <v>475</v>
      </c>
      <c r="BC321">
        <v>14</v>
      </c>
      <c r="BH321" t="s">
        <v>99</v>
      </c>
      <c r="BO321" t="s">
        <v>111</v>
      </c>
      <c r="CD321" t="s">
        <v>477</v>
      </c>
      <c r="CE321">
        <v>17259</v>
      </c>
      <c r="CF321" t="s">
        <v>478</v>
      </c>
      <c r="CG321" t="s">
        <v>479</v>
      </c>
      <c r="CH321">
        <v>1981</v>
      </c>
    </row>
    <row r="322" spans="1:86" hidden="1" x14ac:dyDescent="0.25">
      <c r="A322">
        <v>330541</v>
      </c>
      <c r="B322" t="s">
        <v>86</v>
      </c>
      <c r="D322" t="s">
        <v>115</v>
      </c>
      <c r="K322" t="s">
        <v>195</v>
      </c>
      <c r="L322" t="s">
        <v>89</v>
      </c>
      <c r="M322" t="s">
        <v>90</v>
      </c>
      <c r="V322" t="s">
        <v>91</v>
      </c>
      <c r="W322" t="s">
        <v>92</v>
      </c>
      <c r="X322" t="s">
        <v>93</v>
      </c>
      <c r="Z322" t="s">
        <v>137</v>
      </c>
      <c r="AB322">
        <v>5.0000000000000001E-3</v>
      </c>
      <c r="AG322" t="s">
        <v>95</v>
      </c>
      <c r="AX322" t="s">
        <v>108</v>
      </c>
      <c r="AY322" t="s">
        <v>160</v>
      </c>
      <c r="AZ322" t="s">
        <v>475</v>
      </c>
      <c r="BC322">
        <v>14</v>
      </c>
      <c r="BH322" t="s">
        <v>99</v>
      </c>
      <c r="BO322" t="s">
        <v>111</v>
      </c>
      <c r="CD322" t="s">
        <v>477</v>
      </c>
      <c r="CE322">
        <v>17259</v>
      </c>
      <c r="CF322" t="s">
        <v>478</v>
      </c>
      <c r="CG322" t="s">
        <v>479</v>
      </c>
      <c r="CH322">
        <v>1981</v>
      </c>
    </row>
    <row r="323" spans="1:86" hidden="1" x14ac:dyDescent="0.25">
      <c r="A323">
        <v>330541</v>
      </c>
      <c r="B323" t="s">
        <v>86</v>
      </c>
      <c r="D323" t="s">
        <v>115</v>
      </c>
      <c r="K323" t="s">
        <v>247</v>
      </c>
      <c r="L323" t="s">
        <v>90</v>
      </c>
      <c r="M323" t="s">
        <v>90</v>
      </c>
      <c r="V323" t="s">
        <v>91</v>
      </c>
      <c r="W323" t="s">
        <v>92</v>
      </c>
      <c r="X323" t="s">
        <v>93</v>
      </c>
      <c r="Z323" t="s">
        <v>137</v>
      </c>
      <c r="AB323">
        <v>0.5</v>
      </c>
      <c r="AG323" t="s">
        <v>95</v>
      </c>
      <c r="AX323" t="s">
        <v>108</v>
      </c>
      <c r="AY323" t="s">
        <v>160</v>
      </c>
      <c r="AZ323" t="s">
        <v>475</v>
      </c>
      <c r="BC323">
        <v>14</v>
      </c>
      <c r="BH323" t="s">
        <v>99</v>
      </c>
      <c r="BO323" t="s">
        <v>111</v>
      </c>
      <c r="CD323" t="s">
        <v>477</v>
      </c>
      <c r="CE323">
        <v>17259</v>
      </c>
      <c r="CF323" t="s">
        <v>478</v>
      </c>
      <c r="CG323" t="s">
        <v>479</v>
      </c>
      <c r="CH323">
        <v>1981</v>
      </c>
    </row>
    <row r="324" spans="1:86" hidden="1" x14ac:dyDescent="0.25">
      <c r="A324">
        <v>330541</v>
      </c>
      <c r="B324" t="s">
        <v>86</v>
      </c>
      <c r="D324" t="s">
        <v>115</v>
      </c>
      <c r="K324" t="s">
        <v>480</v>
      </c>
      <c r="L324" t="s">
        <v>89</v>
      </c>
      <c r="M324" t="s">
        <v>90</v>
      </c>
      <c r="V324" t="s">
        <v>91</v>
      </c>
      <c r="W324" t="s">
        <v>92</v>
      </c>
      <c r="X324" t="s">
        <v>93</v>
      </c>
      <c r="Z324" t="s">
        <v>137</v>
      </c>
      <c r="AB324">
        <v>6.0000000000000001E-3</v>
      </c>
      <c r="AG324" t="s">
        <v>95</v>
      </c>
      <c r="AX324" t="s">
        <v>108</v>
      </c>
      <c r="AY324" t="s">
        <v>160</v>
      </c>
      <c r="AZ324" t="s">
        <v>475</v>
      </c>
      <c r="BC324">
        <v>14</v>
      </c>
      <c r="BH324" t="s">
        <v>99</v>
      </c>
      <c r="BO324" t="s">
        <v>111</v>
      </c>
      <c r="CD324" t="s">
        <v>477</v>
      </c>
      <c r="CE324">
        <v>17259</v>
      </c>
      <c r="CF324" t="s">
        <v>478</v>
      </c>
      <c r="CG324" t="s">
        <v>479</v>
      </c>
      <c r="CH324">
        <v>1981</v>
      </c>
    </row>
    <row r="325" spans="1:86" hidden="1" x14ac:dyDescent="0.25">
      <c r="A325">
        <v>330541</v>
      </c>
      <c r="B325" t="s">
        <v>86</v>
      </c>
      <c r="D325" t="s">
        <v>115</v>
      </c>
      <c r="K325" t="s">
        <v>481</v>
      </c>
      <c r="L325" t="s">
        <v>89</v>
      </c>
      <c r="M325" t="s">
        <v>90</v>
      </c>
      <c r="V325" t="s">
        <v>91</v>
      </c>
      <c r="W325" t="s">
        <v>92</v>
      </c>
      <c r="X325" t="s">
        <v>93</v>
      </c>
      <c r="Z325" t="s">
        <v>137</v>
      </c>
      <c r="AB325">
        <v>6.0000000000000001E-3</v>
      </c>
      <c r="AG325" t="s">
        <v>95</v>
      </c>
      <c r="AX325" t="s">
        <v>108</v>
      </c>
      <c r="AY325" t="s">
        <v>160</v>
      </c>
      <c r="AZ325" t="s">
        <v>475</v>
      </c>
      <c r="BC325">
        <v>14</v>
      </c>
      <c r="BH325" t="s">
        <v>99</v>
      </c>
      <c r="BO325" t="s">
        <v>111</v>
      </c>
      <c r="CD325" t="s">
        <v>477</v>
      </c>
      <c r="CE325">
        <v>17259</v>
      </c>
      <c r="CF325" t="s">
        <v>478</v>
      </c>
      <c r="CG325" t="s">
        <v>479</v>
      </c>
      <c r="CH325">
        <v>1981</v>
      </c>
    </row>
    <row r="326" spans="1:86" hidden="1" x14ac:dyDescent="0.25">
      <c r="A326">
        <v>330541</v>
      </c>
      <c r="B326" t="s">
        <v>86</v>
      </c>
      <c r="D326" t="s">
        <v>115</v>
      </c>
      <c r="K326" t="s">
        <v>238</v>
      </c>
      <c r="L326" t="s">
        <v>89</v>
      </c>
      <c r="M326" t="s">
        <v>90</v>
      </c>
      <c r="V326" t="s">
        <v>91</v>
      </c>
      <c r="W326" t="s">
        <v>92</v>
      </c>
      <c r="X326" t="s">
        <v>93</v>
      </c>
      <c r="Z326" t="s">
        <v>137</v>
      </c>
      <c r="AB326">
        <v>0.04</v>
      </c>
      <c r="AG326" t="s">
        <v>95</v>
      </c>
      <c r="AX326" t="s">
        <v>108</v>
      </c>
      <c r="AY326" t="s">
        <v>160</v>
      </c>
      <c r="AZ326" t="s">
        <v>475</v>
      </c>
      <c r="BC326">
        <v>14</v>
      </c>
      <c r="BH326" t="s">
        <v>99</v>
      </c>
      <c r="BO326" t="s">
        <v>111</v>
      </c>
      <c r="CD326" t="s">
        <v>477</v>
      </c>
      <c r="CE326">
        <v>17259</v>
      </c>
      <c r="CF326" t="s">
        <v>478</v>
      </c>
      <c r="CG326" t="s">
        <v>479</v>
      </c>
      <c r="CH326">
        <v>1981</v>
      </c>
    </row>
    <row r="327" spans="1:86" hidden="1" x14ac:dyDescent="0.25">
      <c r="A327">
        <v>330541</v>
      </c>
      <c r="B327" t="s">
        <v>86</v>
      </c>
      <c r="D327" t="s">
        <v>115</v>
      </c>
      <c r="K327" t="s">
        <v>446</v>
      </c>
      <c r="L327" t="s">
        <v>143</v>
      </c>
      <c r="M327" t="s">
        <v>90</v>
      </c>
      <c r="V327" t="s">
        <v>91</v>
      </c>
      <c r="W327" t="s">
        <v>92</v>
      </c>
      <c r="X327" t="s">
        <v>93</v>
      </c>
      <c r="Z327" t="s">
        <v>137</v>
      </c>
      <c r="AB327">
        <v>5.7999999999999996E-3</v>
      </c>
      <c r="AG327" t="s">
        <v>95</v>
      </c>
      <c r="AX327" t="s">
        <v>108</v>
      </c>
      <c r="AY327" t="s">
        <v>160</v>
      </c>
      <c r="AZ327" t="s">
        <v>475</v>
      </c>
      <c r="BC327">
        <v>14</v>
      </c>
      <c r="BH327" t="s">
        <v>99</v>
      </c>
      <c r="BO327" t="s">
        <v>111</v>
      </c>
      <c r="CD327" t="s">
        <v>477</v>
      </c>
      <c r="CE327">
        <v>17259</v>
      </c>
      <c r="CF327" t="s">
        <v>478</v>
      </c>
      <c r="CG327" t="s">
        <v>479</v>
      </c>
      <c r="CH327">
        <v>1981</v>
      </c>
    </row>
    <row r="328" spans="1:86" hidden="1" x14ac:dyDescent="0.25">
      <c r="A328">
        <v>330541</v>
      </c>
      <c r="B328" t="s">
        <v>86</v>
      </c>
      <c r="D328" t="s">
        <v>115</v>
      </c>
      <c r="K328" t="s">
        <v>454</v>
      </c>
      <c r="L328" t="s">
        <v>143</v>
      </c>
      <c r="M328" t="s">
        <v>90</v>
      </c>
      <c r="W328" t="s">
        <v>92</v>
      </c>
      <c r="X328" t="s">
        <v>93</v>
      </c>
      <c r="Y328">
        <v>4</v>
      </c>
      <c r="Z328" t="s">
        <v>137</v>
      </c>
      <c r="AB328">
        <v>0.97900823999999997</v>
      </c>
      <c r="AG328" t="s">
        <v>95</v>
      </c>
      <c r="AX328" t="s">
        <v>108</v>
      </c>
      <c r="AY328" t="s">
        <v>174</v>
      </c>
      <c r="AZ328" t="s">
        <v>475</v>
      </c>
      <c r="BA328" t="s">
        <v>179</v>
      </c>
      <c r="BC328">
        <v>5</v>
      </c>
      <c r="BH328" t="s">
        <v>99</v>
      </c>
      <c r="BO328" t="s">
        <v>111</v>
      </c>
      <c r="CD328" t="s">
        <v>456</v>
      </c>
      <c r="CE328">
        <v>115620</v>
      </c>
      <c r="CF328" t="s">
        <v>457</v>
      </c>
      <c r="CG328" t="s">
        <v>458</v>
      </c>
      <c r="CH328">
        <v>2008</v>
      </c>
    </row>
    <row r="329" spans="1:86" hidden="1" x14ac:dyDescent="0.25">
      <c r="A329">
        <v>330541</v>
      </c>
      <c r="B329" t="s">
        <v>86</v>
      </c>
      <c r="D329" t="s">
        <v>115</v>
      </c>
      <c r="K329" t="s">
        <v>218</v>
      </c>
      <c r="L329" t="s">
        <v>89</v>
      </c>
      <c r="M329" t="s">
        <v>90</v>
      </c>
      <c r="V329" t="s">
        <v>91</v>
      </c>
      <c r="W329" t="s">
        <v>92</v>
      </c>
      <c r="X329" t="s">
        <v>93</v>
      </c>
      <c r="Z329" t="s">
        <v>137</v>
      </c>
      <c r="AB329">
        <v>0.03</v>
      </c>
      <c r="AG329" t="s">
        <v>95</v>
      </c>
      <c r="AX329" t="s">
        <v>108</v>
      </c>
      <c r="AY329" t="s">
        <v>160</v>
      </c>
      <c r="AZ329" t="s">
        <v>475</v>
      </c>
      <c r="BC329">
        <v>14</v>
      </c>
      <c r="BH329" t="s">
        <v>99</v>
      </c>
      <c r="BO329" t="s">
        <v>111</v>
      </c>
      <c r="CD329" t="s">
        <v>477</v>
      </c>
      <c r="CE329">
        <v>17259</v>
      </c>
      <c r="CF329" t="s">
        <v>478</v>
      </c>
      <c r="CG329" t="s">
        <v>479</v>
      </c>
      <c r="CH329">
        <v>1981</v>
      </c>
    </row>
    <row r="330" spans="1:86" hidden="1" x14ac:dyDescent="0.25">
      <c r="A330">
        <v>330541</v>
      </c>
      <c r="B330" t="s">
        <v>86</v>
      </c>
      <c r="D330" t="s">
        <v>115</v>
      </c>
      <c r="K330" t="s">
        <v>482</v>
      </c>
      <c r="L330" t="s">
        <v>143</v>
      </c>
      <c r="M330" t="s">
        <v>90</v>
      </c>
      <c r="V330" t="s">
        <v>91</v>
      </c>
      <c r="W330" t="s">
        <v>92</v>
      </c>
      <c r="X330" t="s">
        <v>93</v>
      </c>
      <c r="Z330" t="s">
        <v>137</v>
      </c>
      <c r="AB330">
        <v>8.5000000000000006E-3</v>
      </c>
      <c r="AG330" t="s">
        <v>95</v>
      </c>
      <c r="AX330" t="s">
        <v>108</v>
      </c>
      <c r="AY330" t="s">
        <v>160</v>
      </c>
      <c r="AZ330" t="s">
        <v>475</v>
      </c>
      <c r="BC330">
        <v>14</v>
      </c>
      <c r="BH330" t="s">
        <v>99</v>
      </c>
      <c r="BO330" t="s">
        <v>111</v>
      </c>
      <c r="CD330" t="s">
        <v>477</v>
      </c>
      <c r="CE330">
        <v>17259</v>
      </c>
      <c r="CF330" t="s">
        <v>478</v>
      </c>
      <c r="CG330" t="s">
        <v>479</v>
      </c>
      <c r="CH330">
        <v>1981</v>
      </c>
    </row>
    <row r="331" spans="1:86" hidden="1" x14ac:dyDescent="0.25">
      <c r="A331">
        <v>330541</v>
      </c>
      <c r="B331" t="s">
        <v>86</v>
      </c>
      <c r="D331" t="s">
        <v>115</v>
      </c>
      <c r="K331" t="s">
        <v>483</v>
      </c>
      <c r="L331" t="s">
        <v>89</v>
      </c>
      <c r="M331" t="s">
        <v>90</v>
      </c>
      <c r="V331" t="s">
        <v>91</v>
      </c>
      <c r="W331" t="s">
        <v>92</v>
      </c>
      <c r="X331" t="s">
        <v>93</v>
      </c>
      <c r="Z331" t="s">
        <v>137</v>
      </c>
      <c r="AB331">
        <v>1.5</v>
      </c>
      <c r="AG331" t="s">
        <v>95</v>
      </c>
      <c r="AX331" t="s">
        <v>108</v>
      </c>
      <c r="AY331" t="s">
        <v>160</v>
      </c>
      <c r="AZ331" t="s">
        <v>475</v>
      </c>
      <c r="BC331">
        <v>14</v>
      </c>
      <c r="BH331" t="s">
        <v>99</v>
      </c>
      <c r="BO331" t="s">
        <v>111</v>
      </c>
      <c r="CD331" t="s">
        <v>477</v>
      </c>
      <c r="CE331">
        <v>17259</v>
      </c>
      <c r="CF331" t="s">
        <v>478</v>
      </c>
      <c r="CG331" t="s">
        <v>479</v>
      </c>
      <c r="CH331">
        <v>1981</v>
      </c>
    </row>
    <row r="332" spans="1:86" hidden="1" x14ac:dyDescent="0.25">
      <c r="A332">
        <v>330541</v>
      </c>
      <c r="B332" t="s">
        <v>86</v>
      </c>
      <c r="D332" t="s">
        <v>115</v>
      </c>
      <c r="K332" t="s">
        <v>484</v>
      </c>
      <c r="L332" t="s">
        <v>143</v>
      </c>
      <c r="M332" t="s">
        <v>90</v>
      </c>
      <c r="N332" t="s">
        <v>118</v>
      </c>
      <c r="V332" t="s">
        <v>91</v>
      </c>
      <c r="W332" t="s">
        <v>92</v>
      </c>
      <c r="X332" t="s">
        <v>93</v>
      </c>
      <c r="Y332">
        <v>2</v>
      </c>
      <c r="Z332" t="s">
        <v>137</v>
      </c>
      <c r="AB332">
        <v>1.165486</v>
      </c>
      <c r="AG332" t="s">
        <v>95</v>
      </c>
      <c r="AX332" t="s">
        <v>282</v>
      </c>
      <c r="AY332" t="s">
        <v>485</v>
      </c>
      <c r="AZ332" t="s">
        <v>486</v>
      </c>
      <c r="BC332">
        <v>0.5</v>
      </c>
      <c r="BH332" t="s">
        <v>99</v>
      </c>
      <c r="BO332" t="s">
        <v>111</v>
      </c>
      <c r="CD332" t="s">
        <v>487</v>
      </c>
      <c r="CE332">
        <v>167045</v>
      </c>
      <c r="CF332" t="s">
        <v>488</v>
      </c>
      <c r="CG332" t="s">
        <v>489</v>
      </c>
      <c r="CH332">
        <v>2010</v>
      </c>
    </row>
    <row r="333" spans="1:86" hidden="1" x14ac:dyDescent="0.25">
      <c r="A333">
        <v>330541</v>
      </c>
      <c r="B333" t="s">
        <v>86</v>
      </c>
      <c r="D333" t="s">
        <v>115</v>
      </c>
      <c r="K333" t="s">
        <v>484</v>
      </c>
      <c r="L333" t="s">
        <v>143</v>
      </c>
      <c r="M333" t="s">
        <v>90</v>
      </c>
      <c r="N333" t="s">
        <v>118</v>
      </c>
      <c r="V333" t="s">
        <v>91</v>
      </c>
      <c r="W333" t="s">
        <v>92</v>
      </c>
      <c r="X333" t="s">
        <v>93</v>
      </c>
      <c r="Y333">
        <v>2</v>
      </c>
      <c r="Z333" t="s">
        <v>137</v>
      </c>
      <c r="AB333">
        <v>1.165486</v>
      </c>
      <c r="AG333" t="s">
        <v>95</v>
      </c>
      <c r="AX333" t="s">
        <v>201</v>
      </c>
      <c r="AY333" t="s">
        <v>490</v>
      </c>
      <c r="AZ333" t="s">
        <v>486</v>
      </c>
      <c r="BC333">
        <v>0.25</v>
      </c>
      <c r="BH333" t="s">
        <v>99</v>
      </c>
      <c r="BO333" t="s">
        <v>111</v>
      </c>
      <c r="CD333" t="s">
        <v>487</v>
      </c>
      <c r="CE333">
        <v>167045</v>
      </c>
      <c r="CF333" t="s">
        <v>488</v>
      </c>
      <c r="CG333" t="s">
        <v>489</v>
      </c>
      <c r="CH333">
        <v>2010</v>
      </c>
    </row>
    <row r="334" spans="1:86" hidden="1" x14ac:dyDescent="0.25">
      <c r="A334">
        <v>330541</v>
      </c>
      <c r="B334" t="s">
        <v>86</v>
      </c>
      <c r="D334" t="s">
        <v>115</v>
      </c>
      <c r="F334">
        <v>98.4</v>
      </c>
      <c r="K334" t="s">
        <v>90</v>
      </c>
      <c r="L334" t="s">
        <v>90</v>
      </c>
      <c r="M334" t="s">
        <v>90</v>
      </c>
      <c r="V334" t="s">
        <v>491</v>
      </c>
      <c r="W334" t="s">
        <v>92</v>
      </c>
      <c r="X334" t="s">
        <v>492</v>
      </c>
      <c r="Y334">
        <v>2</v>
      </c>
      <c r="Z334" t="s">
        <v>94</v>
      </c>
      <c r="AB334">
        <v>5.0000000000000001E-3</v>
      </c>
      <c r="AG334" t="s">
        <v>95</v>
      </c>
      <c r="AX334" t="s">
        <v>144</v>
      </c>
      <c r="AY334" t="s">
        <v>109</v>
      </c>
      <c r="AZ334" t="s">
        <v>486</v>
      </c>
      <c r="BC334">
        <v>124</v>
      </c>
      <c r="BH334" t="s">
        <v>99</v>
      </c>
      <c r="BO334" t="s">
        <v>111</v>
      </c>
      <c r="CD334" t="s">
        <v>493</v>
      </c>
      <c r="CE334">
        <v>165274</v>
      </c>
      <c r="CF334" t="s">
        <v>494</v>
      </c>
      <c r="CG334" t="s">
        <v>495</v>
      </c>
      <c r="CH334">
        <v>2012</v>
      </c>
    </row>
    <row r="335" spans="1:86" hidden="1" x14ac:dyDescent="0.25">
      <c r="A335">
        <v>330541</v>
      </c>
      <c r="B335" t="s">
        <v>86</v>
      </c>
      <c r="D335" t="s">
        <v>115</v>
      </c>
      <c r="F335">
        <v>98.4</v>
      </c>
      <c r="K335" t="s">
        <v>90</v>
      </c>
      <c r="L335" t="s">
        <v>90</v>
      </c>
      <c r="M335" t="s">
        <v>90</v>
      </c>
      <c r="V335" t="s">
        <v>491</v>
      </c>
      <c r="W335" t="s">
        <v>92</v>
      </c>
      <c r="X335" t="s">
        <v>492</v>
      </c>
      <c r="Y335">
        <v>2</v>
      </c>
      <c r="Z335" t="s">
        <v>94</v>
      </c>
      <c r="AB335">
        <v>5.0000000000000001E-3</v>
      </c>
      <c r="AG335" t="s">
        <v>95</v>
      </c>
      <c r="AX335" t="s">
        <v>144</v>
      </c>
      <c r="AY335" t="s">
        <v>109</v>
      </c>
      <c r="AZ335" t="s">
        <v>486</v>
      </c>
      <c r="BC335">
        <v>82</v>
      </c>
      <c r="BH335" t="s">
        <v>99</v>
      </c>
      <c r="BO335" t="s">
        <v>111</v>
      </c>
      <c r="CD335" t="s">
        <v>493</v>
      </c>
      <c r="CE335">
        <v>165274</v>
      </c>
      <c r="CF335" t="s">
        <v>494</v>
      </c>
      <c r="CG335" t="s">
        <v>495</v>
      </c>
      <c r="CH335">
        <v>2012</v>
      </c>
    </row>
    <row r="336" spans="1:86" hidden="1" x14ac:dyDescent="0.25">
      <c r="A336">
        <v>330541</v>
      </c>
      <c r="B336" t="s">
        <v>86</v>
      </c>
      <c r="D336" t="s">
        <v>115</v>
      </c>
      <c r="F336">
        <v>98.4</v>
      </c>
      <c r="K336" t="s">
        <v>90</v>
      </c>
      <c r="L336" t="s">
        <v>90</v>
      </c>
      <c r="M336" t="s">
        <v>90</v>
      </c>
      <c r="V336" t="s">
        <v>491</v>
      </c>
      <c r="W336" t="s">
        <v>92</v>
      </c>
      <c r="X336" t="s">
        <v>492</v>
      </c>
      <c r="Y336">
        <v>2</v>
      </c>
      <c r="Z336" t="s">
        <v>94</v>
      </c>
      <c r="AB336">
        <v>5.0000000000000001E-3</v>
      </c>
      <c r="AG336" t="s">
        <v>95</v>
      </c>
      <c r="AX336" t="s">
        <v>144</v>
      </c>
      <c r="AY336" t="s">
        <v>109</v>
      </c>
      <c r="AZ336" t="s">
        <v>486</v>
      </c>
      <c r="BC336">
        <v>54</v>
      </c>
      <c r="BH336" t="s">
        <v>99</v>
      </c>
      <c r="BO336" t="s">
        <v>111</v>
      </c>
      <c r="CD336" t="s">
        <v>493</v>
      </c>
      <c r="CE336">
        <v>165274</v>
      </c>
      <c r="CF336" t="s">
        <v>494</v>
      </c>
      <c r="CG336" t="s">
        <v>495</v>
      </c>
      <c r="CH336">
        <v>2012</v>
      </c>
    </row>
    <row r="337" spans="1:86" hidden="1" x14ac:dyDescent="0.25">
      <c r="A337">
        <v>330541</v>
      </c>
      <c r="B337" t="s">
        <v>86</v>
      </c>
      <c r="D337" t="s">
        <v>115</v>
      </c>
      <c r="F337">
        <v>98.4</v>
      </c>
      <c r="K337" t="s">
        <v>90</v>
      </c>
      <c r="L337" t="s">
        <v>90</v>
      </c>
      <c r="M337" t="s">
        <v>90</v>
      </c>
      <c r="V337" t="s">
        <v>491</v>
      </c>
      <c r="W337" t="s">
        <v>92</v>
      </c>
      <c r="X337" t="s">
        <v>492</v>
      </c>
      <c r="Y337">
        <v>2</v>
      </c>
      <c r="Z337" t="s">
        <v>94</v>
      </c>
      <c r="AB337">
        <v>5.0000000000000001E-3</v>
      </c>
      <c r="AG337" t="s">
        <v>95</v>
      </c>
      <c r="AX337" t="s">
        <v>144</v>
      </c>
      <c r="AY337" t="s">
        <v>109</v>
      </c>
      <c r="AZ337" t="s">
        <v>486</v>
      </c>
      <c r="BC337">
        <v>152</v>
      </c>
      <c r="BH337" t="s">
        <v>99</v>
      </c>
      <c r="BO337" t="s">
        <v>111</v>
      </c>
      <c r="CD337" t="s">
        <v>493</v>
      </c>
      <c r="CE337">
        <v>165274</v>
      </c>
      <c r="CF337" t="s">
        <v>494</v>
      </c>
      <c r="CG337" t="s">
        <v>495</v>
      </c>
      <c r="CH337">
        <v>2012</v>
      </c>
    </row>
    <row r="338" spans="1:86" hidden="1" x14ac:dyDescent="0.25">
      <c r="A338">
        <v>330541</v>
      </c>
      <c r="B338" t="s">
        <v>86</v>
      </c>
      <c r="D338" t="s">
        <v>115</v>
      </c>
      <c r="F338">
        <v>98.4</v>
      </c>
      <c r="K338" t="s">
        <v>90</v>
      </c>
      <c r="L338" t="s">
        <v>90</v>
      </c>
      <c r="M338" t="s">
        <v>90</v>
      </c>
      <c r="V338" t="s">
        <v>491</v>
      </c>
      <c r="W338" t="s">
        <v>92</v>
      </c>
      <c r="X338" t="s">
        <v>492</v>
      </c>
      <c r="Y338">
        <v>2</v>
      </c>
      <c r="Z338" t="s">
        <v>94</v>
      </c>
      <c r="AB338">
        <v>5.0000000000000001E-3</v>
      </c>
      <c r="AG338" t="s">
        <v>95</v>
      </c>
      <c r="AX338" t="s">
        <v>144</v>
      </c>
      <c r="AY338" t="s">
        <v>109</v>
      </c>
      <c r="AZ338" t="s">
        <v>486</v>
      </c>
      <c r="BC338">
        <v>33</v>
      </c>
      <c r="BH338" t="s">
        <v>99</v>
      </c>
      <c r="BO338" t="s">
        <v>111</v>
      </c>
      <c r="CD338" t="s">
        <v>493</v>
      </c>
      <c r="CE338">
        <v>165274</v>
      </c>
      <c r="CF338" t="s">
        <v>494</v>
      </c>
      <c r="CG338" t="s">
        <v>495</v>
      </c>
      <c r="CH338">
        <v>2012</v>
      </c>
    </row>
    <row r="339" spans="1:86" hidden="1" x14ac:dyDescent="0.25">
      <c r="A339">
        <v>330541</v>
      </c>
      <c r="B339" t="s">
        <v>86</v>
      </c>
      <c r="D339" t="s">
        <v>115</v>
      </c>
      <c r="F339">
        <v>98.4</v>
      </c>
      <c r="K339" t="s">
        <v>90</v>
      </c>
      <c r="L339" t="s">
        <v>90</v>
      </c>
      <c r="M339" t="s">
        <v>90</v>
      </c>
      <c r="V339" t="s">
        <v>491</v>
      </c>
      <c r="W339" t="s">
        <v>92</v>
      </c>
      <c r="X339" t="s">
        <v>492</v>
      </c>
      <c r="Y339">
        <v>2</v>
      </c>
      <c r="Z339" t="s">
        <v>94</v>
      </c>
      <c r="AB339">
        <v>5.0000000000000001E-3</v>
      </c>
      <c r="AG339" t="s">
        <v>95</v>
      </c>
      <c r="AX339" t="s">
        <v>144</v>
      </c>
      <c r="AY339" t="s">
        <v>109</v>
      </c>
      <c r="AZ339" t="s">
        <v>486</v>
      </c>
      <c r="BC339">
        <v>26</v>
      </c>
      <c r="BH339" t="s">
        <v>99</v>
      </c>
      <c r="BO339" t="s">
        <v>111</v>
      </c>
      <c r="CD339" t="s">
        <v>493</v>
      </c>
      <c r="CE339">
        <v>165274</v>
      </c>
      <c r="CF339" t="s">
        <v>494</v>
      </c>
      <c r="CG339" t="s">
        <v>495</v>
      </c>
      <c r="CH339">
        <v>2012</v>
      </c>
    </row>
    <row r="340" spans="1:86" hidden="1" x14ac:dyDescent="0.25">
      <c r="A340">
        <v>330541</v>
      </c>
      <c r="B340" t="s">
        <v>86</v>
      </c>
      <c r="C340" t="s">
        <v>158</v>
      </c>
      <c r="D340" t="s">
        <v>115</v>
      </c>
      <c r="K340" t="s">
        <v>173</v>
      </c>
      <c r="L340" t="s">
        <v>117</v>
      </c>
      <c r="M340" t="s">
        <v>90</v>
      </c>
      <c r="N340" t="s">
        <v>118</v>
      </c>
      <c r="V340" t="s">
        <v>91</v>
      </c>
      <c r="W340" t="s">
        <v>107</v>
      </c>
      <c r="X340" t="s">
        <v>93</v>
      </c>
      <c r="Y340">
        <v>2</v>
      </c>
      <c r="Z340" t="s">
        <v>94</v>
      </c>
      <c r="AB340">
        <v>3.7295551999999999E-3</v>
      </c>
      <c r="AG340" t="s">
        <v>95</v>
      </c>
      <c r="AX340" t="s">
        <v>201</v>
      </c>
      <c r="AY340" t="s">
        <v>496</v>
      </c>
      <c r="AZ340" t="s">
        <v>486</v>
      </c>
      <c r="BA340" t="s">
        <v>497</v>
      </c>
      <c r="BC340">
        <v>3</v>
      </c>
      <c r="BH340" t="s">
        <v>99</v>
      </c>
      <c r="BO340" t="s">
        <v>111</v>
      </c>
      <c r="CD340" t="s">
        <v>161</v>
      </c>
      <c r="CE340">
        <v>112735</v>
      </c>
      <c r="CF340" t="s">
        <v>162</v>
      </c>
      <c r="CG340" t="s">
        <v>163</v>
      </c>
      <c r="CH340">
        <v>2008</v>
      </c>
    </row>
    <row r="341" spans="1:86" hidden="1" x14ac:dyDescent="0.25">
      <c r="A341">
        <v>330541</v>
      </c>
      <c r="B341" t="s">
        <v>86</v>
      </c>
      <c r="D341" t="s">
        <v>115</v>
      </c>
      <c r="F341">
        <v>98</v>
      </c>
      <c r="K341" t="s">
        <v>498</v>
      </c>
      <c r="L341" t="s">
        <v>117</v>
      </c>
      <c r="M341" t="s">
        <v>90</v>
      </c>
      <c r="N341" t="s">
        <v>118</v>
      </c>
      <c r="V341" t="s">
        <v>91</v>
      </c>
      <c r="W341" t="s">
        <v>92</v>
      </c>
      <c r="X341" t="s">
        <v>93</v>
      </c>
      <c r="Z341" t="s">
        <v>94</v>
      </c>
      <c r="AA341" t="s">
        <v>234</v>
      </c>
      <c r="AB341">
        <v>10.023179600000001</v>
      </c>
      <c r="AG341" t="s">
        <v>95</v>
      </c>
      <c r="AX341" t="s">
        <v>144</v>
      </c>
      <c r="AY341" t="s">
        <v>438</v>
      </c>
      <c r="AZ341" t="s">
        <v>486</v>
      </c>
      <c r="BB341" t="s">
        <v>499</v>
      </c>
      <c r="BC341">
        <v>5.5599999999999997E-2</v>
      </c>
      <c r="BH341" t="s">
        <v>99</v>
      </c>
      <c r="BO341" t="s">
        <v>111</v>
      </c>
      <c r="CD341" t="s">
        <v>500</v>
      </c>
      <c r="CE341">
        <v>158970</v>
      </c>
      <c r="CF341" t="s">
        <v>501</v>
      </c>
      <c r="CG341" t="s">
        <v>502</v>
      </c>
      <c r="CH341">
        <v>2012</v>
      </c>
    </row>
    <row r="342" spans="1:86" hidden="1" x14ac:dyDescent="0.25">
      <c r="A342">
        <v>330541</v>
      </c>
      <c r="B342" t="s">
        <v>86</v>
      </c>
      <c r="C342" t="s">
        <v>104</v>
      </c>
      <c r="D342" t="s">
        <v>115</v>
      </c>
      <c r="K342" t="s">
        <v>310</v>
      </c>
      <c r="L342" t="s">
        <v>280</v>
      </c>
      <c r="M342" t="s">
        <v>90</v>
      </c>
      <c r="R342">
        <v>14</v>
      </c>
      <c r="T342">
        <v>28</v>
      </c>
      <c r="U342" t="s">
        <v>99</v>
      </c>
      <c r="V342" t="s">
        <v>91</v>
      </c>
      <c r="W342" t="s">
        <v>92</v>
      </c>
      <c r="X342" t="s">
        <v>93</v>
      </c>
      <c r="Z342" t="s">
        <v>94</v>
      </c>
      <c r="AB342" s="281">
        <v>5.0000000000000001E-4</v>
      </c>
      <c r="AG342" t="s">
        <v>95</v>
      </c>
      <c r="AX342" t="s">
        <v>108</v>
      </c>
      <c r="AY342" t="s">
        <v>109</v>
      </c>
      <c r="AZ342" t="s">
        <v>486</v>
      </c>
      <c r="BC342">
        <v>1.3899999999999999E-2</v>
      </c>
      <c r="BH342" t="s">
        <v>99</v>
      </c>
      <c r="BO342" t="s">
        <v>111</v>
      </c>
      <c r="CD342" t="s">
        <v>225</v>
      </c>
      <c r="CE342">
        <v>83755</v>
      </c>
      <c r="CF342" t="s">
        <v>226</v>
      </c>
      <c r="CG342" t="s">
        <v>227</v>
      </c>
      <c r="CH342">
        <v>2005</v>
      </c>
    </row>
    <row r="343" spans="1:86" hidden="1" x14ac:dyDescent="0.25">
      <c r="A343">
        <v>330541</v>
      </c>
      <c r="B343" t="s">
        <v>86</v>
      </c>
      <c r="D343" t="s">
        <v>115</v>
      </c>
      <c r="K343" t="s">
        <v>90</v>
      </c>
      <c r="L343" t="s">
        <v>90</v>
      </c>
      <c r="M343" t="s">
        <v>90</v>
      </c>
      <c r="V343" t="s">
        <v>91</v>
      </c>
      <c r="W343" t="s">
        <v>107</v>
      </c>
      <c r="X343" t="s">
        <v>93</v>
      </c>
      <c r="Y343">
        <v>6</v>
      </c>
      <c r="Z343" t="s">
        <v>137</v>
      </c>
      <c r="AB343">
        <v>2.9999999999999997E-4</v>
      </c>
      <c r="AG343" t="s">
        <v>95</v>
      </c>
      <c r="AX343" t="s">
        <v>201</v>
      </c>
      <c r="AY343" t="s">
        <v>202</v>
      </c>
      <c r="AZ343" t="s">
        <v>486</v>
      </c>
      <c r="BC343">
        <v>0.41670000000000001</v>
      </c>
      <c r="BH343" t="s">
        <v>99</v>
      </c>
      <c r="BO343" t="s">
        <v>111</v>
      </c>
      <c r="CD343" t="s">
        <v>204</v>
      </c>
      <c r="CE343">
        <v>75334</v>
      </c>
      <c r="CF343" t="s">
        <v>205</v>
      </c>
      <c r="CG343" t="s">
        <v>206</v>
      </c>
      <c r="CH343">
        <v>2003</v>
      </c>
    </row>
    <row r="344" spans="1:86" hidden="1" x14ac:dyDescent="0.25">
      <c r="A344">
        <v>330541</v>
      </c>
      <c r="B344" t="s">
        <v>86</v>
      </c>
      <c r="D344" t="s">
        <v>115</v>
      </c>
      <c r="K344" t="s">
        <v>484</v>
      </c>
      <c r="L344" t="s">
        <v>143</v>
      </c>
      <c r="M344" t="s">
        <v>90</v>
      </c>
      <c r="N344" t="s">
        <v>118</v>
      </c>
      <c r="V344" t="s">
        <v>91</v>
      </c>
      <c r="W344" t="s">
        <v>92</v>
      </c>
      <c r="X344" t="s">
        <v>93</v>
      </c>
      <c r="Y344">
        <v>2</v>
      </c>
      <c r="Z344" t="s">
        <v>137</v>
      </c>
      <c r="AB344">
        <v>1.165486</v>
      </c>
      <c r="AG344" t="s">
        <v>95</v>
      </c>
      <c r="AX344" t="s">
        <v>144</v>
      </c>
      <c r="AY344" t="s">
        <v>503</v>
      </c>
      <c r="AZ344" t="s">
        <v>486</v>
      </c>
      <c r="BC344">
        <v>0.5</v>
      </c>
      <c r="BH344" t="s">
        <v>99</v>
      </c>
      <c r="BO344" t="s">
        <v>111</v>
      </c>
      <c r="CD344" t="s">
        <v>487</v>
      </c>
      <c r="CE344">
        <v>167045</v>
      </c>
      <c r="CF344" t="s">
        <v>488</v>
      </c>
      <c r="CG344" t="s">
        <v>489</v>
      </c>
      <c r="CH344">
        <v>2010</v>
      </c>
    </row>
    <row r="345" spans="1:86" hidden="1" x14ac:dyDescent="0.25">
      <c r="A345">
        <v>330541</v>
      </c>
      <c r="B345" t="s">
        <v>86</v>
      </c>
      <c r="D345" t="s">
        <v>115</v>
      </c>
      <c r="K345" t="s">
        <v>484</v>
      </c>
      <c r="L345" t="s">
        <v>143</v>
      </c>
      <c r="M345" t="s">
        <v>90</v>
      </c>
      <c r="N345" t="s">
        <v>118</v>
      </c>
      <c r="V345" t="s">
        <v>91</v>
      </c>
      <c r="W345" t="s">
        <v>92</v>
      </c>
      <c r="X345" t="s">
        <v>93</v>
      </c>
      <c r="Y345">
        <v>2</v>
      </c>
      <c r="Z345" t="s">
        <v>137</v>
      </c>
      <c r="AB345">
        <v>1.165486</v>
      </c>
      <c r="AG345" t="s">
        <v>95</v>
      </c>
      <c r="AX345" t="s">
        <v>144</v>
      </c>
      <c r="AY345" t="s">
        <v>503</v>
      </c>
      <c r="AZ345" t="s">
        <v>486</v>
      </c>
      <c r="BC345">
        <v>0.25</v>
      </c>
      <c r="BH345" t="s">
        <v>99</v>
      </c>
      <c r="BO345" t="s">
        <v>111</v>
      </c>
      <c r="CD345" t="s">
        <v>487</v>
      </c>
      <c r="CE345">
        <v>167045</v>
      </c>
      <c r="CF345" t="s">
        <v>488</v>
      </c>
      <c r="CG345" t="s">
        <v>489</v>
      </c>
      <c r="CH345">
        <v>2010</v>
      </c>
    </row>
    <row r="346" spans="1:86" hidden="1" x14ac:dyDescent="0.25">
      <c r="A346">
        <v>330541</v>
      </c>
      <c r="B346" t="s">
        <v>86</v>
      </c>
      <c r="D346" t="s">
        <v>115</v>
      </c>
      <c r="K346" t="s">
        <v>484</v>
      </c>
      <c r="L346" t="s">
        <v>143</v>
      </c>
      <c r="M346" t="s">
        <v>90</v>
      </c>
      <c r="N346" t="s">
        <v>118</v>
      </c>
      <c r="V346" t="s">
        <v>91</v>
      </c>
      <c r="W346" t="s">
        <v>92</v>
      </c>
      <c r="X346" t="s">
        <v>93</v>
      </c>
      <c r="Y346">
        <v>2</v>
      </c>
      <c r="Z346" t="s">
        <v>137</v>
      </c>
      <c r="AB346">
        <v>1.165486</v>
      </c>
      <c r="AG346" t="s">
        <v>95</v>
      </c>
      <c r="AX346" t="s">
        <v>282</v>
      </c>
      <c r="AY346" t="s">
        <v>485</v>
      </c>
      <c r="AZ346" t="s">
        <v>486</v>
      </c>
      <c r="BC346">
        <v>0.25</v>
      </c>
      <c r="BH346" t="s">
        <v>99</v>
      </c>
      <c r="BO346" t="s">
        <v>111</v>
      </c>
      <c r="CD346" t="s">
        <v>487</v>
      </c>
      <c r="CE346">
        <v>167045</v>
      </c>
      <c r="CF346" t="s">
        <v>488</v>
      </c>
      <c r="CG346" t="s">
        <v>489</v>
      </c>
      <c r="CH346">
        <v>2010</v>
      </c>
    </row>
    <row r="347" spans="1:86" hidden="1" x14ac:dyDescent="0.25">
      <c r="A347">
        <v>330541</v>
      </c>
      <c r="B347" t="s">
        <v>86</v>
      </c>
      <c r="D347" t="s">
        <v>115</v>
      </c>
      <c r="K347" t="s">
        <v>484</v>
      </c>
      <c r="L347" t="s">
        <v>143</v>
      </c>
      <c r="M347" t="s">
        <v>90</v>
      </c>
      <c r="N347" t="s">
        <v>118</v>
      </c>
      <c r="V347" t="s">
        <v>91</v>
      </c>
      <c r="W347" t="s">
        <v>92</v>
      </c>
      <c r="X347" t="s">
        <v>93</v>
      </c>
      <c r="Y347">
        <v>2</v>
      </c>
      <c r="Z347" t="s">
        <v>137</v>
      </c>
      <c r="AB347">
        <v>1.165486</v>
      </c>
      <c r="AG347" t="s">
        <v>95</v>
      </c>
      <c r="AX347" t="s">
        <v>201</v>
      </c>
      <c r="AY347" t="s">
        <v>490</v>
      </c>
      <c r="AZ347" t="s">
        <v>486</v>
      </c>
      <c r="BC347">
        <v>1</v>
      </c>
      <c r="BH347" t="s">
        <v>99</v>
      </c>
      <c r="BO347" t="s">
        <v>111</v>
      </c>
      <c r="CD347" t="s">
        <v>487</v>
      </c>
      <c r="CE347">
        <v>167045</v>
      </c>
      <c r="CF347" t="s">
        <v>488</v>
      </c>
      <c r="CG347" t="s">
        <v>489</v>
      </c>
      <c r="CH347">
        <v>2010</v>
      </c>
    </row>
    <row r="348" spans="1:86" hidden="1" x14ac:dyDescent="0.25">
      <c r="A348">
        <v>330541</v>
      </c>
      <c r="B348" t="s">
        <v>86</v>
      </c>
      <c r="D348" t="s">
        <v>115</v>
      </c>
      <c r="K348" t="s">
        <v>484</v>
      </c>
      <c r="L348" t="s">
        <v>143</v>
      </c>
      <c r="M348" t="s">
        <v>90</v>
      </c>
      <c r="N348" t="s">
        <v>118</v>
      </c>
      <c r="V348" t="s">
        <v>91</v>
      </c>
      <c r="W348" t="s">
        <v>92</v>
      </c>
      <c r="X348" t="s">
        <v>93</v>
      </c>
      <c r="Y348">
        <v>2</v>
      </c>
      <c r="Z348" t="s">
        <v>137</v>
      </c>
      <c r="AB348">
        <v>1.165486</v>
      </c>
      <c r="AG348" t="s">
        <v>95</v>
      </c>
      <c r="AX348" t="s">
        <v>282</v>
      </c>
      <c r="AY348" t="s">
        <v>485</v>
      </c>
      <c r="AZ348" t="s">
        <v>486</v>
      </c>
      <c r="BC348">
        <v>1</v>
      </c>
      <c r="BH348" t="s">
        <v>99</v>
      </c>
      <c r="BO348" t="s">
        <v>111</v>
      </c>
      <c r="CD348" t="s">
        <v>487</v>
      </c>
      <c r="CE348">
        <v>167045</v>
      </c>
      <c r="CF348" t="s">
        <v>488</v>
      </c>
      <c r="CG348" t="s">
        <v>489</v>
      </c>
      <c r="CH348">
        <v>2010</v>
      </c>
    </row>
    <row r="349" spans="1:86" hidden="1" x14ac:dyDescent="0.25">
      <c r="A349">
        <v>330541</v>
      </c>
      <c r="B349" t="s">
        <v>86</v>
      </c>
      <c r="D349" t="s">
        <v>115</v>
      </c>
      <c r="K349" t="s">
        <v>484</v>
      </c>
      <c r="L349" t="s">
        <v>143</v>
      </c>
      <c r="M349" t="s">
        <v>90</v>
      </c>
      <c r="N349" t="s">
        <v>118</v>
      </c>
      <c r="V349" t="s">
        <v>91</v>
      </c>
      <c r="W349" t="s">
        <v>92</v>
      </c>
      <c r="X349" t="s">
        <v>93</v>
      </c>
      <c r="Y349">
        <v>2</v>
      </c>
      <c r="Z349" t="s">
        <v>137</v>
      </c>
      <c r="AB349">
        <v>1.165486</v>
      </c>
      <c r="AG349" t="s">
        <v>95</v>
      </c>
      <c r="AX349" t="s">
        <v>201</v>
      </c>
      <c r="AY349" t="s">
        <v>490</v>
      </c>
      <c r="AZ349" t="s">
        <v>486</v>
      </c>
      <c r="BC349">
        <v>0.5</v>
      </c>
      <c r="BH349" t="s">
        <v>99</v>
      </c>
      <c r="BO349" t="s">
        <v>111</v>
      </c>
      <c r="CD349" t="s">
        <v>487</v>
      </c>
      <c r="CE349">
        <v>167045</v>
      </c>
      <c r="CF349" t="s">
        <v>488</v>
      </c>
      <c r="CG349" t="s">
        <v>489</v>
      </c>
      <c r="CH349">
        <v>2010</v>
      </c>
    </row>
    <row r="350" spans="1:86" hidden="1" x14ac:dyDescent="0.25">
      <c r="A350">
        <v>330541</v>
      </c>
      <c r="B350" t="s">
        <v>86</v>
      </c>
      <c r="D350" t="s">
        <v>115</v>
      </c>
      <c r="K350" t="s">
        <v>180</v>
      </c>
      <c r="L350" t="s">
        <v>117</v>
      </c>
      <c r="M350" t="s">
        <v>90</v>
      </c>
      <c r="N350" t="s">
        <v>118</v>
      </c>
      <c r="V350" t="s">
        <v>91</v>
      </c>
      <c r="W350" t="s">
        <v>92</v>
      </c>
      <c r="X350" t="s">
        <v>93</v>
      </c>
      <c r="Y350">
        <v>2</v>
      </c>
      <c r="Z350" t="s">
        <v>137</v>
      </c>
      <c r="AB350">
        <v>5.0000000000000001E-3</v>
      </c>
      <c r="AG350" t="s">
        <v>95</v>
      </c>
      <c r="AX350" t="s">
        <v>108</v>
      </c>
      <c r="AY350" t="s">
        <v>160</v>
      </c>
      <c r="AZ350" t="s">
        <v>486</v>
      </c>
      <c r="BE350">
        <v>13</v>
      </c>
      <c r="BG350">
        <v>17</v>
      </c>
      <c r="BH350" t="s">
        <v>99</v>
      </c>
      <c r="BO350" t="s">
        <v>111</v>
      </c>
      <c r="CD350" t="s">
        <v>504</v>
      </c>
      <c r="CE350">
        <v>184288</v>
      </c>
      <c r="CF350" t="s">
        <v>505</v>
      </c>
      <c r="CG350" t="s">
        <v>506</v>
      </c>
      <c r="CH350">
        <v>2020</v>
      </c>
    </row>
    <row r="351" spans="1:86" hidden="1" x14ac:dyDescent="0.25">
      <c r="A351">
        <v>330541</v>
      </c>
      <c r="B351" t="s">
        <v>86</v>
      </c>
      <c r="C351" t="s">
        <v>183</v>
      </c>
      <c r="D351" t="s">
        <v>115</v>
      </c>
      <c r="E351" t="s">
        <v>106</v>
      </c>
      <c r="F351">
        <v>98</v>
      </c>
      <c r="K351" t="s">
        <v>218</v>
      </c>
      <c r="L351" t="s">
        <v>89</v>
      </c>
      <c r="M351" t="s">
        <v>90</v>
      </c>
      <c r="V351" t="s">
        <v>507</v>
      </c>
      <c r="W351" t="s">
        <v>92</v>
      </c>
      <c r="X351" t="s">
        <v>93</v>
      </c>
      <c r="Y351">
        <v>5</v>
      </c>
      <c r="Z351" t="s">
        <v>94</v>
      </c>
      <c r="AB351" s="281">
        <v>2.3309719999999999E-2</v>
      </c>
      <c r="AG351" t="s">
        <v>95</v>
      </c>
      <c r="AX351" t="s">
        <v>108</v>
      </c>
      <c r="AY351" t="s">
        <v>160</v>
      </c>
      <c r="AZ351" t="s">
        <v>486</v>
      </c>
      <c r="BC351">
        <v>15</v>
      </c>
      <c r="BH351" t="s">
        <v>99</v>
      </c>
      <c r="BO351" t="s">
        <v>111</v>
      </c>
      <c r="CD351" t="s">
        <v>508</v>
      </c>
      <c r="CE351">
        <v>19633</v>
      </c>
      <c r="CF351" t="s">
        <v>509</v>
      </c>
      <c r="CG351" t="s">
        <v>510</v>
      </c>
      <c r="CH351">
        <v>1976</v>
      </c>
    </row>
    <row r="352" spans="1:86" hidden="1" x14ac:dyDescent="0.25">
      <c r="A352">
        <v>330541</v>
      </c>
      <c r="B352" t="s">
        <v>86</v>
      </c>
      <c r="C352" t="s">
        <v>183</v>
      </c>
      <c r="D352" t="s">
        <v>115</v>
      </c>
      <c r="E352" t="s">
        <v>106</v>
      </c>
      <c r="F352">
        <v>98</v>
      </c>
      <c r="K352" t="s">
        <v>218</v>
      </c>
      <c r="L352" t="s">
        <v>89</v>
      </c>
      <c r="M352" t="s">
        <v>90</v>
      </c>
      <c r="V352" t="s">
        <v>507</v>
      </c>
      <c r="W352" t="s">
        <v>92</v>
      </c>
      <c r="X352" t="s">
        <v>93</v>
      </c>
      <c r="Y352">
        <v>5</v>
      </c>
      <c r="Z352" t="s">
        <v>94</v>
      </c>
      <c r="AB352" s="281">
        <v>2.3309719999999999E-2</v>
      </c>
      <c r="AG352" t="s">
        <v>95</v>
      </c>
      <c r="AX352" t="s">
        <v>108</v>
      </c>
      <c r="AY352" t="s">
        <v>160</v>
      </c>
      <c r="AZ352" t="s">
        <v>486</v>
      </c>
      <c r="BC352">
        <v>6</v>
      </c>
      <c r="BH352" t="s">
        <v>99</v>
      </c>
      <c r="BO352" t="s">
        <v>111</v>
      </c>
      <c r="CD352" t="s">
        <v>508</v>
      </c>
      <c r="CE352">
        <v>19633</v>
      </c>
      <c r="CF352" t="s">
        <v>509</v>
      </c>
      <c r="CG352" t="s">
        <v>510</v>
      </c>
      <c r="CH352">
        <v>1976</v>
      </c>
    </row>
    <row r="353" spans="1:86" hidden="1" x14ac:dyDescent="0.25">
      <c r="A353">
        <v>330541</v>
      </c>
      <c r="B353" t="s">
        <v>86</v>
      </c>
      <c r="C353" t="s">
        <v>183</v>
      </c>
      <c r="D353" t="s">
        <v>115</v>
      </c>
      <c r="E353" t="s">
        <v>106</v>
      </c>
      <c r="F353">
        <v>98</v>
      </c>
      <c r="K353" t="s">
        <v>218</v>
      </c>
      <c r="L353" t="s">
        <v>89</v>
      </c>
      <c r="M353" t="s">
        <v>90</v>
      </c>
      <c r="V353" t="s">
        <v>507</v>
      </c>
      <c r="W353" t="s">
        <v>92</v>
      </c>
      <c r="X353" t="s">
        <v>93</v>
      </c>
      <c r="Y353">
        <v>5</v>
      </c>
      <c r="Z353" t="s">
        <v>94</v>
      </c>
      <c r="AB353" s="281">
        <v>2.3309719999999999E-2</v>
      </c>
      <c r="AG353" t="s">
        <v>95</v>
      </c>
      <c r="AX353" t="s">
        <v>108</v>
      </c>
      <c r="AY353" t="s">
        <v>160</v>
      </c>
      <c r="AZ353" t="s">
        <v>486</v>
      </c>
      <c r="BC353">
        <v>9</v>
      </c>
      <c r="BH353" t="s">
        <v>99</v>
      </c>
      <c r="BO353" t="s">
        <v>111</v>
      </c>
      <c r="CD353" t="s">
        <v>508</v>
      </c>
      <c r="CE353">
        <v>19633</v>
      </c>
      <c r="CF353" t="s">
        <v>509</v>
      </c>
      <c r="CG353" t="s">
        <v>510</v>
      </c>
      <c r="CH353">
        <v>1976</v>
      </c>
    </row>
    <row r="354" spans="1:86" hidden="1" x14ac:dyDescent="0.25">
      <c r="A354">
        <v>330541</v>
      </c>
      <c r="B354" t="s">
        <v>86</v>
      </c>
      <c r="C354" t="s">
        <v>183</v>
      </c>
      <c r="D354" t="s">
        <v>115</v>
      </c>
      <c r="E354" t="s">
        <v>106</v>
      </c>
      <c r="F354">
        <v>98</v>
      </c>
      <c r="K354" t="s">
        <v>218</v>
      </c>
      <c r="L354" t="s">
        <v>89</v>
      </c>
      <c r="M354" t="s">
        <v>90</v>
      </c>
      <c r="V354" t="s">
        <v>507</v>
      </c>
      <c r="W354" t="s">
        <v>92</v>
      </c>
      <c r="X354" t="s">
        <v>93</v>
      </c>
      <c r="Y354">
        <v>5</v>
      </c>
      <c r="Z354" t="s">
        <v>94</v>
      </c>
      <c r="AB354" s="281">
        <v>2.3309719999999999E-2</v>
      </c>
      <c r="AG354" t="s">
        <v>95</v>
      </c>
      <c r="AX354" t="s">
        <v>108</v>
      </c>
      <c r="AY354" t="s">
        <v>160</v>
      </c>
      <c r="AZ354" t="s">
        <v>486</v>
      </c>
      <c r="BC354">
        <v>3</v>
      </c>
      <c r="BH354" t="s">
        <v>99</v>
      </c>
      <c r="BO354" t="s">
        <v>111</v>
      </c>
      <c r="CD354" t="s">
        <v>508</v>
      </c>
      <c r="CE354">
        <v>19633</v>
      </c>
      <c r="CF354" t="s">
        <v>509</v>
      </c>
      <c r="CG354" t="s">
        <v>510</v>
      </c>
      <c r="CH354">
        <v>1976</v>
      </c>
    </row>
    <row r="355" spans="1:86" hidden="1" x14ac:dyDescent="0.25">
      <c r="A355">
        <v>330541</v>
      </c>
      <c r="B355" t="s">
        <v>86</v>
      </c>
      <c r="C355" t="s">
        <v>183</v>
      </c>
      <c r="D355" t="s">
        <v>115</v>
      </c>
      <c r="E355" t="s">
        <v>106</v>
      </c>
      <c r="F355">
        <v>98</v>
      </c>
      <c r="K355" t="s">
        <v>218</v>
      </c>
      <c r="L355" t="s">
        <v>89</v>
      </c>
      <c r="M355" t="s">
        <v>90</v>
      </c>
      <c r="V355" t="s">
        <v>507</v>
      </c>
      <c r="W355" t="s">
        <v>92</v>
      </c>
      <c r="X355" t="s">
        <v>93</v>
      </c>
      <c r="Y355">
        <v>5</v>
      </c>
      <c r="Z355" t="s">
        <v>94</v>
      </c>
      <c r="AB355" s="281">
        <v>2.3309719999999999E-2</v>
      </c>
      <c r="AG355" t="s">
        <v>95</v>
      </c>
      <c r="AX355" t="s">
        <v>108</v>
      </c>
      <c r="AY355" t="s">
        <v>160</v>
      </c>
      <c r="AZ355" t="s">
        <v>486</v>
      </c>
      <c r="BC355">
        <v>18</v>
      </c>
      <c r="BH355" t="s">
        <v>99</v>
      </c>
      <c r="BO355" t="s">
        <v>111</v>
      </c>
      <c r="CD355" t="s">
        <v>508</v>
      </c>
      <c r="CE355">
        <v>19633</v>
      </c>
      <c r="CF355" t="s">
        <v>509</v>
      </c>
      <c r="CG355" t="s">
        <v>510</v>
      </c>
      <c r="CH355">
        <v>1976</v>
      </c>
    </row>
    <row r="356" spans="1:86" hidden="1" x14ac:dyDescent="0.25">
      <c r="A356">
        <v>330541</v>
      </c>
      <c r="B356" t="s">
        <v>86</v>
      </c>
      <c r="C356" t="s">
        <v>183</v>
      </c>
      <c r="D356" t="s">
        <v>115</v>
      </c>
      <c r="E356" t="s">
        <v>106</v>
      </c>
      <c r="F356">
        <v>98</v>
      </c>
      <c r="K356" t="s">
        <v>218</v>
      </c>
      <c r="L356" t="s">
        <v>89</v>
      </c>
      <c r="M356" t="s">
        <v>90</v>
      </c>
      <c r="V356" t="s">
        <v>507</v>
      </c>
      <c r="W356" t="s">
        <v>92</v>
      </c>
      <c r="X356" t="s">
        <v>93</v>
      </c>
      <c r="Y356">
        <v>5</v>
      </c>
      <c r="Z356" t="s">
        <v>94</v>
      </c>
      <c r="AB356" s="281">
        <v>2.3309719999999999E-2</v>
      </c>
      <c r="AG356" t="s">
        <v>95</v>
      </c>
      <c r="AX356" t="s">
        <v>108</v>
      </c>
      <c r="AY356" t="s">
        <v>160</v>
      </c>
      <c r="AZ356" t="s">
        <v>486</v>
      </c>
      <c r="BC356">
        <v>12</v>
      </c>
      <c r="BH356" t="s">
        <v>99</v>
      </c>
      <c r="BO356" t="s">
        <v>111</v>
      </c>
      <c r="CD356" t="s">
        <v>508</v>
      </c>
      <c r="CE356">
        <v>19633</v>
      </c>
      <c r="CF356" t="s">
        <v>509</v>
      </c>
      <c r="CG356" t="s">
        <v>510</v>
      </c>
      <c r="CH356">
        <v>1976</v>
      </c>
    </row>
    <row r="357" spans="1:86" hidden="1" x14ac:dyDescent="0.25">
      <c r="A357">
        <v>330541</v>
      </c>
      <c r="B357" t="s">
        <v>86</v>
      </c>
      <c r="C357" t="s">
        <v>183</v>
      </c>
      <c r="D357" t="s">
        <v>115</v>
      </c>
      <c r="E357" t="s">
        <v>106</v>
      </c>
      <c r="F357">
        <v>98</v>
      </c>
      <c r="K357" t="s">
        <v>218</v>
      </c>
      <c r="L357" t="s">
        <v>89</v>
      </c>
      <c r="M357" t="s">
        <v>90</v>
      </c>
      <c r="V357" t="s">
        <v>507</v>
      </c>
      <c r="W357" t="s">
        <v>92</v>
      </c>
      <c r="X357" t="s">
        <v>93</v>
      </c>
      <c r="Y357">
        <v>5</v>
      </c>
      <c r="Z357" t="s">
        <v>94</v>
      </c>
      <c r="AB357" s="281">
        <v>2.3309719999999999E-2</v>
      </c>
      <c r="AG357" t="s">
        <v>95</v>
      </c>
      <c r="AX357" t="s">
        <v>108</v>
      </c>
      <c r="AY357" t="s">
        <v>160</v>
      </c>
      <c r="AZ357" t="s">
        <v>486</v>
      </c>
      <c r="BC357">
        <v>21</v>
      </c>
      <c r="BH357" t="s">
        <v>99</v>
      </c>
      <c r="BO357" t="s">
        <v>111</v>
      </c>
      <c r="CD357" t="s">
        <v>508</v>
      </c>
      <c r="CE357">
        <v>19633</v>
      </c>
      <c r="CF357" t="s">
        <v>509</v>
      </c>
      <c r="CG357" t="s">
        <v>510</v>
      </c>
      <c r="CH357">
        <v>1976</v>
      </c>
    </row>
    <row r="358" spans="1:86" x14ac:dyDescent="0.25">
      <c r="A358">
        <v>330541</v>
      </c>
      <c r="B358" t="s">
        <v>86</v>
      </c>
      <c r="C358" t="s">
        <v>104</v>
      </c>
      <c r="D358" t="s">
        <v>115</v>
      </c>
      <c r="K358" t="s">
        <v>224</v>
      </c>
      <c r="L358" t="s">
        <v>89</v>
      </c>
      <c r="M358" t="s">
        <v>90</v>
      </c>
      <c r="R358">
        <v>14</v>
      </c>
      <c r="T358">
        <v>28</v>
      </c>
      <c r="U358" t="s">
        <v>99</v>
      </c>
      <c r="V358" t="s">
        <v>91</v>
      </c>
      <c r="W358" t="s">
        <v>92</v>
      </c>
      <c r="X358" t="s">
        <v>93</v>
      </c>
      <c r="Z358" t="s">
        <v>94</v>
      </c>
      <c r="AB358" s="281">
        <v>5.0000000000000001E-4</v>
      </c>
      <c r="AG358" t="s">
        <v>95</v>
      </c>
      <c r="AX358" t="s">
        <v>108</v>
      </c>
      <c r="AY358" t="s">
        <v>109</v>
      </c>
      <c r="AZ358" t="s">
        <v>486</v>
      </c>
      <c r="BC358">
        <v>1.3899999999999999E-2</v>
      </c>
      <c r="BH358" t="s">
        <v>99</v>
      </c>
      <c r="BO358" t="s">
        <v>111</v>
      </c>
      <c r="CD358" t="s">
        <v>225</v>
      </c>
      <c r="CE358">
        <v>83755</v>
      </c>
      <c r="CF358" t="s">
        <v>226</v>
      </c>
      <c r="CG358" t="s">
        <v>227</v>
      </c>
      <c r="CH358">
        <v>2005</v>
      </c>
    </row>
    <row r="359" spans="1:86" hidden="1" x14ac:dyDescent="0.25">
      <c r="A359">
        <v>330541</v>
      </c>
      <c r="B359" t="s">
        <v>86</v>
      </c>
      <c r="C359" t="s">
        <v>158</v>
      </c>
      <c r="D359" t="s">
        <v>115</v>
      </c>
      <c r="K359" t="s">
        <v>159</v>
      </c>
      <c r="L359" t="s">
        <v>90</v>
      </c>
      <c r="M359" t="s">
        <v>90</v>
      </c>
      <c r="N359" t="s">
        <v>118</v>
      </c>
      <c r="V359" t="s">
        <v>91</v>
      </c>
      <c r="W359" t="s">
        <v>107</v>
      </c>
      <c r="X359" t="s">
        <v>93</v>
      </c>
      <c r="Y359">
        <v>2</v>
      </c>
      <c r="Z359" t="s">
        <v>94</v>
      </c>
      <c r="AB359">
        <v>5.8274299999999998E-3</v>
      </c>
      <c r="AG359" t="s">
        <v>95</v>
      </c>
      <c r="AX359" t="s">
        <v>201</v>
      </c>
      <c r="AY359" t="s">
        <v>511</v>
      </c>
      <c r="AZ359" t="s">
        <v>486</v>
      </c>
      <c r="BA359" t="s">
        <v>497</v>
      </c>
      <c r="BC359">
        <v>3</v>
      </c>
      <c r="BH359" t="s">
        <v>99</v>
      </c>
      <c r="BO359" t="s">
        <v>111</v>
      </c>
      <c r="CD359" t="s">
        <v>161</v>
      </c>
      <c r="CE359">
        <v>112735</v>
      </c>
      <c r="CF359" t="s">
        <v>162</v>
      </c>
      <c r="CG359" t="s">
        <v>163</v>
      </c>
      <c r="CH359">
        <v>2008</v>
      </c>
    </row>
    <row r="360" spans="1:86" hidden="1" x14ac:dyDescent="0.25">
      <c r="A360">
        <v>330541</v>
      </c>
      <c r="B360" t="s">
        <v>86</v>
      </c>
      <c r="D360" t="s">
        <v>115</v>
      </c>
      <c r="F360">
        <v>98</v>
      </c>
      <c r="K360" t="s">
        <v>391</v>
      </c>
      <c r="L360" t="s">
        <v>178</v>
      </c>
      <c r="M360" t="s">
        <v>90</v>
      </c>
      <c r="V360" t="s">
        <v>91</v>
      </c>
      <c r="W360" t="s">
        <v>107</v>
      </c>
      <c r="X360" t="s">
        <v>93</v>
      </c>
      <c r="Y360">
        <v>7</v>
      </c>
      <c r="Z360" t="s">
        <v>94</v>
      </c>
      <c r="AB360">
        <v>0.01</v>
      </c>
      <c r="AG360" t="s">
        <v>95</v>
      </c>
      <c r="AX360" t="s">
        <v>144</v>
      </c>
      <c r="AY360" t="s">
        <v>109</v>
      </c>
      <c r="AZ360" t="s">
        <v>486</v>
      </c>
      <c r="BA360" t="s">
        <v>179</v>
      </c>
      <c r="BC360">
        <v>1</v>
      </c>
      <c r="BH360" t="s">
        <v>99</v>
      </c>
      <c r="BO360" t="s">
        <v>111</v>
      </c>
      <c r="CD360" t="s">
        <v>392</v>
      </c>
      <c r="CE360">
        <v>153835</v>
      </c>
      <c r="CF360" t="s">
        <v>393</v>
      </c>
      <c r="CG360" t="s">
        <v>394</v>
      </c>
      <c r="CH360">
        <v>2011</v>
      </c>
    </row>
    <row r="361" spans="1:86" x14ac:dyDescent="0.25">
      <c r="A361">
        <v>330541</v>
      </c>
      <c r="B361" t="s">
        <v>86</v>
      </c>
      <c r="D361" t="s">
        <v>115</v>
      </c>
      <c r="K361" t="s">
        <v>224</v>
      </c>
      <c r="L361" t="s">
        <v>89</v>
      </c>
      <c r="M361" t="s">
        <v>90</v>
      </c>
      <c r="V361" t="s">
        <v>91</v>
      </c>
      <c r="W361" t="s">
        <v>92</v>
      </c>
      <c r="X361" t="s">
        <v>93</v>
      </c>
      <c r="Z361" t="s">
        <v>137</v>
      </c>
      <c r="AB361">
        <v>23</v>
      </c>
      <c r="AG361" t="s">
        <v>95</v>
      </c>
      <c r="AX361" t="s">
        <v>108</v>
      </c>
      <c r="AY361" t="s">
        <v>150</v>
      </c>
      <c r="AZ361" t="s">
        <v>486</v>
      </c>
      <c r="BC361">
        <v>1.25</v>
      </c>
      <c r="BH361" t="s">
        <v>99</v>
      </c>
      <c r="BO361" t="s">
        <v>111</v>
      </c>
      <c r="CD361" t="s">
        <v>512</v>
      </c>
      <c r="CE361">
        <v>80747</v>
      </c>
      <c r="CF361" t="s">
        <v>513</v>
      </c>
      <c r="CG361" t="s">
        <v>514</v>
      </c>
      <c r="CH361">
        <v>2002</v>
      </c>
    </row>
    <row r="362" spans="1:86" hidden="1" x14ac:dyDescent="0.25">
      <c r="A362">
        <v>330541</v>
      </c>
      <c r="B362" t="s">
        <v>86</v>
      </c>
      <c r="D362" t="s">
        <v>115</v>
      </c>
      <c r="K362" t="s">
        <v>239</v>
      </c>
      <c r="L362" t="s">
        <v>89</v>
      </c>
      <c r="M362" t="s">
        <v>90</v>
      </c>
      <c r="N362" t="s">
        <v>118</v>
      </c>
      <c r="V362" t="s">
        <v>91</v>
      </c>
      <c r="W362" t="s">
        <v>92</v>
      </c>
      <c r="X362" t="s">
        <v>93</v>
      </c>
      <c r="Y362">
        <v>5</v>
      </c>
      <c r="Z362" t="s">
        <v>137</v>
      </c>
      <c r="AB362">
        <v>0.01</v>
      </c>
      <c r="AG362" t="s">
        <v>95</v>
      </c>
      <c r="AX362" t="s">
        <v>108</v>
      </c>
      <c r="AY362" t="s">
        <v>160</v>
      </c>
      <c r="AZ362" t="s">
        <v>486</v>
      </c>
      <c r="BC362">
        <v>1</v>
      </c>
      <c r="BH362" t="s">
        <v>99</v>
      </c>
      <c r="BO362" t="s">
        <v>111</v>
      </c>
      <c r="CD362" t="s">
        <v>405</v>
      </c>
      <c r="CE362">
        <v>101986</v>
      </c>
      <c r="CF362" t="s">
        <v>406</v>
      </c>
      <c r="CG362" t="s">
        <v>407</v>
      </c>
      <c r="CH362">
        <v>2002</v>
      </c>
    </row>
    <row r="363" spans="1:86" hidden="1" x14ac:dyDescent="0.25">
      <c r="A363">
        <v>330541</v>
      </c>
      <c r="B363" t="s">
        <v>86</v>
      </c>
      <c r="D363" t="s">
        <v>115</v>
      </c>
      <c r="F363">
        <v>98</v>
      </c>
      <c r="K363" t="s">
        <v>515</v>
      </c>
      <c r="L363" t="s">
        <v>516</v>
      </c>
      <c r="M363" t="s">
        <v>90</v>
      </c>
      <c r="N363" t="s">
        <v>118</v>
      </c>
      <c r="V363" t="s">
        <v>91</v>
      </c>
      <c r="W363" t="s">
        <v>92</v>
      </c>
      <c r="X363" t="s">
        <v>93</v>
      </c>
      <c r="Z363" t="s">
        <v>94</v>
      </c>
      <c r="AA363" t="s">
        <v>234</v>
      </c>
      <c r="AB363">
        <v>10.023179600000001</v>
      </c>
      <c r="AG363" t="s">
        <v>95</v>
      </c>
      <c r="AX363" t="s">
        <v>144</v>
      </c>
      <c r="AY363" t="s">
        <v>438</v>
      </c>
      <c r="AZ363" t="s">
        <v>486</v>
      </c>
      <c r="BB363" t="s">
        <v>499</v>
      </c>
      <c r="BC363">
        <v>5.5599999999999997E-2</v>
      </c>
      <c r="BH363" t="s">
        <v>99</v>
      </c>
      <c r="BO363" t="s">
        <v>111</v>
      </c>
      <c r="CD363" t="s">
        <v>500</v>
      </c>
      <c r="CE363">
        <v>158970</v>
      </c>
      <c r="CF363" t="s">
        <v>501</v>
      </c>
      <c r="CG363" t="s">
        <v>502</v>
      </c>
      <c r="CH363">
        <v>2012</v>
      </c>
    </row>
    <row r="364" spans="1:86" hidden="1" x14ac:dyDescent="0.25">
      <c r="A364">
        <v>330541</v>
      </c>
      <c r="B364" t="s">
        <v>86</v>
      </c>
      <c r="C364" t="s">
        <v>158</v>
      </c>
      <c r="D364" t="s">
        <v>115</v>
      </c>
      <c r="K364" t="s">
        <v>159</v>
      </c>
      <c r="L364" t="s">
        <v>90</v>
      </c>
      <c r="M364" t="s">
        <v>90</v>
      </c>
      <c r="N364" t="s">
        <v>118</v>
      </c>
      <c r="V364" t="s">
        <v>91</v>
      </c>
      <c r="W364" t="s">
        <v>107</v>
      </c>
      <c r="X364" t="s">
        <v>93</v>
      </c>
      <c r="Y364">
        <v>2</v>
      </c>
      <c r="Z364" t="s">
        <v>94</v>
      </c>
      <c r="AB364">
        <v>5.8274299999999998E-3</v>
      </c>
      <c r="AG364" t="s">
        <v>95</v>
      </c>
      <c r="AX364" t="s">
        <v>201</v>
      </c>
      <c r="AY364" t="s">
        <v>517</v>
      </c>
      <c r="AZ364" t="s">
        <v>486</v>
      </c>
      <c r="BA364" t="s">
        <v>497</v>
      </c>
      <c r="BC364">
        <v>3</v>
      </c>
      <c r="BH364" t="s">
        <v>99</v>
      </c>
      <c r="BO364" t="s">
        <v>111</v>
      </c>
      <c r="CD364" t="s">
        <v>161</v>
      </c>
      <c r="CE364">
        <v>112735</v>
      </c>
      <c r="CF364" t="s">
        <v>162</v>
      </c>
      <c r="CG364" t="s">
        <v>163</v>
      </c>
      <c r="CH364">
        <v>2008</v>
      </c>
    </row>
    <row r="365" spans="1:86" hidden="1" x14ac:dyDescent="0.25">
      <c r="A365">
        <v>330541</v>
      </c>
      <c r="B365" t="s">
        <v>86</v>
      </c>
      <c r="C365" t="s">
        <v>104</v>
      </c>
      <c r="D365" t="s">
        <v>115</v>
      </c>
      <c r="K365" t="s">
        <v>351</v>
      </c>
      <c r="L365" t="s">
        <v>352</v>
      </c>
      <c r="M365" t="s">
        <v>90</v>
      </c>
      <c r="R365">
        <v>14</v>
      </c>
      <c r="T365">
        <v>28</v>
      </c>
      <c r="U365" t="s">
        <v>99</v>
      </c>
      <c r="V365" t="s">
        <v>91</v>
      </c>
      <c r="W365" t="s">
        <v>92</v>
      </c>
      <c r="X365" t="s">
        <v>93</v>
      </c>
      <c r="Z365" t="s">
        <v>94</v>
      </c>
      <c r="AB365">
        <v>5.0000000000000001E-4</v>
      </c>
      <c r="AG365" t="s">
        <v>95</v>
      </c>
      <c r="AX365" t="s">
        <v>108</v>
      </c>
      <c r="AY365" t="s">
        <v>109</v>
      </c>
      <c r="AZ365" t="s">
        <v>486</v>
      </c>
      <c r="BC365">
        <v>1.3899999999999999E-2</v>
      </c>
      <c r="BH365" t="s">
        <v>99</v>
      </c>
      <c r="BO365" t="s">
        <v>111</v>
      </c>
      <c r="CD365" t="s">
        <v>225</v>
      </c>
      <c r="CE365">
        <v>83755</v>
      </c>
      <c r="CF365" t="s">
        <v>226</v>
      </c>
      <c r="CG365" t="s">
        <v>227</v>
      </c>
      <c r="CH365">
        <v>2005</v>
      </c>
    </row>
    <row r="366" spans="1:86" hidden="1" x14ac:dyDescent="0.25">
      <c r="A366">
        <v>330541</v>
      </c>
      <c r="B366" t="s">
        <v>86</v>
      </c>
      <c r="C366" t="s">
        <v>183</v>
      </c>
      <c r="D366" t="s">
        <v>115</v>
      </c>
      <c r="F366">
        <v>80</v>
      </c>
      <c r="K366" t="s">
        <v>194</v>
      </c>
      <c r="L366" t="s">
        <v>143</v>
      </c>
      <c r="M366" t="s">
        <v>90</v>
      </c>
      <c r="V366" t="s">
        <v>91</v>
      </c>
      <c r="W366" t="s">
        <v>92</v>
      </c>
      <c r="X366" t="s">
        <v>93</v>
      </c>
      <c r="Z366" t="s">
        <v>94</v>
      </c>
      <c r="AB366" s="281">
        <v>0.2330972</v>
      </c>
      <c r="AG366" t="s">
        <v>95</v>
      </c>
      <c r="AX366" t="s">
        <v>108</v>
      </c>
      <c r="AY366" t="s">
        <v>150</v>
      </c>
      <c r="AZ366" t="s">
        <v>486</v>
      </c>
      <c r="BC366">
        <v>5</v>
      </c>
      <c r="BH366" t="s">
        <v>99</v>
      </c>
      <c r="BO366" t="s">
        <v>111</v>
      </c>
      <c r="CD366" t="s">
        <v>186</v>
      </c>
      <c r="CE366">
        <v>69879</v>
      </c>
      <c r="CF366" t="s">
        <v>187</v>
      </c>
      <c r="CG366" t="s">
        <v>188</v>
      </c>
      <c r="CH366">
        <v>1998</v>
      </c>
    </row>
    <row r="367" spans="1:86" hidden="1" x14ac:dyDescent="0.25">
      <c r="A367">
        <v>330541</v>
      </c>
      <c r="B367" t="s">
        <v>86</v>
      </c>
      <c r="D367" t="s">
        <v>115</v>
      </c>
      <c r="F367">
        <v>98.4</v>
      </c>
      <c r="K367" t="s">
        <v>90</v>
      </c>
      <c r="L367" t="s">
        <v>90</v>
      </c>
      <c r="M367" t="s">
        <v>90</v>
      </c>
      <c r="V367" t="s">
        <v>91</v>
      </c>
      <c r="W367" t="s">
        <v>92</v>
      </c>
      <c r="X367" t="s">
        <v>93</v>
      </c>
      <c r="Y367">
        <v>5</v>
      </c>
      <c r="Z367" t="s">
        <v>94</v>
      </c>
      <c r="AB367">
        <v>2.5000000000000001E-3</v>
      </c>
      <c r="AG367" t="s">
        <v>95</v>
      </c>
      <c r="AX367" t="s">
        <v>144</v>
      </c>
      <c r="AY367" t="s">
        <v>438</v>
      </c>
      <c r="AZ367" t="s">
        <v>486</v>
      </c>
      <c r="BA367" t="s">
        <v>179</v>
      </c>
      <c r="BC367">
        <v>0.125</v>
      </c>
      <c r="BH367" t="s">
        <v>99</v>
      </c>
      <c r="BO367" t="s">
        <v>111</v>
      </c>
      <c r="CD367" t="s">
        <v>518</v>
      </c>
      <c r="CE367">
        <v>120541</v>
      </c>
      <c r="CF367" t="s">
        <v>519</v>
      </c>
      <c r="CG367" t="s">
        <v>520</v>
      </c>
      <c r="CH367">
        <v>2010</v>
      </c>
    </row>
    <row r="368" spans="1:86" x14ac:dyDescent="0.25">
      <c r="A368">
        <v>330541</v>
      </c>
      <c r="B368" t="s">
        <v>86</v>
      </c>
      <c r="D368" t="s">
        <v>115</v>
      </c>
      <c r="F368">
        <v>98</v>
      </c>
      <c r="K368" t="s">
        <v>224</v>
      </c>
      <c r="L368" t="s">
        <v>89</v>
      </c>
      <c r="M368" t="s">
        <v>90</v>
      </c>
      <c r="N368" t="s">
        <v>118</v>
      </c>
      <c r="V368" t="s">
        <v>91</v>
      </c>
      <c r="W368" t="s">
        <v>92</v>
      </c>
      <c r="X368" t="s">
        <v>93</v>
      </c>
      <c r="Z368" t="s">
        <v>94</v>
      </c>
      <c r="AA368" t="s">
        <v>234</v>
      </c>
      <c r="AB368">
        <v>10.023179600000001</v>
      </c>
      <c r="AG368" t="s">
        <v>95</v>
      </c>
      <c r="AX368" t="s">
        <v>144</v>
      </c>
      <c r="AY368" t="s">
        <v>438</v>
      </c>
      <c r="AZ368" t="s">
        <v>486</v>
      </c>
      <c r="BB368" t="s">
        <v>499</v>
      </c>
      <c r="BC368">
        <v>5.5599999999999997E-2</v>
      </c>
      <c r="BH368" t="s">
        <v>99</v>
      </c>
      <c r="BO368" t="s">
        <v>111</v>
      </c>
      <c r="CD368" t="s">
        <v>500</v>
      </c>
      <c r="CE368">
        <v>158970</v>
      </c>
      <c r="CF368" t="s">
        <v>501</v>
      </c>
      <c r="CG368" t="s">
        <v>502</v>
      </c>
      <c r="CH368">
        <v>2012</v>
      </c>
    </row>
    <row r="369" spans="1:86" hidden="1" x14ac:dyDescent="0.25">
      <c r="A369">
        <v>330541</v>
      </c>
      <c r="B369" t="s">
        <v>86</v>
      </c>
      <c r="D369" t="s">
        <v>115</v>
      </c>
      <c r="E369" t="s">
        <v>106</v>
      </c>
      <c r="F369">
        <v>99</v>
      </c>
      <c r="K369" t="s">
        <v>316</v>
      </c>
      <c r="L369" t="s">
        <v>317</v>
      </c>
      <c r="M369" t="s">
        <v>90</v>
      </c>
      <c r="V369" t="s">
        <v>91</v>
      </c>
      <c r="W369" t="s">
        <v>92</v>
      </c>
      <c r="X369" t="s">
        <v>93</v>
      </c>
      <c r="Y369">
        <v>5</v>
      </c>
      <c r="Z369" t="s">
        <v>94</v>
      </c>
      <c r="AB369">
        <v>5.0000000000000002E-5</v>
      </c>
      <c r="AG369" t="s">
        <v>95</v>
      </c>
      <c r="AX369" t="s">
        <v>196</v>
      </c>
      <c r="AY369" t="s">
        <v>318</v>
      </c>
      <c r="AZ369" t="s">
        <v>486</v>
      </c>
      <c r="BC369">
        <v>14</v>
      </c>
      <c r="BH369" t="s">
        <v>99</v>
      </c>
      <c r="BO369" t="s">
        <v>111</v>
      </c>
      <c r="CD369" t="s">
        <v>319</v>
      </c>
      <c r="CE369">
        <v>102064</v>
      </c>
      <c r="CF369" t="s">
        <v>320</v>
      </c>
      <c r="CG369" t="s">
        <v>321</v>
      </c>
      <c r="CH369">
        <v>2006</v>
      </c>
    </row>
    <row r="370" spans="1:86" hidden="1" x14ac:dyDescent="0.25">
      <c r="A370">
        <v>330541</v>
      </c>
      <c r="B370" t="s">
        <v>86</v>
      </c>
      <c r="D370" t="s">
        <v>115</v>
      </c>
      <c r="F370">
        <v>98.4</v>
      </c>
      <c r="K370" t="s">
        <v>90</v>
      </c>
      <c r="L370" t="s">
        <v>90</v>
      </c>
      <c r="M370" t="s">
        <v>90</v>
      </c>
      <c r="V370" t="s">
        <v>91</v>
      </c>
      <c r="W370" t="s">
        <v>92</v>
      </c>
      <c r="X370" t="s">
        <v>93</v>
      </c>
      <c r="Y370">
        <v>5</v>
      </c>
      <c r="Z370" t="s">
        <v>94</v>
      </c>
      <c r="AB370">
        <v>0.01</v>
      </c>
      <c r="AG370" t="s">
        <v>95</v>
      </c>
      <c r="AX370" t="s">
        <v>144</v>
      </c>
      <c r="AY370" t="s">
        <v>438</v>
      </c>
      <c r="AZ370" t="s">
        <v>486</v>
      </c>
      <c r="BA370" t="s">
        <v>179</v>
      </c>
      <c r="BC370">
        <v>0.125</v>
      </c>
      <c r="BH370" t="s">
        <v>99</v>
      </c>
      <c r="BO370" t="s">
        <v>111</v>
      </c>
      <c r="CD370" t="s">
        <v>518</v>
      </c>
      <c r="CE370">
        <v>120541</v>
      </c>
      <c r="CF370" t="s">
        <v>519</v>
      </c>
      <c r="CG370" t="s">
        <v>520</v>
      </c>
      <c r="CH370">
        <v>2010</v>
      </c>
    </row>
    <row r="371" spans="1:86" hidden="1" x14ac:dyDescent="0.25">
      <c r="A371">
        <v>330541</v>
      </c>
      <c r="B371" t="s">
        <v>86</v>
      </c>
      <c r="D371" t="s">
        <v>115</v>
      </c>
      <c r="F371">
        <v>98.4</v>
      </c>
      <c r="K371" t="s">
        <v>351</v>
      </c>
      <c r="L371" t="s">
        <v>352</v>
      </c>
      <c r="M371" t="s">
        <v>90</v>
      </c>
      <c r="V371" t="s">
        <v>491</v>
      </c>
      <c r="W371" t="s">
        <v>92</v>
      </c>
      <c r="X371" t="s">
        <v>492</v>
      </c>
      <c r="Y371">
        <v>2</v>
      </c>
      <c r="Z371" t="s">
        <v>94</v>
      </c>
      <c r="AB371">
        <v>5.0000000000000001E-3</v>
      </c>
      <c r="AG371" t="s">
        <v>95</v>
      </c>
      <c r="AX371" t="s">
        <v>108</v>
      </c>
      <c r="AY371" t="s">
        <v>150</v>
      </c>
      <c r="AZ371" t="s">
        <v>486</v>
      </c>
      <c r="BB371" t="s">
        <v>499</v>
      </c>
      <c r="BC371">
        <v>40</v>
      </c>
      <c r="BH371" t="s">
        <v>99</v>
      </c>
      <c r="BO371" t="s">
        <v>111</v>
      </c>
      <c r="CD371" t="s">
        <v>493</v>
      </c>
      <c r="CE371">
        <v>165274</v>
      </c>
      <c r="CF371" t="s">
        <v>494</v>
      </c>
      <c r="CG371" t="s">
        <v>495</v>
      </c>
      <c r="CH371">
        <v>2012</v>
      </c>
    </row>
    <row r="372" spans="1:86" hidden="1" x14ac:dyDescent="0.25">
      <c r="A372">
        <v>330541</v>
      </c>
      <c r="B372" t="s">
        <v>86</v>
      </c>
      <c r="C372" t="s">
        <v>158</v>
      </c>
      <c r="D372" t="s">
        <v>115</v>
      </c>
      <c r="K372" t="s">
        <v>408</v>
      </c>
      <c r="L372" t="s">
        <v>117</v>
      </c>
      <c r="M372" t="s">
        <v>90</v>
      </c>
      <c r="N372" t="s">
        <v>118</v>
      </c>
      <c r="V372" t="s">
        <v>91</v>
      </c>
      <c r="W372" t="s">
        <v>92</v>
      </c>
      <c r="X372" t="s">
        <v>93</v>
      </c>
      <c r="Z372" t="s">
        <v>94</v>
      </c>
      <c r="AB372">
        <v>2.9999999999999997E-4</v>
      </c>
      <c r="AG372" t="s">
        <v>95</v>
      </c>
      <c r="AX372" t="s">
        <v>144</v>
      </c>
      <c r="AY372" t="s">
        <v>109</v>
      </c>
      <c r="AZ372" t="s">
        <v>486</v>
      </c>
      <c r="BA372" t="s">
        <v>179</v>
      </c>
      <c r="BB372" t="s">
        <v>234</v>
      </c>
      <c r="BC372">
        <v>0.16669999999999999</v>
      </c>
      <c r="BH372" t="s">
        <v>99</v>
      </c>
      <c r="BO372" t="s">
        <v>111</v>
      </c>
      <c r="CD372" t="s">
        <v>398</v>
      </c>
      <c r="CE372">
        <v>153836</v>
      </c>
      <c r="CF372" t="s">
        <v>399</v>
      </c>
      <c r="CG372" t="s">
        <v>400</v>
      </c>
      <c r="CH372">
        <v>2010</v>
      </c>
    </row>
    <row r="373" spans="1:86" hidden="1" x14ac:dyDescent="0.25">
      <c r="A373">
        <v>330541</v>
      </c>
      <c r="B373" t="s">
        <v>86</v>
      </c>
      <c r="D373" t="s">
        <v>115</v>
      </c>
      <c r="F373">
        <v>98.4</v>
      </c>
      <c r="K373" t="s">
        <v>90</v>
      </c>
      <c r="L373" t="s">
        <v>90</v>
      </c>
      <c r="M373" t="s">
        <v>90</v>
      </c>
      <c r="V373" t="s">
        <v>91</v>
      </c>
      <c r="W373" t="s">
        <v>92</v>
      </c>
      <c r="X373" t="s">
        <v>93</v>
      </c>
      <c r="Y373">
        <v>5</v>
      </c>
      <c r="Z373" t="s">
        <v>94</v>
      </c>
      <c r="AB373">
        <v>2.5000000000000001E-3</v>
      </c>
      <c r="AG373" t="s">
        <v>95</v>
      </c>
      <c r="AX373" t="s">
        <v>144</v>
      </c>
      <c r="AY373" t="s">
        <v>438</v>
      </c>
      <c r="AZ373" t="s">
        <v>486</v>
      </c>
      <c r="BA373" t="s">
        <v>179</v>
      </c>
      <c r="BC373">
        <v>0.125</v>
      </c>
      <c r="BH373" t="s">
        <v>99</v>
      </c>
      <c r="BO373" t="s">
        <v>111</v>
      </c>
      <c r="CD373" t="s">
        <v>518</v>
      </c>
      <c r="CE373">
        <v>120541</v>
      </c>
      <c r="CF373" t="s">
        <v>519</v>
      </c>
      <c r="CG373" t="s">
        <v>520</v>
      </c>
      <c r="CH373">
        <v>2010</v>
      </c>
    </row>
    <row r="374" spans="1:86" hidden="1" x14ac:dyDescent="0.25">
      <c r="A374">
        <v>330541</v>
      </c>
      <c r="B374" t="s">
        <v>86</v>
      </c>
      <c r="D374" t="s">
        <v>115</v>
      </c>
      <c r="K374" t="s">
        <v>180</v>
      </c>
      <c r="L374" t="s">
        <v>117</v>
      </c>
      <c r="M374" t="s">
        <v>90</v>
      </c>
      <c r="N374" t="s">
        <v>118</v>
      </c>
      <c r="V374" t="s">
        <v>91</v>
      </c>
      <c r="W374" t="s">
        <v>92</v>
      </c>
      <c r="X374" t="s">
        <v>93</v>
      </c>
      <c r="Y374">
        <v>2</v>
      </c>
      <c r="Z374" t="s">
        <v>137</v>
      </c>
      <c r="AB374">
        <v>5.0000000000000001E-3</v>
      </c>
      <c r="AG374" t="s">
        <v>95</v>
      </c>
      <c r="AX374" t="s">
        <v>108</v>
      </c>
      <c r="AY374" t="s">
        <v>160</v>
      </c>
      <c r="AZ374" t="s">
        <v>486</v>
      </c>
      <c r="BE374">
        <v>13</v>
      </c>
      <c r="BG374">
        <v>17</v>
      </c>
      <c r="BH374" t="s">
        <v>99</v>
      </c>
      <c r="BO374" t="s">
        <v>111</v>
      </c>
      <c r="CD374" t="s">
        <v>504</v>
      </c>
      <c r="CE374">
        <v>184288</v>
      </c>
      <c r="CF374" t="s">
        <v>505</v>
      </c>
      <c r="CG374" t="s">
        <v>506</v>
      </c>
      <c r="CH374">
        <v>2020</v>
      </c>
    </row>
    <row r="375" spans="1:86" hidden="1" x14ac:dyDescent="0.25">
      <c r="A375">
        <v>330541</v>
      </c>
      <c r="B375" t="s">
        <v>86</v>
      </c>
      <c r="D375" t="s">
        <v>115</v>
      </c>
      <c r="K375" t="s">
        <v>180</v>
      </c>
      <c r="L375" t="s">
        <v>117</v>
      </c>
      <c r="M375" t="s">
        <v>90</v>
      </c>
      <c r="N375" t="s">
        <v>118</v>
      </c>
      <c r="V375" t="s">
        <v>91</v>
      </c>
      <c r="W375" t="s">
        <v>92</v>
      </c>
      <c r="X375" t="s">
        <v>93</v>
      </c>
      <c r="Y375">
        <v>2</v>
      </c>
      <c r="Z375" t="s">
        <v>137</v>
      </c>
      <c r="AB375">
        <v>5.0000000000000001E-3</v>
      </c>
      <c r="AG375" t="s">
        <v>95</v>
      </c>
      <c r="AX375" t="s">
        <v>108</v>
      </c>
      <c r="AY375" t="s">
        <v>160</v>
      </c>
      <c r="AZ375" t="s">
        <v>486</v>
      </c>
      <c r="BE375">
        <v>13</v>
      </c>
      <c r="BG375">
        <v>17</v>
      </c>
      <c r="BH375" t="s">
        <v>99</v>
      </c>
      <c r="BO375" t="s">
        <v>111</v>
      </c>
      <c r="CD375" t="s">
        <v>504</v>
      </c>
      <c r="CE375">
        <v>184288</v>
      </c>
      <c r="CF375" t="s">
        <v>505</v>
      </c>
      <c r="CG375" t="s">
        <v>506</v>
      </c>
      <c r="CH375">
        <v>2020</v>
      </c>
    </row>
    <row r="376" spans="1:86" hidden="1" x14ac:dyDescent="0.25">
      <c r="A376">
        <v>330541</v>
      </c>
      <c r="B376" t="s">
        <v>86</v>
      </c>
      <c r="D376" t="s">
        <v>115</v>
      </c>
      <c r="K376" t="s">
        <v>180</v>
      </c>
      <c r="L376" t="s">
        <v>117</v>
      </c>
      <c r="M376" t="s">
        <v>90</v>
      </c>
      <c r="N376" t="s">
        <v>118</v>
      </c>
      <c r="V376" t="s">
        <v>91</v>
      </c>
      <c r="W376" t="s">
        <v>92</v>
      </c>
      <c r="X376" t="s">
        <v>93</v>
      </c>
      <c r="Y376">
        <v>2</v>
      </c>
      <c r="Z376" t="s">
        <v>137</v>
      </c>
      <c r="AB376">
        <v>5.0000000000000001E-3</v>
      </c>
      <c r="AG376" t="s">
        <v>95</v>
      </c>
      <c r="AX376" t="s">
        <v>108</v>
      </c>
      <c r="AY376" t="s">
        <v>150</v>
      </c>
      <c r="AZ376" t="s">
        <v>486</v>
      </c>
      <c r="BE376">
        <v>13</v>
      </c>
      <c r="BG376">
        <v>17</v>
      </c>
      <c r="BH376" t="s">
        <v>99</v>
      </c>
      <c r="BO376" t="s">
        <v>111</v>
      </c>
      <c r="CD376" t="s">
        <v>504</v>
      </c>
      <c r="CE376">
        <v>184288</v>
      </c>
      <c r="CF376" t="s">
        <v>505</v>
      </c>
      <c r="CG376" t="s">
        <v>506</v>
      </c>
      <c r="CH376">
        <v>2020</v>
      </c>
    </row>
    <row r="377" spans="1:86" hidden="1" x14ac:dyDescent="0.25">
      <c r="A377">
        <v>330541</v>
      </c>
      <c r="B377" t="s">
        <v>86</v>
      </c>
      <c r="D377" t="s">
        <v>115</v>
      </c>
      <c r="F377">
        <v>80</v>
      </c>
      <c r="K377" t="s">
        <v>442</v>
      </c>
      <c r="L377" t="s">
        <v>89</v>
      </c>
      <c r="M377" t="s">
        <v>90</v>
      </c>
      <c r="P377">
        <v>1</v>
      </c>
      <c r="U377" t="s">
        <v>219</v>
      </c>
      <c r="V377" t="s">
        <v>91</v>
      </c>
      <c r="W377" t="s">
        <v>92</v>
      </c>
      <c r="X377" t="s">
        <v>93</v>
      </c>
      <c r="Y377">
        <v>13</v>
      </c>
      <c r="Z377" t="s">
        <v>94</v>
      </c>
      <c r="AB377" s="281">
        <v>0.2330972</v>
      </c>
      <c r="AG377" t="s">
        <v>95</v>
      </c>
      <c r="AX377" t="s">
        <v>108</v>
      </c>
      <c r="AY377" t="s">
        <v>150</v>
      </c>
      <c r="AZ377" t="s">
        <v>486</v>
      </c>
      <c r="BC377">
        <v>7</v>
      </c>
      <c r="BH377" t="s">
        <v>99</v>
      </c>
      <c r="BO377" t="s">
        <v>111</v>
      </c>
      <c r="CD377" t="s">
        <v>443</v>
      </c>
      <c r="CE377">
        <v>61203</v>
      </c>
      <c r="CF377" t="s">
        <v>444</v>
      </c>
      <c r="CG377" t="s">
        <v>445</v>
      </c>
      <c r="CH377">
        <v>1983</v>
      </c>
    </row>
    <row r="378" spans="1:86" hidden="1" x14ac:dyDescent="0.25">
      <c r="A378">
        <v>330541</v>
      </c>
      <c r="B378" t="s">
        <v>86</v>
      </c>
      <c r="C378" t="s">
        <v>158</v>
      </c>
      <c r="D378" t="s">
        <v>115</v>
      </c>
      <c r="K378" t="s">
        <v>173</v>
      </c>
      <c r="L378" t="s">
        <v>117</v>
      </c>
      <c r="M378" t="s">
        <v>90</v>
      </c>
      <c r="N378" t="s">
        <v>118</v>
      </c>
      <c r="V378" t="s">
        <v>91</v>
      </c>
      <c r="W378" t="s">
        <v>107</v>
      </c>
      <c r="X378" t="s">
        <v>93</v>
      </c>
      <c r="Y378">
        <v>2</v>
      </c>
      <c r="Z378" t="s">
        <v>94</v>
      </c>
      <c r="AB378">
        <v>3.7295551999999999E-3</v>
      </c>
      <c r="AG378" t="s">
        <v>95</v>
      </c>
      <c r="AX378" t="s">
        <v>201</v>
      </c>
      <c r="AY378" t="s">
        <v>521</v>
      </c>
      <c r="AZ378" t="s">
        <v>486</v>
      </c>
      <c r="BA378" t="s">
        <v>179</v>
      </c>
      <c r="BC378">
        <v>3</v>
      </c>
      <c r="BH378" t="s">
        <v>99</v>
      </c>
      <c r="BO378" t="s">
        <v>111</v>
      </c>
      <c r="CD378" t="s">
        <v>161</v>
      </c>
      <c r="CE378">
        <v>112735</v>
      </c>
      <c r="CF378" t="s">
        <v>162</v>
      </c>
      <c r="CG378" t="s">
        <v>163</v>
      </c>
      <c r="CH378">
        <v>2008</v>
      </c>
    </row>
    <row r="379" spans="1:86" hidden="1" x14ac:dyDescent="0.25">
      <c r="A379">
        <v>330541</v>
      </c>
      <c r="B379" t="s">
        <v>86</v>
      </c>
      <c r="D379" t="s">
        <v>115</v>
      </c>
      <c r="E379" t="s">
        <v>106</v>
      </c>
      <c r="F379">
        <v>98</v>
      </c>
      <c r="K379" t="s">
        <v>177</v>
      </c>
      <c r="L379" t="s">
        <v>178</v>
      </c>
      <c r="M379" t="s">
        <v>90</v>
      </c>
      <c r="V379" t="s">
        <v>91</v>
      </c>
      <c r="W379" t="s">
        <v>107</v>
      </c>
      <c r="X379" t="s">
        <v>93</v>
      </c>
      <c r="Y379" t="s">
        <v>327</v>
      </c>
      <c r="Z379" t="s">
        <v>94</v>
      </c>
      <c r="AB379">
        <v>16</v>
      </c>
      <c r="AG379" t="s">
        <v>95</v>
      </c>
      <c r="AX379" t="s">
        <v>108</v>
      </c>
      <c r="AY379" t="s">
        <v>150</v>
      </c>
      <c r="AZ379" t="s">
        <v>486</v>
      </c>
      <c r="BC379">
        <v>1</v>
      </c>
      <c r="BH379" t="s">
        <v>99</v>
      </c>
      <c r="BO379" t="s">
        <v>111</v>
      </c>
      <c r="CD379" t="s">
        <v>328</v>
      </c>
      <c r="CE379">
        <v>110086</v>
      </c>
      <c r="CF379" t="s">
        <v>329</v>
      </c>
      <c r="CG379" t="s">
        <v>330</v>
      </c>
      <c r="CH379">
        <v>2008</v>
      </c>
    </row>
    <row r="380" spans="1:86" hidden="1" x14ac:dyDescent="0.25">
      <c r="A380">
        <v>330541</v>
      </c>
      <c r="B380" t="s">
        <v>86</v>
      </c>
      <c r="D380" t="s">
        <v>115</v>
      </c>
      <c r="K380" t="s">
        <v>270</v>
      </c>
      <c r="L380" t="s">
        <v>271</v>
      </c>
      <c r="M380" t="s">
        <v>90</v>
      </c>
      <c r="V380" t="s">
        <v>272</v>
      </c>
      <c r="W380" t="s">
        <v>107</v>
      </c>
      <c r="X380" t="s">
        <v>93</v>
      </c>
      <c r="Z380" t="s">
        <v>137</v>
      </c>
      <c r="AB380">
        <v>2.3309719999999999E-2</v>
      </c>
      <c r="AG380" t="s">
        <v>95</v>
      </c>
      <c r="AX380" t="s">
        <v>144</v>
      </c>
      <c r="AY380" t="s">
        <v>109</v>
      </c>
      <c r="AZ380" t="s">
        <v>486</v>
      </c>
      <c r="BC380">
        <v>0.13539999999999999</v>
      </c>
      <c r="BH380" t="s">
        <v>99</v>
      </c>
      <c r="BO380" t="s">
        <v>111</v>
      </c>
      <c r="CD380" t="s">
        <v>273</v>
      </c>
      <c r="CE380">
        <v>175899</v>
      </c>
      <c r="CF380" t="s">
        <v>274</v>
      </c>
      <c r="CG380" t="s">
        <v>275</v>
      </c>
      <c r="CH380">
        <v>2012</v>
      </c>
    </row>
    <row r="381" spans="1:86" hidden="1" x14ac:dyDescent="0.25">
      <c r="A381">
        <v>330541</v>
      </c>
      <c r="B381" t="s">
        <v>86</v>
      </c>
      <c r="D381" t="s">
        <v>115</v>
      </c>
      <c r="F381">
        <v>98</v>
      </c>
      <c r="K381" t="s">
        <v>391</v>
      </c>
      <c r="L381" t="s">
        <v>178</v>
      </c>
      <c r="M381" t="s">
        <v>90</v>
      </c>
      <c r="V381" t="s">
        <v>91</v>
      </c>
      <c r="W381" t="s">
        <v>107</v>
      </c>
      <c r="X381" t="s">
        <v>93</v>
      </c>
      <c r="Y381">
        <v>7</v>
      </c>
      <c r="Z381" t="s">
        <v>94</v>
      </c>
      <c r="AB381">
        <v>1E-3</v>
      </c>
      <c r="AG381" t="s">
        <v>95</v>
      </c>
      <c r="AX381" t="s">
        <v>144</v>
      </c>
      <c r="AY381" t="s">
        <v>109</v>
      </c>
      <c r="AZ381" t="s">
        <v>486</v>
      </c>
      <c r="BA381" t="s">
        <v>179</v>
      </c>
      <c r="BC381">
        <v>1</v>
      </c>
      <c r="BH381" t="s">
        <v>99</v>
      </c>
      <c r="BO381" t="s">
        <v>111</v>
      </c>
      <c r="CD381" t="s">
        <v>392</v>
      </c>
      <c r="CE381">
        <v>153835</v>
      </c>
      <c r="CF381" t="s">
        <v>393</v>
      </c>
      <c r="CG381" t="s">
        <v>394</v>
      </c>
      <c r="CH381">
        <v>2011</v>
      </c>
    </row>
    <row r="382" spans="1:86" hidden="1" x14ac:dyDescent="0.25">
      <c r="A382">
        <v>330541</v>
      </c>
      <c r="B382" t="s">
        <v>86</v>
      </c>
      <c r="D382" t="s">
        <v>115</v>
      </c>
      <c r="K382" t="s">
        <v>270</v>
      </c>
      <c r="L382" t="s">
        <v>271</v>
      </c>
      <c r="M382" t="s">
        <v>90</v>
      </c>
      <c r="V382" t="s">
        <v>272</v>
      </c>
      <c r="W382" t="s">
        <v>107</v>
      </c>
      <c r="X382" t="s">
        <v>93</v>
      </c>
      <c r="Y382">
        <v>2</v>
      </c>
      <c r="Z382" t="s">
        <v>137</v>
      </c>
      <c r="AB382">
        <v>1.3985832E-2</v>
      </c>
      <c r="AG382" t="s">
        <v>95</v>
      </c>
      <c r="AX382" t="s">
        <v>144</v>
      </c>
      <c r="AY382" t="s">
        <v>522</v>
      </c>
      <c r="AZ382" t="s">
        <v>486</v>
      </c>
      <c r="BC382">
        <v>0.14580000000000001</v>
      </c>
      <c r="BH382" t="s">
        <v>99</v>
      </c>
      <c r="BO382" t="s">
        <v>111</v>
      </c>
      <c r="CD382" t="s">
        <v>273</v>
      </c>
      <c r="CE382">
        <v>175899</v>
      </c>
      <c r="CF382" t="s">
        <v>274</v>
      </c>
      <c r="CG382" t="s">
        <v>275</v>
      </c>
      <c r="CH382">
        <v>2012</v>
      </c>
    </row>
    <row r="383" spans="1:86" hidden="1" x14ac:dyDescent="0.25">
      <c r="A383">
        <v>330541</v>
      </c>
      <c r="B383" t="s">
        <v>86</v>
      </c>
      <c r="D383" t="s">
        <v>115</v>
      </c>
      <c r="F383">
        <v>80</v>
      </c>
      <c r="K383" t="s">
        <v>442</v>
      </c>
      <c r="L383" t="s">
        <v>89</v>
      </c>
      <c r="M383" t="s">
        <v>90</v>
      </c>
      <c r="P383">
        <v>1</v>
      </c>
      <c r="U383" t="s">
        <v>219</v>
      </c>
      <c r="V383" t="s">
        <v>91</v>
      </c>
      <c r="W383" t="s">
        <v>92</v>
      </c>
      <c r="X383" t="s">
        <v>93</v>
      </c>
      <c r="Y383">
        <v>13</v>
      </c>
      <c r="Z383" t="s">
        <v>94</v>
      </c>
      <c r="AB383">
        <v>9.3238880000000002</v>
      </c>
      <c r="AG383" t="s">
        <v>95</v>
      </c>
      <c r="AX383" t="s">
        <v>523</v>
      </c>
      <c r="AY383" t="s">
        <v>523</v>
      </c>
      <c r="AZ383" t="s">
        <v>486</v>
      </c>
      <c r="BC383">
        <v>7</v>
      </c>
      <c r="BH383" t="s">
        <v>99</v>
      </c>
      <c r="BO383" t="s">
        <v>111</v>
      </c>
      <c r="CD383" t="s">
        <v>443</v>
      </c>
      <c r="CE383">
        <v>61203</v>
      </c>
      <c r="CF383" t="s">
        <v>444</v>
      </c>
      <c r="CG383" t="s">
        <v>445</v>
      </c>
      <c r="CH383">
        <v>1983</v>
      </c>
    </row>
    <row r="384" spans="1:86" hidden="1" x14ac:dyDescent="0.25">
      <c r="A384">
        <v>330541</v>
      </c>
      <c r="B384" t="s">
        <v>86</v>
      </c>
      <c r="D384" t="s">
        <v>115</v>
      </c>
      <c r="F384">
        <v>98.4</v>
      </c>
      <c r="K384" t="s">
        <v>90</v>
      </c>
      <c r="L384" t="s">
        <v>90</v>
      </c>
      <c r="M384" t="s">
        <v>90</v>
      </c>
      <c r="V384" t="s">
        <v>491</v>
      </c>
      <c r="W384" t="s">
        <v>92</v>
      </c>
      <c r="X384" t="s">
        <v>492</v>
      </c>
      <c r="Y384">
        <v>2</v>
      </c>
      <c r="Z384" t="s">
        <v>94</v>
      </c>
      <c r="AB384">
        <v>5.0000000000000001E-3</v>
      </c>
      <c r="AG384" t="s">
        <v>95</v>
      </c>
      <c r="AX384" t="s">
        <v>144</v>
      </c>
      <c r="AY384" t="s">
        <v>109</v>
      </c>
      <c r="AZ384" t="s">
        <v>486</v>
      </c>
      <c r="BC384">
        <v>96</v>
      </c>
      <c r="BH384" t="s">
        <v>99</v>
      </c>
      <c r="BO384" t="s">
        <v>111</v>
      </c>
      <c r="CD384" t="s">
        <v>493</v>
      </c>
      <c r="CE384">
        <v>165274</v>
      </c>
      <c r="CF384" t="s">
        <v>494</v>
      </c>
      <c r="CG384" t="s">
        <v>495</v>
      </c>
      <c r="CH384">
        <v>2012</v>
      </c>
    </row>
    <row r="385" spans="1:86" hidden="1" x14ac:dyDescent="0.25">
      <c r="A385">
        <v>330541</v>
      </c>
      <c r="B385" t="s">
        <v>86</v>
      </c>
      <c r="D385" t="s">
        <v>115</v>
      </c>
      <c r="F385">
        <v>98.4</v>
      </c>
      <c r="K385" t="s">
        <v>90</v>
      </c>
      <c r="L385" t="s">
        <v>90</v>
      </c>
      <c r="M385" t="s">
        <v>90</v>
      </c>
      <c r="V385" t="s">
        <v>491</v>
      </c>
      <c r="W385" t="s">
        <v>92</v>
      </c>
      <c r="X385" t="s">
        <v>492</v>
      </c>
      <c r="Y385">
        <v>2</v>
      </c>
      <c r="Z385" t="s">
        <v>94</v>
      </c>
      <c r="AB385" s="281">
        <v>5.0000000000000001E-3</v>
      </c>
      <c r="AG385" t="s">
        <v>95</v>
      </c>
      <c r="AX385" t="s">
        <v>108</v>
      </c>
      <c r="AY385" t="s">
        <v>150</v>
      </c>
      <c r="AZ385" t="s">
        <v>486</v>
      </c>
      <c r="BB385" t="s">
        <v>499</v>
      </c>
      <c r="BC385">
        <v>40</v>
      </c>
      <c r="BH385" t="s">
        <v>99</v>
      </c>
      <c r="BO385" t="s">
        <v>111</v>
      </c>
      <c r="CD385" t="s">
        <v>493</v>
      </c>
      <c r="CE385">
        <v>165274</v>
      </c>
      <c r="CF385" t="s">
        <v>494</v>
      </c>
      <c r="CG385" t="s">
        <v>495</v>
      </c>
      <c r="CH385">
        <v>2012</v>
      </c>
    </row>
    <row r="386" spans="1:86" hidden="1" x14ac:dyDescent="0.25">
      <c r="A386">
        <v>330541</v>
      </c>
      <c r="B386" t="s">
        <v>86</v>
      </c>
      <c r="D386" t="s">
        <v>115</v>
      </c>
      <c r="F386">
        <v>98.4</v>
      </c>
      <c r="K386" t="s">
        <v>90</v>
      </c>
      <c r="L386" t="s">
        <v>90</v>
      </c>
      <c r="M386" t="s">
        <v>90</v>
      </c>
      <c r="V386" t="s">
        <v>491</v>
      </c>
      <c r="W386" t="s">
        <v>92</v>
      </c>
      <c r="X386" t="s">
        <v>492</v>
      </c>
      <c r="Y386">
        <v>2</v>
      </c>
      <c r="Z386" t="s">
        <v>94</v>
      </c>
      <c r="AB386">
        <v>5.0000000000000001E-3</v>
      </c>
      <c r="AG386" t="s">
        <v>95</v>
      </c>
      <c r="AX386" t="s">
        <v>144</v>
      </c>
      <c r="AY386" t="s">
        <v>109</v>
      </c>
      <c r="AZ386" t="s">
        <v>486</v>
      </c>
      <c r="BC386">
        <v>5</v>
      </c>
      <c r="BH386" t="s">
        <v>99</v>
      </c>
      <c r="BO386" t="s">
        <v>111</v>
      </c>
      <c r="CD386" t="s">
        <v>493</v>
      </c>
      <c r="CE386">
        <v>165274</v>
      </c>
      <c r="CF386" t="s">
        <v>494</v>
      </c>
      <c r="CG386" t="s">
        <v>495</v>
      </c>
      <c r="CH386">
        <v>2012</v>
      </c>
    </row>
    <row r="387" spans="1:86" hidden="1" x14ac:dyDescent="0.25">
      <c r="A387">
        <v>330541</v>
      </c>
      <c r="B387" t="s">
        <v>86</v>
      </c>
      <c r="D387" t="s">
        <v>115</v>
      </c>
      <c r="F387">
        <v>98.4</v>
      </c>
      <c r="K387" t="s">
        <v>90</v>
      </c>
      <c r="L387" t="s">
        <v>90</v>
      </c>
      <c r="M387" t="s">
        <v>90</v>
      </c>
      <c r="V387" t="s">
        <v>491</v>
      </c>
      <c r="W387" t="s">
        <v>92</v>
      </c>
      <c r="X387" t="s">
        <v>492</v>
      </c>
      <c r="Y387">
        <v>2</v>
      </c>
      <c r="Z387" t="s">
        <v>94</v>
      </c>
      <c r="AB387">
        <v>5.0000000000000001E-3</v>
      </c>
      <c r="AG387" t="s">
        <v>95</v>
      </c>
      <c r="AX387" t="s">
        <v>144</v>
      </c>
      <c r="AY387" t="s">
        <v>109</v>
      </c>
      <c r="AZ387" t="s">
        <v>486</v>
      </c>
      <c r="BC387">
        <v>19</v>
      </c>
      <c r="BH387" t="s">
        <v>99</v>
      </c>
      <c r="BO387" t="s">
        <v>111</v>
      </c>
      <c r="CD387" t="s">
        <v>493</v>
      </c>
      <c r="CE387">
        <v>165274</v>
      </c>
      <c r="CF387" t="s">
        <v>494</v>
      </c>
      <c r="CG387" t="s">
        <v>495</v>
      </c>
      <c r="CH387">
        <v>2012</v>
      </c>
    </row>
    <row r="388" spans="1:86" hidden="1" x14ac:dyDescent="0.25">
      <c r="A388">
        <v>330541</v>
      </c>
      <c r="B388" t="s">
        <v>86</v>
      </c>
      <c r="D388" t="s">
        <v>115</v>
      </c>
      <c r="F388">
        <v>98.4</v>
      </c>
      <c r="K388" t="s">
        <v>90</v>
      </c>
      <c r="L388" t="s">
        <v>90</v>
      </c>
      <c r="M388" t="s">
        <v>90</v>
      </c>
      <c r="V388" t="s">
        <v>491</v>
      </c>
      <c r="W388" t="s">
        <v>92</v>
      </c>
      <c r="X388" t="s">
        <v>492</v>
      </c>
      <c r="Y388">
        <v>2</v>
      </c>
      <c r="Z388" t="s">
        <v>94</v>
      </c>
      <c r="AB388" s="281">
        <v>5.0000000000000001E-3</v>
      </c>
      <c r="AG388" t="s">
        <v>95</v>
      </c>
      <c r="AX388" t="s">
        <v>108</v>
      </c>
      <c r="AY388" t="s">
        <v>524</v>
      </c>
      <c r="AZ388" t="s">
        <v>486</v>
      </c>
      <c r="BB388" t="s">
        <v>499</v>
      </c>
      <c r="BC388">
        <v>19</v>
      </c>
      <c r="BH388" t="s">
        <v>99</v>
      </c>
      <c r="BO388" t="s">
        <v>111</v>
      </c>
      <c r="CD388" t="s">
        <v>493</v>
      </c>
      <c r="CE388">
        <v>165274</v>
      </c>
      <c r="CF388" t="s">
        <v>494</v>
      </c>
      <c r="CG388" t="s">
        <v>495</v>
      </c>
      <c r="CH388">
        <v>2012</v>
      </c>
    </row>
    <row r="389" spans="1:86" hidden="1" x14ac:dyDescent="0.25">
      <c r="A389">
        <v>330541</v>
      </c>
      <c r="B389" t="s">
        <v>86</v>
      </c>
      <c r="D389" t="s">
        <v>115</v>
      </c>
      <c r="F389">
        <v>98.4</v>
      </c>
      <c r="K389" t="s">
        <v>90</v>
      </c>
      <c r="L389" t="s">
        <v>90</v>
      </c>
      <c r="M389" t="s">
        <v>90</v>
      </c>
      <c r="V389" t="s">
        <v>491</v>
      </c>
      <c r="W389" t="s">
        <v>92</v>
      </c>
      <c r="X389" t="s">
        <v>492</v>
      </c>
      <c r="Y389">
        <v>2</v>
      </c>
      <c r="Z389" t="s">
        <v>94</v>
      </c>
      <c r="AB389">
        <v>5.0000000000000001E-3</v>
      </c>
      <c r="AG389" t="s">
        <v>95</v>
      </c>
      <c r="AX389" t="s">
        <v>144</v>
      </c>
      <c r="AY389" t="s">
        <v>109</v>
      </c>
      <c r="AZ389" t="s">
        <v>486</v>
      </c>
      <c r="BC389">
        <v>68</v>
      </c>
      <c r="BH389" t="s">
        <v>99</v>
      </c>
      <c r="BO389" t="s">
        <v>111</v>
      </c>
      <c r="CD389" t="s">
        <v>493</v>
      </c>
      <c r="CE389">
        <v>165274</v>
      </c>
      <c r="CF389" t="s">
        <v>494</v>
      </c>
      <c r="CG389" t="s">
        <v>495</v>
      </c>
      <c r="CH389">
        <v>2012</v>
      </c>
    </row>
    <row r="390" spans="1:86" hidden="1" x14ac:dyDescent="0.25">
      <c r="A390">
        <v>330541</v>
      </c>
      <c r="B390" t="s">
        <v>86</v>
      </c>
      <c r="D390" t="s">
        <v>115</v>
      </c>
      <c r="F390">
        <v>98.4</v>
      </c>
      <c r="K390" t="s">
        <v>90</v>
      </c>
      <c r="L390" t="s">
        <v>90</v>
      </c>
      <c r="M390" t="s">
        <v>90</v>
      </c>
      <c r="V390" t="s">
        <v>491</v>
      </c>
      <c r="W390" t="s">
        <v>92</v>
      </c>
      <c r="X390" t="s">
        <v>492</v>
      </c>
      <c r="Y390">
        <v>2</v>
      </c>
      <c r="Z390" t="s">
        <v>94</v>
      </c>
      <c r="AB390">
        <v>5.0000000000000001E-3</v>
      </c>
      <c r="AG390" t="s">
        <v>95</v>
      </c>
      <c r="AX390" t="s">
        <v>144</v>
      </c>
      <c r="AY390" t="s">
        <v>109</v>
      </c>
      <c r="AZ390" t="s">
        <v>486</v>
      </c>
      <c r="BC390">
        <v>40</v>
      </c>
      <c r="BH390" t="s">
        <v>99</v>
      </c>
      <c r="BO390" t="s">
        <v>111</v>
      </c>
      <c r="CD390" t="s">
        <v>493</v>
      </c>
      <c r="CE390">
        <v>165274</v>
      </c>
      <c r="CF390" t="s">
        <v>494</v>
      </c>
      <c r="CG390" t="s">
        <v>495</v>
      </c>
      <c r="CH390">
        <v>2012</v>
      </c>
    </row>
    <row r="391" spans="1:86" hidden="1" x14ac:dyDescent="0.25">
      <c r="A391">
        <v>330541</v>
      </c>
      <c r="B391" t="s">
        <v>86</v>
      </c>
      <c r="D391" t="s">
        <v>115</v>
      </c>
      <c r="F391">
        <v>98.4</v>
      </c>
      <c r="K391" t="s">
        <v>90</v>
      </c>
      <c r="L391" t="s">
        <v>90</v>
      </c>
      <c r="M391" t="s">
        <v>90</v>
      </c>
      <c r="V391" t="s">
        <v>491</v>
      </c>
      <c r="W391" t="s">
        <v>92</v>
      </c>
      <c r="X391" t="s">
        <v>492</v>
      </c>
      <c r="Y391">
        <v>2</v>
      </c>
      <c r="Z391" t="s">
        <v>94</v>
      </c>
      <c r="AB391" s="281">
        <v>5.0000000000000001E-3</v>
      </c>
      <c r="AG391" t="s">
        <v>95</v>
      </c>
      <c r="AX391" t="s">
        <v>108</v>
      </c>
      <c r="AY391" t="s">
        <v>525</v>
      </c>
      <c r="AZ391" t="s">
        <v>486</v>
      </c>
      <c r="BB391" t="s">
        <v>499</v>
      </c>
      <c r="BC391">
        <v>26</v>
      </c>
      <c r="BH391" t="s">
        <v>99</v>
      </c>
      <c r="BO391" t="s">
        <v>111</v>
      </c>
      <c r="CD391" t="s">
        <v>493</v>
      </c>
      <c r="CE391">
        <v>165274</v>
      </c>
      <c r="CF391" t="s">
        <v>494</v>
      </c>
      <c r="CG391" t="s">
        <v>495</v>
      </c>
      <c r="CH391">
        <v>2012</v>
      </c>
    </row>
    <row r="392" spans="1:86" hidden="1" x14ac:dyDescent="0.25">
      <c r="A392">
        <v>330541</v>
      </c>
      <c r="B392" t="s">
        <v>86</v>
      </c>
      <c r="D392" t="s">
        <v>115</v>
      </c>
      <c r="F392">
        <v>98.4</v>
      </c>
      <c r="K392" t="s">
        <v>90</v>
      </c>
      <c r="L392" t="s">
        <v>90</v>
      </c>
      <c r="M392" t="s">
        <v>90</v>
      </c>
      <c r="V392" t="s">
        <v>491</v>
      </c>
      <c r="W392" t="s">
        <v>92</v>
      </c>
      <c r="X392" t="s">
        <v>492</v>
      </c>
      <c r="Y392">
        <v>2</v>
      </c>
      <c r="Z392" t="s">
        <v>94</v>
      </c>
      <c r="AB392">
        <v>5.0000000000000001E-3</v>
      </c>
      <c r="AG392" t="s">
        <v>95</v>
      </c>
      <c r="AX392" t="s">
        <v>144</v>
      </c>
      <c r="AY392" t="s">
        <v>109</v>
      </c>
      <c r="AZ392" t="s">
        <v>486</v>
      </c>
      <c r="BC392">
        <v>110</v>
      </c>
      <c r="BH392" t="s">
        <v>99</v>
      </c>
      <c r="BO392" t="s">
        <v>111</v>
      </c>
      <c r="CD392" t="s">
        <v>493</v>
      </c>
      <c r="CE392">
        <v>165274</v>
      </c>
      <c r="CF392" t="s">
        <v>494</v>
      </c>
      <c r="CG392" t="s">
        <v>495</v>
      </c>
      <c r="CH392">
        <v>2012</v>
      </c>
    </row>
    <row r="393" spans="1:86" hidden="1" x14ac:dyDescent="0.25">
      <c r="A393">
        <v>330541</v>
      </c>
      <c r="B393" t="s">
        <v>86</v>
      </c>
      <c r="D393" t="s">
        <v>115</v>
      </c>
      <c r="F393">
        <v>98.4</v>
      </c>
      <c r="K393" t="s">
        <v>90</v>
      </c>
      <c r="L393" t="s">
        <v>90</v>
      </c>
      <c r="M393" t="s">
        <v>90</v>
      </c>
      <c r="V393" t="s">
        <v>491</v>
      </c>
      <c r="W393" t="s">
        <v>92</v>
      </c>
      <c r="X393" t="s">
        <v>492</v>
      </c>
      <c r="Y393">
        <v>2</v>
      </c>
      <c r="Z393" t="s">
        <v>94</v>
      </c>
      <c r="AB393">
        <v>5.0000000000000001E-3</v>
      </c>
      <c r="AG393" t="s">
        <v>95</v>
      </c>
      <c r="AX393" t="s">
        <v>144</v>
      </c>
      <c r="AY393" t="s">
        <v>109</v>
      </c>
      <c r="AZ393" t="s">
        <v>486</v>
      </c>
      <c r="BC393">
        <v>12</v>
      </c>
      <c r="BH393" t="s">
        <v>99</v>
      </c>
      <c r="BO393" t="s">
        <v>111</v>
      </c>
      <c r="CD393" t="s">
        <v>493</v>
      </c>
      <c r="CE393">
        <v>165274</v>
      </c>
      <c r="CF393" t="s">
        <v>494</v>
      </c>
      <c r="CG393" t="s">
        <v>495</v>
      </c>
      <c r="CH393">
        <v>2012</v>
      </c>
    </row>
    <row r="394" spans="1:86" hidden="1" x14ac:dyDescent="0.25">
      <c r="A394">
        <v>330541</v>
      </c>
      <c r="B394" t="s">
        <v>86</v>
      </c>
      <c r="D394" t="s">
        <v>115</v>
      </c>
      <c r="F394">
        <v>98.4</v>
      </c>
      <c r="K394" t="s">
        <v>90</v>
      </c>
      <c r="L394" t="s">
        <v>90</v>
      </c>
      <c r="M394" t="s">
        <v>90</v>
      </c>
      <c r="V394" t="s">
        <v>491</v>
      </c>
      <c r="W394" t="s">
        <v>92</v>
      </c>
      <c r="X394" t="s">
        <v>492</v>
      </c>
      <c r="Y394">
        <v>2</v>
      </c>
      <c r="Z394" t="s">
        <v>94</v>
      </c>
      <c r="AB394">
        <v>5.0000000000000001E-3</v>
      </c>
      <c r="AG394" t="s">
        <v>95</v>
      </c>
      <c r="AX394" t="s">
        <v>144</v>
      </c>
      <c r="AY394" t="s">
        <v>109</v>
      </c>
      <c r="AZ394" t="s">
        <v>486</v>
      </c>
      <c r="BC394">
        <v>47</v>
      </c>
      <c r="BH394" t="s">
        <v>99</v>
      </c>
      <c r="BO394" t="s">
        <v>111</v>
      </c>
      <c r="CD394" t="s">
        <v>493</v>
      </c>
      <c r="CE394">
        <v>165274</v>
      </c>
      <c r="CF394" t="s">
        <v>494</v>
      </c>
      <c r="CG394" t="s">
        <v>495</v>
      </c>
      <c r="CH394">
        <v>2012</v>
      </c>
    </row>
    <row r="395" spans="1:86" hidden="1" x14ac:dyDescent="0.25">
      <c r="A395">
        <v>330541</v>
      </c>
      <c r="B395" t="s">
        <v>86</v>
      </c>
      <c r="D395" t="s">
        <v>115</v>
      </c>
      <c r="F395">
        <v>98.4</v>
      </c>
      <c r="K395" t="s">
        <v>90</v>
      </c>
      <c r="L395" t="s">
        <v>90</v>
      </c>
      <c r="M395" t="s">
        <v>90</v>
      </c>
      <c r="V395" t="s">
        <v>491</v>
      </c>
      <c r="W395" t="s">
        <v>92</v>
      </c>
      <c r="X395" t="s">
        <v>492</v>
      </c>
      <c r="Y395">
        <v>2</v>
      </c>
      <c r="Z395" t="s">
        <v>94</v>
      </c>
      <c r="AB395">
        <v>5.0000000000000001E-3</v>
      </c>
      <c r="AG395" t="s">
        <v>95</v>
      </c>
      <c r="AX395" t="s">
        <v>144</v>
      </c>
      <c r="AY395" t="s">
        <v>109</v>
      </c>
      <c r="AZ395" t="s">
        <v>486</v>
      </c>
      <c r="BC395">
        <v>138</v>
      </c>
      <c r="BH395" t="s">
        <v>99</v>
      </c>
      <c r="BO395" t="s">
        <v>111</v>
      </c>
      <c r="CD395" t="s">
        <v>493</v>
      </c>
      <c r="CE395">
        <v>165274</v>
      </c>
      <c r="CF395" t="s">
        <v>494</v>
      </c>
      <c r="CG395" t="s">
        <v>495</v>
      </c>
      <c r="CH395">
        <v>2012</v>
      </c>
    </row>
    <row r="396" spans="1:86" hidden="1" x14ac:dyDescent="0.25">
      <c r="A396">
        <v>330541</v>
      </c>
      <c r="B396" t="s">
        <v>86</v>
      </c>
      <c r="D396" t="s">
        <v>115</v>
      </c>
      <c r="F396">
        <v>98.4</v>
      </c>
      <c r="K396" t="s">
        <v>90</v>
      </c>
      <c r="L396" t="s">
        <v>90</v>
      </c>
      <c r="M396" t="s">
        <v>90</v>
      </c>
      <c r="V396" t="s">
        <v>491</v>
      </c>
      <c r="W396" t="s">
        <v>92</v>
      </c>
      <c r="X396" t="s">
        <v>492</v>
      </c>
      <c r="Y396">
        <v>2</v>
      </c>
      <c r="Z396" t="s">
        <v>94</v>
      </c>
      <c r="AB396">
        <v>5.0000000000000001E-3</v>
      </c>
      <c r="AG396" t="s">
        <v>95</v>
      </c>
      <c r="AX396" t="s">
        <v>144</v>
      </c>
      <c r="AY396" t="s">
        <v>109</v>
      </c>
      <c r="AZ396" t="s">
        <v>486</v>
      </c>
      <c r="BC396">
        <v>2</v>
      </c>
      <c r="BH396" t="s">
        <v>99</v>
      </c>
      <c r="BO396" t="s">
        <v>111</v>
      </c>
      <c r="CD396" t="s">
        <v>493</v>
      </c>
      <c r="CE396">
        <v>165274</v>
      </c>
      <c r="CF396" t="s">
        <v>494</v>
      </c>
      <c r="CG396" t="s">
        <v>495</v>
      </c>
      <c r="CH396">
        <v>2012</v>
      </c>
    </row>
    <row r="397" spans="1:86" hidden="1" x14ac:dyDescent="0.25">
      <c r="A397">
        <v>330541</v>
      </c>
      <c r="B397" t="s">
        <v>86</v>
      </c>
      <c r="D397" t="s">
        <v>115</v>
      </c>
      <c r="F397">
        <v>98.4</v>
      </c>
      <c r="K397" t="s">
        <v>90</v>
      </c>
      <c r="L397" t="s">
        <v>90</v>
      </c>
      <c r="M397" t="s">
        <v>90</v>
      </c>
      <c r="V397" t="s">
        <v>91</v>
      </c>
      <c r="W397" t="s">
        <v>92</v>
      </c>
      <c r="X397" t="s">
        <v>93</v>
      </c>
      <c r="Y397">
        <v>5</v>
      </c>
      <c r="Z397" t="s">
        <v>94</v>
      </c>
      <c r="AB397">
        <v>2.5000000000000001E-3</v>
      </c>
      <c r="AG397" t="s">
        <v>95</v>
      </c>
      <c r="AX397" t="s">
        <v>144</v>
      </c>
      <c r="AY397" t="s">
        <v>438</v>
      </c>
      <c r="AZ397" t="s">
        <v>486</v>
      </c>
      <c r="BA397" t="s">
        <v>179</v>
      </c>
      <c r="BC397">
        <v>0.125</v>
      </c>
      <c r="BH397" t="s">
        <v>99</v>
      </c>
      <c r="BO397" t="s">
        <v>111</v>
      </c>
      <c r="CD397" t="s">
        <v>518</v>
      </c>
      <c r="CE397">
        <v>120541</v>
      </c>
      <c r="CF397" t="s">
        <v>519</v>
      </c>
      <c r="CG397" t="s">
        <v>520</v>
      </c>
      <c r="CH397">
        <v>2010</v>
      </c>
    </row>
    <row r="398" spans="1:86" hidden="1" x14ac:dyDescent="0.25">
      <c r="A398">
        <v>330541</v>
      </c>
      <c r="B398" t="s">
        <v>86</v>
      </c>
      <c r="D398" t="s">
        <v>115</v>
      </c>
      <c r="K398" t="s">
        <v>270</v>
      </c>
      <c r="L398" t="s">
        <v>271</v>
      </c>
      <c r="M398" t="s">
        <v>90</v>
      </c>
      <c r="V398" t="s">
        <v>272</v>
      </c>
      <c r="W398" t="s">
        <v>107</v>
      </c>
      <c r="X398" t="s">
        <v>93</v>
      </c>
      <c r="Y398">
        <v>2</v>
      </c>
      <c r="Z398" t="s">
        <v>137</v>
      </c>
      <c r="AB398">
        <v>1.3985832E-2</v>
      </c>
      <c r="AG398" t="s">
        <v>95</v>
      </c>
      <c r="AX398" t="s">
        <v>144</v>
      </c>
      <c r="AY398" t="s">
        <v>522</v>
      </c>
      <c r="AZ398" t="s">
        <v>486</v>
      </c>
      <c r="BB398" t="s">
        <v>434</v>
      </c>
      <c r="BC398">
        <v>8.3299999999999999E-2</v>
      </c>
      <c r="BH398" t="s">
        <v>99</v>
      </c>
      <c r="BO398" t="s">
        <v>111</v>
      </c>
      <c r="CD398" t="s">
        <v>273</v>
      </c>
      <c r="CE398">
        <v>175899</v>
      </c>
      <c r="CF398" t="s">
        <v>274</v>
      </c>
      <c r="CG398" t="s">
        <v>275</v>
      </c>
      <c r="CH398">
        <v>2012</v>
      </c>
    </row>
    <row r="399" spans="1:86" hidden="1" x14ac:dyDescent="0.25">
      <c r="A399">
        <v>330541</v>
      </c>
      <c r="B399" t="s">
        <v>86</v>
      </c>
      <c r="D399" t="s">
        <v>115</v>
      </c>
      <c r="K399" t="s">
        <v>270</v>
      </c>
      <c r="L399" t="s">
        <v>271</v>
      </c>
      <c r="M399" t="s">
        <v>90</v>
      </c>
      <c r="V399" t="s">
        <v>272</v>
      </c>
      <c r="W399" t="s">
        <v>107</v>
      </c>
      <c r="X399" t="s">
        <v>93</v>
      </c>
      <c r="Y399">
        <v>2</v>
      </c>
      <c r="Z399" t="s">
        <v>137</v>
      </c>
      <c r="AB399">
        <v>1.3985832E-2</v>
      </c>
      <c r="AG399" t="s">
        <v>95</v>
      </c>
      <c r="AX399" t="s">
        <v>144</v>
      </c>
      <c r="AY399" t="s">
        <v>522</v>
      </c>
      <c r="AZ399" t="s">
        <v>486</v>
      </c>
      <c r="BB399" t="s">
        <v>434</v>
      </c>
      <c r="BC399">
        <v>1.3899999999999999E-2</v>
      </c>
      <c r="BH399" t="s">
        <v>99</v>
      </c>
      <c r="BO399" t="s">
        <v>111</v>
      </c>
      <c r="CD399" t="s">
        <v>273</v>
      </c>
      <c r="CE399">
        <v>175899</v>
      </c>
      <c r="CF399" t="s">
        <v>274</v>
      </c>
      <c r="CG399" t="s">
        <v>275</v>
      </c>
      <c r="CH399">
        <v>2012</v>
      </c>
    </row>
    <row r="400" spans="1:86" hidden="1" x14ac:dyDescent="0.25">
      <c r="A400">
        <v>330541</v>
      </c>
      <c r="B400" t="s">
        <v>86</v>
      </c>
      <c r="D400" t="s">
        <v>115</v>
      </c>
      <c r="K400" t="s">
        <v>484</v>
      </c>
      <c r="L400" t="s">
        <v>143</v>
      </c>
      <c r="M400" t="s">
        <v>90</v>
      </c>
      <c r="N400" t="s">
        <v>118</v>
      </c>
      <c r="V400" t="s">
        <v>91</v>
      </c>
      <c r="W400" t="s">
        <v>92</v>
      </c>
      <c r="X400" t="s">
        <v>93</v>
      </c>
      <c r="Y400">
        <v>2</v>
      </c>
      <c r="Z400" t="s">
        <v>137</v>
      </c>
      <c r="AB400">
        <v>1.165486</v>
      </c>
      <c r="AG400" t="s">
        <v>95</v>
      </c>
      <c r="AX400" t="s">
        <v>144</v>
      </c>
      <c r="AY400" t="s">
        <v>503</v>
      </c>
      <c r="AZ400" t="s">
        <v>486</v>
      </c>
      <c r="BC400">
        <v>1</v>
      </c>
      <c r="BH400" t="s">
        <v>99</v>
      </c>
      <c r="BO400" t="s">
        <v>111</v>
      </c>
      <c r="CD400" t="s">
        <v>487</v>
      </c>
      <c r="CE400">
        <v>167045</v>
      </c>
      <c r="CF400" t="s">
        <v>488</v>
      </c>
      <c r="CG400" t="s">
        <v>489</v>
      </c>
      <c r="CH400">
        <v>2010</v>
      </c>
    </row>
    <row r="401" spans="1:86" hidden="1" x14ac:dyDescent="0.25">
      <c r="A401">
        <v>330541</v>
      </c>
      <c r="B401" t="s">
        <v>86</v>
      </c>
      <c r="D401" t="s">
        <v>115</v>
      </c>
      <c r="F401">
        <v>98</v>
      </c>
      <c r="K401" t="s">
        <v>402</v>
      </c>
      <c r="L401" t="s">
        <v>212</v>
      </c>
      <c r="M401" t="s">
        <v>90</v>
      </c>
      <c r="V401" t="s">
        <v>91</v>
      </c>
      <c r="W401" t="s">
        <v>107</v>
      </c>
      <c r="X401" t="s">
        <v>93</v>
      </c>
      <c r="Y401">
        <v>7</v>
      </c>
      <c r="Z401" t="s">
        <v>94</v>
      </c>
      <c r="AB401">
        <v>0.01</v>
      </c>
      <c r="AG401" t="s">
        <v>95</v>
      </c>
      <c r="AX401" t="s">
        <v>144</v>
      </c>
      <c r="AY401" t="s">
        <v>109</v>
      </c>
      <c r="AZ401" t="s">
        <v>486</v>
      </c>
      <c r="BA401" t="s">
        <v>179</v>
      </c>
      <c r="BC401">
        <v>1</v>
      </c>
      <c r="BH401" t="s">
        <v>99</v>
      </c>
      <c r="BO401" t="s">
        <v>111</v>
      </c>
      <c r="CD401" t="s">
        <v>392</v>
      </c>
      <c r="CE401">
        <v>153835</v>
      </c>
      <c r="CF401" t="s">
        <v>393</v>
      </c>
      <c r="CG401" t="s">
        <v>394</v>
      </c>
      <c r="CH401">
        <v>2011</v>
      </c>
    </row>
    <row r="402" spans="1:86" hidden="1" x14ac:dyDescent="0.25">
      <c r="A402">
        <v>330541</v>
      </c>
      <c r="B402" t="s">
        <v>86</v>
      </c>
      <c r="D402" t="s">
        <v>115</v>
      </c>
      <c r="K402" t="s">
        <v>526</v>
      </c>
      <c r="L402" t="s">
        <v>117</v>
      </c>
      <c r="M402" t="s">
        <v>90</v>
      </c>
      <c r="N402" t="s">
        <v>118</v>
      </c>
      <c r="V402" t="s">
        <v>91</v>
      </c>
      <c r="W402" t="s">
        <v>92</v>
      </c>
      <c r="X402" t="s">
        <v>93</v>
      </c>
      <c r="Y402">
        <v>2</v>
      </c>
      <c r="Z402" t="s">
        <v>137</v>
      </c>
      <c r="AB402">
        <v>5.0000000000000001E-3</v>
      </c>
      <c r="AG402" t="s">
        <v>95</v>
      </c>
      <c r="AX402" t="s">
        <v>523</v>
      </c>
      <c r="AY402" t="s">
        <v>523</v>
      </c>
      <c r="AZ402" t="s">
        <v>486</v>
      </c>
      <c r="BC402">
        <v>14</v>
      </c>
      <c r="BH402" t="s">
        <v>99</v>
      </c>
      <c r="BO402" t="s">
        <v>111</v>
      </c>
      <c r="CD402" t="s">
        <v>504</v>
      </c>
      <c r="CE402">
        <v>184288</v>
      </c>
      <c r="CF402" t="s">
        <v>505</v>
      </c>
      <c r="CG402" t="s">
        <v>506</v>
      </c>
      <c r="CH402">
        <v>2020</v>
      </c>
    </row>
    <row r="403" spans="1:86" hidden="1" x14ac:dyDescent="0.25">
      <c r="A403">
        <v>330541</v>
      </c>
      <c r="B403" t="s">
        <v>86</v>
      </c>
      <c r="D403" t="s">
        <v>115</v>
      </c>
      <c r="K403" t="s">
        <v>526</v>
      </c>
      <c r="L403" t="s">
        <v>117</v>
      </c>
      <c r="M403" t="s">
        <v>90</v>
      </c>
      <c r="N403" t="s">
        <v>118</v>
      </c>
      <c r="V403" t="s">
        <v>91</v>
      </c>
      <c r="W403" t="s">
        <v>92</v>
      </c>
      <c r="X403" t="s">
        <v>93</v>
      </c>
      <c r="Y403">
        <v>2</v>
      </c>
      <c r="Z403" t="s">
        <v>137</v>
      </c>
      <c r="AB403">
        <v>5.0000000000000001E-3</v>
      </c>
      <c r="AG403" t="s">
        <v>95</v>
      </c>
      <c r="AX403" t="s">
        <v>108</v>
      </c>
      <c r="AY403" t="s">
        <v>160</v>
      </c>
      <c r="AZ403" t="s">
        <v>486</v>
      </c>
      <c r="BC403">
        <v>14</v>
      </c>
      <c r="BH403" t="s">
        <v>99</v>
      </c>
      <c r="BO403" t="s">
        <v>111</v>
      </c>
      <c r="CD403" t="s">
        <v>504</v>
      </c>
      <c r="CE403">
        <v>184288</v>
      </c>
      <c r="CF403" t="s">
        <v>505</v>
      </c>
      <c r="CG403" t="s">
        <v>506</v>
      </c>
      <c r="CH403">
        <v>2020</v>
      </c>
    </row>
    <row r="404" spans="1:86" hidden="1" x14ac:dyDescent="0.25">
      <c r="A404">
        <v>330541</v>
      </c>
      <c r="B404" t="s">
        <v>86</v>
      </c>
      <c r="D404" t="s">
        <v>115</v>
      </c>
      <c r="K404" t="s">
        <v>526</v>
      </c>
      <c r="L404" t="s">
        <v>117</v>
      </c>
      <c r="M404" t="s">
        <v>90</v>
      </c>
      <c r="N404" t="s">
        <v>118</v>
      </c>
      <c r="V404" t="s">
        <v>91</v>
      </c>
      <c r="W404" t="s">
        <v>92</v>
      </c>
      <c r="X404" t="s">
        <v>93</v>
      </c>
      <c r="Y404">
        <v>2</v>
      </c>
      <c r="Z404" t="s">
        <v>137</v>
      </c>
      <c r="AB404">
        <v>5.0000000000000001E-3</v>
      </c>
      <c r="AG404" t="s">
        <v>95</v>
      </c>
      <c r="AX404" t="s">
        <v>108</v>
      </c>
      <c r="AY404" t="s">
        <v>150</v>
      </c>
      <c r="AZ404" t="s">
        <v>486</v>
      </c>
      <c r="BC404">
        <v>14</v>
      </c>
      <c r="BH404" t="s">
        <v>99</v>
      </c>
      <c r="BO404" t="s">
        <v>111</v>
      </c>
      <c r="CD404" t="s">
        <v>504</v>
      </c>
      <c r="CE404">
        <v>184288</v>
      </c>
      <c r="CF404" t="s">
        <v>505</v>
      </c>
      <c r="CG404" t="s">
        <v>506</v>
      </c>
      <c r="CH404">
        <v>2020</v>
      </c>
    </row>
    <row r="405" spans="1:86" hidden="1" x14ac:dyDescent="0.25">
      <c r="A405">
        <v>330541</v>
      </c>
      <c r="B405" t="s">
        <v>86</v>
      </c>
      <c r="D405" t="s">
        <v>115</v>
      </c>
      <c r="K405" t="s">
        <v>526</v>
      </c>
      <c r="L405" t="s">
        <v>117</v>
      </c>
      <c r="M405" t="s">
        <v>90</v>
      </c>
      <c r="N405" t="s">
        <v>118</v>
      </c>
      <c r="V405" t="s">
        <v>91</v>
      </c>
      <c r="W405" t="s">
        <v>92</v>
      </c>
      <c r="X405" t="s">
        <v>93</v>
      </c>
      <c r="Y405">
        <v>2</v>
      </c>
      <c r="Z405" t="s">
        <v>137</v>
      </c>
      <c r="AB405">
        <v>5.0000000000000001E-3</v>
      </c>
      <c r="AG405" t="s">
        <v>95</v>
      </c>
      <c r="AX405" t="s">
        <v>108</v>
      </c>
      <c r="AY405" t="s">
        <v>160</v>
      </c>
      <c r="AZ405" t="s">
        <v>486</v>
      </c>
      <c r="BC405">
        <v>14</v>
      </c>
      <c r="BH405" t="s">
        <v>99</v>
      </c>
      <c r="BO405" t="s">
        <v>111</v>
      </c>
      <c r="CD405" t="s">
        <v>504</v>
      </c>
      <c r="CE405">
        <v>184288</v>
      </c>
      <c r="CF405" t="s">
        <v>505</v>
      </c>
      <c r="CG405" t="s">
        <v>506</v>
      </c>
      <c r="CH405">
        <v>2020</v>
      </c>
    </row>
    <row r="406" spans="1:86" hidden="1" x14ac:dyDescent="0.25">
      <c r="A406">
        <v>330541</v>
      </c>
      <c r="B406" t="s">
        <v>86</v>
      </c>
      <c r="C406" t="s">
        <v>104</v>
      </c>
      <c r="D406" t="s">
        <v>115</v>
      </c>
      <c r="K406" t="s">
        <v>232</v>
      </c>
      <c r="L406" t="s">
        <v>89</v>
      </c>
      <c r="M406" t="s">
        <v>90</v>
      </c>
      <c r="R406">
        <v>14</v>
      </c>
      <c r="T406">
        <v>28</v>
      </c>
      <c r="U406" t="s">
        <v>99</v>
      </c>
      <c r="V406" t="s">
        <v>91</v>
      </c>
      <c r="W406" t="s">
        <v>92</v>
      </c>
      <c r="X406" t="s">
        <v>93</v>
      </c>
      <c r="Z406" t="s">
        <v>94</v>
      </c>
      <c r="AB406" s="281">
        <v>5.0000000000000001E-4</v>
      </c>
      <c r="AG406" t="s">
        <v>95</v>
      </c>
      <c r="AX406" t="s">
        <v>108</v>
      </c>
      <c r="AY406" t="s">
        <v>109</v>
      </c>
      <c r="AZ406" t="s">
        <v>486</v>
      </c>
      <c r="BC406">
        <v>1.3899999999999999E-2</v>
      </c>
      <c r="BH406" t="s">
        <v>99</v>
      </c>
      <c r="BO406" t="s">
        <v>111</v>
      </c>
      <c r="CD406" t="s">
        <v>225</v>
      </c>
      <c r="CE406">
        <v>83755</v>
      </c>
      <c r="CF406" t="s">
        <v>226</v>
      </c>
      <c r="CG406" t="s">
        <v>227</v>
      </c>
      <c r="CH406">
        <v>2005</v>
      </c>
    </row>
    <row r="407" spans="1:86" hidden="1" x14ac:dyDescent="0.25">
      <c r="A407">
        <v>330541</v>
      </c>
      <c r="B407" t="s">
        <v>86</v>
      </c>
      <c r="D407" t="s">
        <v>115</v>
      </c>
      <c r="F407">
        <v>98</v>
      </c>
      <c r="K407" t="s">
        <v>527</v>
      </c>
      <c r="L407" t="s">
        <v>352</v>
      </c>
      <c r="M407" t="s">
        <v>90</v>
      </c>
      <c r="N407" t="s">
        <v>118</v>
      </c>
      <c r="V407" t="s">
        <v>91</v>
      </c>
      <c r="W407" t="s">
        <v>92</v>
      </c>
      <c r="X407" t="s">
        <v>93</v>
      </c>
      <c r="Z407" t="s">
        <v>94</v>
      </c>
      <c r="AA407" t="s">
        <v>234</v>
      </c>
      <c r="AB407">
        <v>10.023179600000001</v>
      </c>
      <c r="AG407" t="s">
        <v>95</v>
      </c>
      <c r="AX407" t="s">
        <v>144</v>
      </c>
      <c r="AY407" t="s">
        <v>438</v>
      </c>
      <c r="AZ407" t="s">
        <v>486</v>
      </c>
      <c r="BB407" t="s">
        <v>499</v>
      </c>
      <c r="BC407">
        <v>5.5599999999999997E-2</v>
      </c>
      <c r="BH407" t="s">
        <v>99</v>
      </c>
      <c r="BO407" t="s">
        <v>111</v>
      </c>
      <c r="CD407" t="s">
        <v>500</v>
      </c>
      <c r="CE407">
        <v>158970</v>
      </c>
      <c r="CF407" t="s">
        <v>501</v>
      </c>
      <c r="CG407" t="s">
        <v>502</v>
      </c>
      <c r="CH407">
        <v>2012</v>
      </c>
    </row>
    <row r="408" spans="1:86" hidden="1" x14ac:dyDescent="0.25">
      <c r="A408">
        <v>330541</v>
      </c>
      <c r="B408" t="s">
        <v>86</v>
      </c>
      <c r="C408" t="s">
        <v>158</v>
      </c>
      <c r="D408" t="s">
        <v>115</v>
      </c>
      <c r="K408" t="s">
        <v>173</v>
      </c>
      <c r="L408" t="s">
        <v>117</v>
      </c>
      <c r="M408" t="s">
        <v>90</v>
      </c>
      <c r="N408" t="s">
        <v>118</v>
      </c>
      <c r="V408" t="s">
        <v>91</v>
      </c>
      <c r="W408" t="s">
        <v>92</v>
      </c>
      <c r="X408" t="s">
        <v>93</v>
      </c>
      <c r="Z408" t="s">
        <v>94</v>
      </c>
      <c r="AB408">
        <v>1.1999999999999999E-3</v>
      </c>
      <c r="AG408" t="s">
        <v>95</v>
      </c>
      <c r="AX408" t="s">
        <v>144</v>
      </c>
      <c r="AY408" t="s">
        <v>109</v>
      </c>
      <c r="AZ408" t="s">
        <v>486</v>
      </c>
      <c r="BA408" t="s">
        <v>179</v>
      </c>
      <c r="BB408" t="s">
        <v>234</v>
      </c>
      <c r="BC408">
        <v>0.16669999999999999</v>
      </c>
      <c r="BH408" t="s">
        <v>99</v>
      </c>
      <c r="BO408" t="s">
        <v>111</v>
      </c>
      <c r="CD408" t="s">
        <v>398</v>
      </c>
      <c r="CE408">
        <v>153836</v>
      </c>
      <c r="CF408" t="s">
        <v>399</v>
      </c>
      <c r="CG408" t="s">
        <v>400</v>
      </c>
      <c r="CH408">
        <v>2010</v>
      </c>
    </row>
    <row r="409" spans="1:86" hidden="1" x14ac:dyDescent="0.25">
      <c r="A409">
        <v>330541</v>
      </c>
      <c r="B409" t="s">
        <v>86</v>
      </c>
      <c r="D409" t="s">
        <v>115</v>
      </c>
      <c r="E409" t="s">
        <v>106</v>
      </c>
      <c r="F409">
        <v>99</v>
      </c>
      <c r="K409" t="s">
        <v>316</v>
      </c>
      <c r="L409" t="s">
        <v>317</v>
      </c>
      <c r="M409" t="s">
        <v>90</v>
      </c>
      <c r="V409" t="s">
        <v>91</v>
      </c>
      <c r="W409" t="s">
        <v>92</v>
      </c>
      <c r="X409" t="s">
        <v>93</v>
      </c>
      <c r="Y409">
        <v>5</v>
      </c>
      <c r="Z409" t="s">
        <v>94</v>
      </c>
      <c r="AB409">
        <v>5.0000000000000001E-3</v>
      </c>
      <c r="AG409" t="s">
        <v>95</v>
      </c>
      <c r="AX409" t="s">
        <v>108</v>
      </c>
      <c r="AY409" t="s">
        <v>311</v>
      </c>
      <c r="AZ409" t="s">
        <v>486</v>
      </c>
      <c r="BC409">
        <v>14</v>
      </c>
      <c r="BH409" t="s">
        <v>99</v>
      </c>
      <c r="BO409" t="s">
        <v>111</v>
      </c>
      <c r="CD409" t="s">
        <v>319</v>
      </c>
      <c r="CE409">
        <v>102064</v>
      </c>
      <c r="CF409" t="s">
        <v>320</v>
      </c>
      <c r="CG409" t="s">
        <v>321</v>
      </c>
      <c r="CH409">
        <v>2006</v>
      </c>
    </row>
    <row r="410" spans="1:86" hidden="1" x14ac:dyDescent="0.25">
      <c r="A410">
        <v>330541</v>
      </c>
      <c r="B410" t="s">
        <v>86</v>
      </c>
      <c r="C410" t="s">
        <v>380</v>
      </c>
      <c r="D410" t="s">
        <v>115</v>
      </c>
      <c r="K410" t="s">
        <v>528</v>
      </c>
      <c r="L410" t="s">
        <v>178</v>
      </c>
      <c r="M410" t="s">
        <v>90</v>
      </c>
      <c r="N410" t="s">
        <v>118</v>
      </c>
      <c r="W410" t="s">
        <v>107</v>
      </c>
      <c r="X410" t="s">
        <v>93</v>
      </c>
      <c r="Y410">
        <v>2</v>
      </c>
      <c r="Z410" t="s">
        <v>94</v>
      </c>
      <c r="AB410">
        <v>5.0000000000000001E-3</v>
      </c>
      <c r="AG410" t="s">
        <v>95</v>
      </c>
      <c r="AX410" t="s">
        <v>201</v>
      </c>
      <c r="AY410" t="s">
        <v>490</v>
      </c>
      <c r="AZ410" t="s">
        <v>486</v>
      </c>
      <c r="BC410">
        <v>1.0207999999999999</v>
      </c>
      <c r="BH410" t="s">
        <v>99</v>
      </c>
      <c r="BO410" t="s">
        <v>111</v>
      </c>
      <c r="CD410" t="s">
        <v>529</v>
      </c>
      <c r="CE410">
        <v>180577</v>
      </c>
      <c r="CF410" t="s">
        <v>530</v>
      </c>
      <c r="CG410" t="s">
        <v>531</v>
      </c>
      <c r="CH410">
        <v>2016</v>
      </c>
    </row>
    <row r="411" spans="1:86" hidden="1" x14ac:dyDescent="0.25">
      <c r="A411">
        <v>330541</v>
      </c>
      <c r="B411" t="s">
        <v>86</v>
      </c>
      <c r="C411" t="s">
        <v>104</v>
      </c>
      <c r="D411" t="s">
        <v>115</v>
      </c>
      <c r="K411" t="s">
        <v>279</v>
      </c>
      <c r="L411" t="s">
        <v>280</v>
      </c>
      <c r="M411" t="s">
        <v>90</v>
      </c>
      <c r="R411">
        <v>14</v>
      </c>
      <c r="T411">
        <v>28</v>
      </c>
      <c r="U411" t="s">
        <v>99</v>
      </c>
      <c r="V411" t="s">
        <v>91</v>
      </c>
      <c r="W411" t="s">
        <v>92</v>
      </c>
      <c r="X411" t="s">
        <v>93</v>
      </c>
      <c r="Z411" t="s">
        <v>94</v>
      </c>
      <c r="AB411" s="281">
        <v>5.0000000000000001E-4</v>
      </c>
      <c r="AG411" t="s">
        <v>95</v>
      </c>
      <c r="AX411" t="s">
        <v>108</v>
      </c>
      <c r="AY411" t="s">
        <v>109</v>
      </c>
      <c r="AZ411" t="s">
        <v>486</v>
      </c>
      <c r="BC411">
        <v>1.3899999999999999E-2</v>
      </c>
      <c r="BH411" t="s">
        <v>99</v>
      </c>
      <c r="BO411" t="s">
        <v>111</v>
      </c>
      <c r="CD411" t="s">
        <v>225</v>
      </c>
      <c r="CE411">
        <v>83755</v>
      </c>
      <c r="CF411" t="s">
        <v>226</v>
      </c>
      <c r="CG411" t="s">
        <v>227</v>
      </c>
      <c r="CH411">
        <v>2005</v>
      </c>
    </row>
    <row r="412" spans="1:86" hidden="1" x14ac:dyDescent="0.25">
      <c r="A412">
        <v>330541</v>
      </c>
      <c r="B412" t="s">
        <v>86</v>
      </c>
      <c r="C412" t="s">
        <v>158</v>
      </c>
      <c r="D412" t="s">
        <v>115</v>
      </c>
      <c r="K412" t="s">
        <v>159</v>
      </c>
      <c r="L412" t="s">
        <v>90</v>
      </c>
      <c r="M412" t="s">
        <v>90</v>
      </c>
      <c r="N412" t="s">
        <v>118</v>
      </c>
      <c r="V412" t="s">
        <v>91</v>
      </c>
      <c r="W412" t="s">
        <v>107</v>
      </c>
      <c r="X412" t="s">
        <v>93</v>
      </c>
      <c r="Y412">
        <v>2</v>
      </c>
      <c r="Z412" t="s">
        <v>94</v>
      </c>
      <c r="AB412">
        <v>5.8274299999999998E-3</v>
      </c>
      <c r="AG412" t="s">
        <v>95</v>
      </c>
      <c r="AX412" t="s">
        <v>201</v>
      </c>
      <c r="AY412" t="s">
        <v>532</v>
      </c>
      <c r="AZ412" t="s">
        <v>486</v>
      </c>
      <c r="BA412" t="s">
        <v>497</v>
      </c>
      <c r="BC412">
        <v>3</v>
      </c>
      <c r="BH412" t="s">
        <v>99</v>
      </c>
      <c r="BO412" t="s">
        <v>111</v>
      </c>
      <c r="CD412" t="s">
        <v>161</v>
      </c>
      <c r="CE412">
        <v>112735</v>
      </c>
      <c r="CF412" t="s">
        <v>162</v>
      </c>
      <c r="CG412" t="s">
        <v>163</v>
      </c>
      <c r="CH412">
        <v>2008</v>
      </c>
    </row>
    <row r="413" spans="1:86" hidden="1" x14ac:dyDescent="0.25">
      <c r="A413">
        <v>330541</v>
      </c>
      <c r="B413" t="s">
        <v>86</v>
      </c>
      <c r="C413" t="s">
        <v>183</v>
      </c>
      <c r="D413" t="s">
        <v>115</v>
      </c>
      <c r="F413">
        <v>80</v>
      </c>
      <c r="K413" t="s">
        <v>184</v>
      </c>
      <c r="L413" t="s">
        <v>89</v>
      </c>
      <c r="M413" t="s">
        <v>90</v>
      </c>
      <c r="V413" t="s">
        <v>91</v>
      </c>
      <c r="W413" t="s">
        <v>92</v>
      </c>
      <c r="X413" t="s">
        <v>93</v>
      </c>
      <c r="Z413" t="s">
        <v>94</v>
      </c>
      <c r="AB413" s="281">
        <v>0.2330972</v>
      </c>
      <c r="AG413" t="s">
        <v>95</v>
      </c>
      <c r="AX413" t="s">
        <v>108</v>
      </c>
      <c r="AY413" t="s">
        <v>150</v>
      </c>
      <c r="AZ413" t="s">
        <v>486</v>
      </c>
      <c r="BC413">
        <v>5</v>
      </c>
      <c r="BH413" t="s">
        <v>99</v>
      </c>
      <c r="BO413" t="s">
        <v>111</v>
      </c>
      <c r="CD413" t="s">
        <v>186</v>
      </c>
      <c r="CE413">
        <v>69879</v>
      </c>
      <c r="CF413" t="s">
        <v>187</v>
      </c>
      <c r="CG413" t="s">
        <v>188</v>
      </c>
      <c r="CH413">
        <v>1998</v>
      </c>
    </row>
    <row r="414" spans="1:86" hidden="1" x14ac:dyDescent="0.25">
      <c r="A414">
        <v>330541</v>
      </c>
      <c r="B414" t="s">
        <v>86</v>
      </c>
      <c r="C414" t="s">
        <v>104</v>
      </c>
      <c r="D414" t="s">
        <v>115</v>
      </c>
      <c r="K414" t="s">
        <v>287</v>
      </c>
      <c r="L414" t="s">
        <v>89</v>
      </c>
      <c r="M414" t="s">
        <v>90</v>
      </c>
      <c r="R414">
        <v>14</v>
      </c>
      <c r="T414">
        <v>28</v>
      </c>
      <c r="U414" t="s">
        <v>99</v>
      </c>
      <c r="V414" t="s">
        <v>91</v>
      </c>
      <c r="W414" t="s">
        <v>92</v>
      </c>
      <c r="X414" t="s">
        <v>93</v>
      </c>
      <c r="Z414" t="s">
        <v>94</v>
      </c>
      <c r="AB414" s="281">
        <v>5.0000000000000001E-4</v>
      </c>
      <c r="AG414" t="s">
        <v>95</v>
      </c>
      <c r="AX414" t="s">
        <v>108</v>
      </c>
      <c r="AY414" t="s">
        <v>109</v>
      </c>
      <c r="AZ414" t="s">
        <v>486</v>
      </c>
      <c r="BC414">
        <v>1.3899999999999999E-2</v>
      </c>
      <c r="BH414" t="s">
        <v>99</v>
      </c>
      <c r="BO414" t="s">
        <v>111</v>
      </c>
      <c r="CD414" t="s">
        <v>225</v>
      </c>
      <c r="CE414">
        <v>83755</v>
      </c>
      <c r="CF414" t="s">
        <v>226</v>
      </c>
      <c r="CG414" t="s">
        <v>227</v>
      </c>
      <c r="CH414">
        <v>2005</v>
      </c>
    </row>
    <row r="415" spans="1:86" hidden="1" x14ac:dyDescent="0.25">
      <c r="A415">
        <v>330541</v>
      </c>
      <c r="B415" t="s">
        <v>86</v>
      </c>
      <c r="D415" t="s">
        <v>115</v>
      </c>
      <c r="K415" t="s">
        <v>184</v>
      </c>
      <c r="L415" t="s">
        <v>89</v>
      </c>
      <c r="M415" t="s">
        <v>90</v>
      </c>
      <c r="V415" t="s">
        <v>91</v>
      </c>
      <c r="W415" t="s">
        <v>92</v>
      </c>
      <c r="X415" t="s">
        <v>93</v>
      </c>
      <c r="Z415" t="s">
        <v>137</v>
      </c>
      <c r="AB415">
        <v>1.4999999999999999E-2</v>
      </c>
      <c r="AG415" t="s">
        <v>95</v>
      </c>
      <c r="AX415" t="s">
        <v>108</v>
      </c>
      <c r="AY415" t="s">
        <v>160</v>
      </c>
      <c r="AZ415" t="s">
        <v>486</v>
      </c>
      <c r="BC415">
        <v>3</v>
      </c>
      <c r="BH415" t="s">
        <v>99</v>
      </c>
      <c r="BO415" t="s">
        <v>111</v>
      </c>
      <c r="CD415" t="s">
        <v>363</v>
      </c>
      <c r="CE415">
        <v>152874</v>
      </c>
      <c r="CF415" t="s">
        <v>364</v>
      </c>
      <c r="CG415" t="s">
        <v>365</v>
      </c>
      <c r="CH415">
        <v>2005</v>
      </c>
    </row>
    <row r="416" spans="1:86" hidden="1" x14ac:dyDescent="0.25">
      <c r="A416">
        <v>330541</v>
      </c>
      <c r="B416" t="s">
        <v>86</v>
      </c>
      <c r="D416" t="s">
        <v>87</v>
      </c>
      <c r="E416" t="s">
        <v>106</v>
      </c>
      <c r="F416">
        <v>98</v>
      </c>
      <c r="K416" t="s">
        <v>404</v>
      </c>
      <c r="L416" t="s">
        <v>117</v>
      </c>
      <c r="M416" t="s">
        <v>90</v>
      </c>
      <c r="N416" t="s">
        <v>118</v>
      </c>
      <c r="V416" t="s">
        <v>91</v>
      </c>
      <c r="W416" t="s">
        <v>107</v>
      </c>
      <c r="X416" t="s">
        <v>93</v>
      </c>
      <c r="Y416" t="s">
        <v>381</v>
      </c>
      <c r="Z416" t="s">
        <v>94</v>
      </c>
      <c r="AB416" s="281">
        <v>6.0000000000000001E-3</v>
      </c>
      <c r="AG416" t="s">
        <v>95</v>
      </c>
      <c r="AX416" t="s">
        <v>108</v>
      </c>
      <c r="AY416" t="s">
        <v>160</v>
      </c>
      <c r="AZ416" t="s">
        <v>486</v>
      </c>
      <c r="BC416">
        <v>3</v>
      </c>
      <c r="BH416" t="s">
        <v>99</v>
      </c>
      <c r="BO416" t="s">
        <v>111</v>
      </c>
      <c r="CD416" t="s">
        <v>328</v>
      </c>
      <c r="CE416">
        <v>110086</v>
      </c>
      <c r="CF416" t="s">
        <v>329</v>
      </c>
      <c r="CG416" t="s">
        <v>330</v>
      </c>
      <c r="CH416">
        <v>2008</v>
      </c>
    </row>
    <row r="417" spans="1:86" hidden="1" x14ac:dyDescent="0.25">
      <c r="A417">
        <v>330541</v>
      </c>
      <c r="B417" t="s">
        <v>86</v>
      </c>
      <c r="C417" t="s">
        <v>158</v>
      </c>
      <c r="D417" t="s">
        <v>115</v>
      </c>
      <c r="K417" t="s">
        <v>159</v>
      </c>
      <c r="L417" t="s">
        <v>90</v>
      </c>
      <c r="M417" t="s">
        <v>90</v>
      </c>
      <c r="N417" t="s">
        <v>118</v>
      </c>
      <c r="V417" t="s">
        <v>91</v>
      </c>
      <c r="W417" t="s">
        <v>107</v>
      </c>
      <c r="X417" t="s">
        <v>93</v>
      </c>
      <c r="Y417">
        <v>2</v>
      </c>
      <c r="Z417" t="s">
        <v>94</v>
      </c>
      <c r="AB417">
        <v>5.8274299999999998E-3</v>
      </c>
      <c r="AG417" t="s">
        <v>95</v>
      </c>
      <c r="AX417" t="s">
        <v>201</v>
      </c>
      <c r="AY417" t="s">
        <v>120</v>
      </c>
      <c r="AZ417" t="s">
        <v>486</v>
      </c>
      <c r="BA417" t="s">
        <v>497</v>
      </c>
      <c r="BC417">
        <v>3</v>
      </c>
      <c r="BH417" t="s">
        <v>99</v>
      </c>
      <c r="BO417" t="s">
        <v>111</v>
      </c>
      <c r="CD417" t="s">
        <v>161</v>
      </c>
      <c r="CE417">
        <v>112735</v>
      </c>
      <c r="CF417" t="s">
        <v>162</v>
      </c>
      <c r="CG417" t="s">
        <v>163</v>
      </c>
      <c r="CH417">
        <v>2008</v>
      </c>
    </row>
    <row r="418" spans="1:86" hidden="1" x14ac:dyDescent="0.25">
      <c r="A418">
        <v>330541</v>
      </c>
      <c r="B418" t="s">
        <v>86</v>
      </c>
      <c r="D418" t="s">
        <v>115</v>
      </c>
      <c r="F418">
        <v>98.4</v>
      </c>
      <c r="K418" t="s">
        <v>533</v>
      </c>
      <c r="L418" t="s">
        <v>89</v>
      </c>
      <c r="M418" t="s">
        <v>90</v>
      </c>
      <c r="V418" t="s">
        <v>491</v>
      </c>
      <c r="W418" t="s">
        <v>92</v>
      </c>
      <c r="X418" t="s">
        <v>492</v>
      </c>
      <c r="Y418">
        <v>2</v>
      </c>
      <c r="Z418" t="s">
        <v>94</v>
      </c>
      <c r="AB418" s="281">
        <v>5.0000000000000001E-3</v>
      </c>
      <c r="AG418" t="s">
        <v>95</v>
      </c>
      <c r="AX418" t="s">
        <v>108</v>
      </c>
      <c r="AY418" t="s">
        <v>150</v>
      </c>
      <c r="AZ418" t="s">
        <v>486</v>
      </c>
      <c r="BB418" t="s">
        <v>499</v>
      </c>
      <c r="BC418">
        <v>40</v>
      </c>
      <c r="BH418" t="s">
        <v>99</v>
      </c>
      <c r="BO418" t="s">
        <v>111</v>
      </c>
      <c r="CD418" t="s">
        <v>493</v>
      </c>
      <c r="CE418">
        <v>165274</v>
      </c>
      <c r="CF418" t="s">
        <v>494</v>
      </c>
      <c r="CG418" t="s">
        <v>495</v>
      </c>
      <c r="CH418">
        <v>2012</v>
      </c>
    </row>
    <row r="419" spans="1:86" hidden="1" x14ac:dyDescent="0.25">
      <c r="A419">
        <v>330541</v>
      </c>
      <c r="B419" t="s">
        <v>86</v>
      </c>
      <c r="D419" t="s">
        <v>115</v>
      </c>
      <c r="K419" t="s">
        <v>180</v>
      </c>
      <c r="L419" t="s">
        <v>117</v>
      </c>
      <c r="M419" t="s">
        <v>90</v>
      </c>
      <c r="N419" t="s">
        <v>118</v>
      </c>
      <c r="V419" t="s">
        <v>91</v>
      </c>
      <c r="W419" t="s">
        <v>92</v>
      </c>
      <c r="X419" t="s">
        <v>93</v>
      </c>
      <c r="Y419">
        <v>2</v>
      </c>
      <c r="Z419" t="s">
        <v>137</v>
      </c>
      <c r="AB419">
        <v>5.0000000000000001E-3</v>
      </c>
      <c r="AG419" t="s">
        <v>95</v>
      </c>
      <c r="AX419" t="s">
        <v>108</v>
      </c>
      <c r="AY419" t="s">
        <v>150</v>
      </c>
      <c r="AZ419" t="s">
        <v>486</v>
      </c>
      <c r="BC419">
        <v>14</v>
      </c>
      <c r="BH419" t="s">
        <v>99</v>
      </c>
      <c r="BO419" t="s">
        <v>111</v>
      </c>
      <c r="CD419" t="s">
        <v>504</v>
      </c>
      <c r="CE419">
        <v>184288</v>
      </c>
      <c r="CF419" t="s">
        <v>505</v>
      </c>
      <c r="CG419" t="s">
        <v>506</v>
      </c>
      <c r="CH419">
        <v>2020</v>
      </c>
    </row>
    <row r="420" spans="1:86" hidden="1" x14ac:dyDescent="0.25">
      <c r="A420">
        <v>330541</v>
      </c>
      <c r="B420" t="s">
        <v>86</v>
      </c>
      <c r="C420" t="s">
        <v>104</v>
      </c>
      <c r="D420" t="s">
        <v>115</v>
      </c>
      <c r="K420" t="s">
        <v>332</v>
      </c>
      <c r="L420" t="s">
        <v>89</v>
      </c>
      <c r="M420" t="s">
        <v>90</v>
      </c>
      <c r="R420">
        <v>14</v>
      </c>
      <c r="T420">
        <v>28</v>
      </c>
      <c r="U420" t="s">
        <v>99</v>
      </c>
      <c r="V420" t="s">
        <v>91</v>
      </c>
      <c r="W420" t="s">
        <v>92</v>
      </c>
      <c r="X420" t="s">
        <v>93</v>
      </c>
      <c r="Z420" t="s">
        <v>94</v>
      </c>
      <c r="AB420" s="281">
        <v>5.0000000000000001E-4</v>
      </c>
      <c r="AG420" t="s">
        <v>95</v>
      </c>
      <c r="AX420" t="s">
        <v>108</v>
      </c>
      <c r="AY420" t="s">
        <v>109</v>
      </c>
      <c r="AZ420" t="s">
        <v>486</v>
      </c>
      <c r="BC420">
        <v>1.3899999999999999E-2</v>
      </c>
      <c r="BH420" t="s">
        <v>99</v>
      </c>
      <c r="BO420" t="s">
        <v>111</v>
      </c>
      <c r="CD420" t="s">
        <v>225</v>
      </c>
      <c r="CE420">
        <v>83755</v>
      </c>
      <c r="CF420" t="s">
        <v>226</v>
      </c>
      <c r="CG420" t="s">
        <v>227</v>
      </c>
      <c r="CH420">
        <v>2005</v>
      </c>
    </row>
    <row r="421" spans="1:86" hidden="1" x14ac:dyDescent="0.25">
      <c r="A421">
        <v>330541</v>
      </c>
      <c r="B421" t="s">
        <v>86</v>
      </c>
      <c r="D421" t="s">
        <v>87</v>
      </c>
      <c r="E421" t="s">
        <v>106</v>
      </c>
      <c r="F421">
        <v>98</v>
      </c>
      <c r="K421" t="s">
        <v>459</v>
      </c>
      <c r="L421" t="s">
        <v>90</v>
      </c>
      <c r="M421" t="s">
        <v>90</v>
      </c>
      <c r="N421" t="s">
        <v>118</v>
      </c>
      <c r="V421" t="s">
        <v>91</v>
      </c>
      <c r="W421" t="s">
        <v>107</v>
      </c>
      <c r="X421" t="s">
        <v>93</v>
      </c>
      <c r="Y421" t="s">
        <v>381</v>
      </c>
      <c r="Z421" t="s">
        <v>94</v>
      </c>
      <c r="AB421" s="281">
        <v>6.0000000000000001E-3</v>
      </c>
      <c r="AG421" t="s">
        <v>95</v>
      </c>
      <c r="AX421" t="s">
        <v>108</v>
      </c>
      <c r="AY421" t="s">
        <v>160</v>
      </c>
      <c r="AZ421" t="s">
        <v>486</v>
      </c>
      <c r="BC421">
        <v>3</v>
      </c>
      <c r="BH421" t="s">
        <v>99</v>
      </c>
      <c r="BO421" t="s">
        <v>111</v>
      </c>
      <c r="CD421" t="s">
        <v>328</v>
      </c>
      <c r="CE421">
        <v>110086</v>
      </c>
      <c r="CF421" t="s">
        <v>329</v>
      </c>
      <c r="CG421" t="s">
        <v>330</v>
      </c>
      <c r="CH421">
        <v>2008</v>
      </c>
    </row>
    <row r="422" spans="1:86" hidden="1" x14ac:dyDescent="0.25">
      <c r="A422">
        <v>330541</v>
      </c>
      <c r="B422" t="s">
        <v>86</v>
      </c>
      <c r="C422" t="s">
        <v>158</v>
      </c>
      <c r="D422" t="s">
        <v>115</v>
      </c>
      <c r="K422" t="s">
        <v>159</v>
      </c>
      <c r="L422" t="s">
        <v>90</v>
      </c>
      <c r="M422" t="s">
        <v>90</v>
      </c>
      <c r="N422" t="s">
        <v>118</v>
      </c>
      <c r="V422" t="s">
        <v>91</v>
      </c>
      <c r="W422" t="s">
        <v>107</v>
      </c>
      <c r="X422" t="s">
        <v>93</v>
      </c>
      <c r="Y422">
        <v>2</v>
      </c>
      <c r="Z422" t="s">
        <v>94</v>
      </c>
      <c r="AB422">
        <v>5.8274299999999998E-3</v>
      </c>
      <c r="AG422" t="s">
        <v>95</v>
      </c>
      <c r="AX422" t="s">
        <v>201</v>
      </c>
      <c r="AY422" t="s">
        <v>534</v>
      </c>
      <c r="AZ422" t="s">
        <v>486</v>
      </c>
      <c r="BA422" t="s">
        <v>497</v>
      </c>
      <c r="BC422">
        <v>3</v>
      </c>
      <c r="BH422" t="s">
        <v>99</v>
      </c>
      <c r="BO422" t="s">
        <v>111</v>
      </c>
      <c r="CD422" t="s">
        <v>161</v>
      </c>
      <c r="CE422">
        <v>112735</v>
      </c>
      <c r="CF422" t="s">
        <v>162</v>
      </c>
      <c r="CG422" t="s">
        <v>163</v>
      </c>
      <c r="CH422">
        <v>2008</v>
      </c>
    </row>
    <row r="423" spans="1:86" hidden="1" x14ac:dyDescent="0.25">
      <c r="A423">
        <v>330541</v>
      </c>
      <c r="B423" t="s">
        <v>86</v>
      </c>
      <c r="D423" t="s">
        <v>115</v>
      </c>
      <c r="K423" t="s">
        <v>535</v>
      </c>
      <c r="L423" t="s">
        <v>89</v>
      </c>
      <c r="M423" t="s">
        <v>90</v>
      </c>
      <c r="V423" t="s">
        <v>91</v>
      </c>
      <c r="W423" t="s">
        <v>92</v>
      </c>
      <c r="X423" t="s">
        <v>93</v>
      </c>
      <c r="Y423">
        <v>2</v>
      </c>
      <c r="Z423" t="s">
        <v>137</v>
      </c>
      <c r="AB423">
        <v>2.330972</v>
      </c>
      <c r="AG423" t="s">
        <v>95</v>
      </c>
      <c r="AX423" t="s">
        <v>144</v>
      </c>
      <c r="AY423" t="s">
        <v>109</v>
      </c>
      <c r="AZ423" t="s">
        <v>486</v>
      </c>
      <c r="BA423" t="s">
        <v>179</v>
      </c>
      <c r="BC423">
        <v>10</v>
      </c>
      <c r="BH423" t="s">
        <v>99</v>
      </c>
      <c r="BO423" t="s">
        <v>111</v>
      </c>
      <c r="CD423" t="s">
        <v>536</v>
      </c>
      <c r="CE423">
        <v>150127</v>
      </c>
      <c r="CF423" t="s">
        <v>537</v>
      </c>
      <c r="CG423" t="s">
        <v>538</v>
      </c>
      <c r="CH423">
        <v>2009</v>
      </c>
    </row>
    <row r="424" spans="1:86" hidden="1" x14ac:dyDescent="0.25">
      <c r="A424">
        <v>330541</v>
      </c>
      <c r="B424" t="s">
        <v>86</v>
      </c>
      <c r="D424" t="s">
        <v>115</v>
      </c>
      <c r="K424" t="s">
        <v>535</v>
      </c>
      <c r="L424" t="s">
        <v>89</v>
      </c>
      <c r="M424" t="s">
        <v>90</v>
      </c>
      <c r="V424" t="s">
        <v>91</v>
      </c>
      <c r="W424" t="s">
        <v>92</v>
      </c>
      <c r="X424" t="s">
        <v>93</v>
      </c>
      <c r="Y424">
        <v>2</v>
      </c>
      <c r="Z424" t="s">
        <v>137</v>
      </c>
      <c r="AB424">
        <v>2.330972</v>
      </c>
      <c r="AG424" t="s">
        <v>95</v>
      </c>
      <c r="AX424" t="s">
        <v>108</v>
      </c>
      <c r="AY424" t="s">
        <v>539</v>
      </c>
      <c r="AZ424" t="s">
        <v>486</v>
      </c>
      <c r="BC424">
        <v>10</v>
      </c>
      <c r="BH424" t="s">
        <v>99</v>
      </c>
      <c r="BO424" t="s">
        <v>111</v>
      </c>
      <c r="CD424" t="s">
        <v>536</v>
      </c>
      <c r="CE424">
        <v>150127</v>
      </c>
      <c r="CF424" t="s">
        <v>537</v>
      </c>
      <c r="CG424" t="s">
        <v>538</v>
      </c>
      <c r="CH424">
        <v>2009</v>
      </c>
    </row>
    <row r="425" spans="1:86" hidden="1" x14ac:dyDescent="0.25">
      <c r="A425">
        <v>330541</v>
      </c>
      <c r="B425" t="s">
        <v>86</v>
      </c>
      <c r="D425" t="s">
        <v>115</v>
      </c>
      <c r="K425" t="s">
        <v>180</v>
      </c>
      <c r="L425" t="s">
        <v>117</v>
      </c>
      <c r="M425" t="s">
        <v>90</v>
      </c>
      <c r="N425" t="s">
        <v>118</v>
      </c>
      <c r="V425" t="s">
        <v>91</v>
      </c>
      <c r="W425" t="s">
        <v>92</v>
      </c>
      <c r="X425" t="s">
        <v>93</v>
      </c>
      <c r="Y425">
        <v>2</v>
      </c>
      <c r="Z425" t="s">
        <v>137</v>
      </c>
      <c r="AB425">
        <v>5.0000000000000001E-3</v>
      </c>
      <c r="AG425" t="s">
        <v>95</v>
      </c>
      <c r="AX425" t="s">
        <v>523</v>
      </c>
      <c r="AY425" t="s">
        <v>523</v>
      </c>
      <c r="AZ425" t="s">
        <v>486</v>
      </c>
      <c r="BC425">
        <v>14</v>
      </c>
      <c r="BH425" t="s">
        <v>99</v>
      </c>
      <c r="BO425" t="s">
        <v>111</v>
      </c>
      <c r="CD425" t="s">
        <v>504</v>
      </c>
      <c r="CE425">
        <v>184288</v>
      </c>
      <c r="CF425" t="s">
        <v>505</v>
      </c>
      <c r="CG425" t="s">
        <v>506</v>
      </c>
      <c r="CH425">
        <v>2020</v>
      </c>
    </row>
    <row r="426" spans="1:86" hidden="1" x14ac:dyDescent="0.25">
      <c r="A426">
        <v>330541</v>
      </c>
      <c r="B426" t="s">
        <v>86</v>
      </c>
      <c r="D426" t="s">
        <v>115</v>
      </c>
      <c r="K426" t="s">
        <v>180</v>
      </c>
      <c r="L426" t="s">
        <v>117</v>
      </c>
      <c r="M426" t="s">
        <v>90</v>
      </c>
      <c r="N426" t="s">
        <v>118</v>
      </c>
      <c r="V426" t="s">
        <v>91</v>
      </c>
      <c r="W426" t="s">
        <v>92</v>
      </c>
      <c r="X426" t="s">
        <v>93</v>
      </c>
      <c r="Y426">
        <v>2</v>
      </c>
      <c r="Z426" t="s">
        <v>137</v>
      </c>
      <c r="AB426">
        <v>5.0000000000000001E-3</v>
      </c>
      <c r="AG426" t="s">
        <v>95</v>
      </c>
      <c r="AX426" t="s">
        <v>108</v>
      </c>
      <c r="AY426" t="s">
        <v>150</v>
      </c>
      <c r="AZ426" t="s">
        <v>486</v>
      </c>
      <c r="BC426">
        <v>14</v>
      </c>
      <c r="BH426" t="s">
        <v>99</v>
      </c>
      <c r="BO426" t="s">
        <v>111</v>
      </c>
      <c r="CD426" t="s">
        <v>504</v>
      </c>
      <c r="CE426">
        <v>184288</v>
      </c>
      <c r="CF426" t="s">
        <v>505</v>
      </c>
      <c r="CG426" t="s">
        <v>506</v>
      </c>
      <c r="CH426">
        <v>2020</v>
      </c>
    </row>
    <row r="427" spans="1:86" hidden="1" x14ac:dyDescent="0.25">
      <c r="A427">
        <v>330541</v>
      </c>
      <c r="B427" t="s">
        <v>86</v>
      </c>
      <c r="D427" t="s">
        <v>115</v>
      </c>
      <c r="F427">
        <v>80</v>
      </c>
      <c r="K427" t="s">
        <v>142</v>
      </c>
      <c r="L427" t="s">
        <v>143</v>
      </c>
      <c r="M427" t="s">
        <v>90</v>
      </c>
      <c r="V427" t="s">
        <v>91</v>
      </c>
      <c r="W427" t="s">
        <v>92</v>
      </c>
      <c r="X427" t="s">
        <v>93</v>
      </c>
      <c r="Y427">
        <v>6</v>
      </c>
      <c r="Z427" t="s">
        <v>137</v>
      </c>
      <c r="AA427" t="s">
        <v>434</v>
      </c>
      <c r="AB427">
        <v>0.04</v>
      </c>
      <c r="AG427" t="s">
        <v>95</v>
      </c>
      <c r="AX427" t="s">
        <v>144</v>
      </c>
      <c r="AY427" t="s">
        <v>145</v>
      </c>
      <c r="AZ427" t="s">
        <v>486</v>
      </c>
      <c r="BC427">
        <v>1.04E-2</v>
      </c>
      <c r="BH427" t="s">
        <v>99</v>
      </c>
      <c r="BO427" t="s">
        <v>111</v>
      </c>
      <c r="CD427" t="s">
        <v>146</v>
      </c>
      <c r="CE427">
        <v>170799</v>
      </c>
      <c r="CF427" t="s">
        <v>147</v>
      </c>
      <c r="CG427" t="s">
        <v>148</v>
      </c>
      <c r="CH427">
        <v>2015</v>
      </c>
    </row>
    <row r="428" spans="1:86" hidden="1" x14ac:dyDescent="0.25">
      <c r="A428">
        <v>330541</v>
      </c>
      <c r="B428" t="s">
        <v>86</v>
      </c>
      <c r="D428" t="s">
        <v>115</v>
      </c>
      <c r="H428">
        <v>95</v>
      </c>
      <c r="J428">
        <v>100</v>
      </c>
      <c r="K428" t="s">
        <v>540</v>
      </c>
      <c r="L428" t="s">
        <v>541</v>
      </c>
      <c r="M428" t="s">
        <v>90</v>
      </c>
      <c r="N428" t="s">
        <v>118</v>
      </c>
      <c r="V428" t="s">
        <v>168</v>
      </c>
      <c r="W428" t="s">
        <v>92</v>
      </c>
      <c r="X428" t="s">
        <v>93</v>
      </c>
      <c r="Y428">
        <v>3</v>
      </c>
      <c r="Z428" t="s">
        <v>94</v>
      </c>
      <c r="AB428">
        <v>0.1</v>
      </c>
      <c r="AG428" t="s">
        <v>95</v>
      </c>
      <c r="AX428" t="s">
        <v>201</v>
      </c>
      <c r="AY428" t="s">
        <v>542</v>
      </c>
      <c r="AZ428" t="s">
        <v>486</v>
      </c>
      <c r="BC428">
        <v>40</v>
      </c>
      <c r="BH428" t="s">
        <v>99</v>
      </c>
      <c r="BO428" t="s">
        <v>111</v>
      </c>
      <c r="CD428" t="s">
        <v>543</v>
      </c>
      <c r="CE428">
        <v>172991</v>
      </c>
      <c r="CF428" t="s">
        <v>544</v>
      </c>
      <c r="CG428" t="s">
        <v>545</v>
      </c>
      <c r="CH428">
        <v>2015</v>
      </c>
    </row>
    <row r="429" spans="1:86" hidden="1" x14ac:dyDescent="0.25">
      <c r="A429">
        <v>330541</v>
      </c>
      <c r="B429" t="s">
        <v>86</v>
      </c>
      <c r="D429" t="s">
        <v>115</v>
      </c>
      <c r="F429">
        <v>80</v>
      </c>
      <c r="K429" t="s">
        <v>142</v>
      </c>
      <c r="L429" t="s">
        <v>143</v>
      </c>
      <c r="M429" t="s">
        <v>90</v>
      </c>
      <c r="V429" t="s">
        <v>91</v>
      </c>
      <c r="W429" t="s">
        <v>92</v>
      </c>
      <c r="X429" t="s">
        <v>93</v>
      </c>
      <c r="Y429">
        <v>6</v>
      </c>
      <c r="Z429" t="s">
        <v>137</v>
      </c>
      <c r="AB429"/>
      <c r="AC429" t="s">
        <v>106</v>
      </c>
      <c r="AD429">
        <v>0</v>
      </c>
      <c r="AE429" t="s">
        <v>234</v>
      </c>
      <c r="AF429">
        <v>0.01</v>
      </c>
      <c r="AG429" t="s">
        <v>95</v>
      </c>
      <c r="AX429" t="s">
        <v>144</v>
      </c>
      <c r="AY429" t="s">
        <v>145</v>
      </c>
      <c r="AZ429" t="s">
        <v>486</v>
      </c>
      <c r="BC429">
        <v>1</v>
      </c>
      <c r="BH429" t="s">
        <v>99</v>
      </c>
      <c r="BO429" t="s">
        <v>111</v>
      </c>
      <c r="CD429" t="s">
        <v>146</v>
      </c>
      <c r="CE429">
        <v>170799</v>
      </c>
      <c r="CF429" t="s">
        <v>147</v>
      </c>
      <c r="CG429" t="s">
        <v>148</v>
      </c>
      <c r="CH429">
        <v>2015</v>
      </c>
    </row>
    <row r="430" spans="1:86" hidden="1" x14ac:dyDescent="0.25">
      <c r="A430">
        <v>330541</v>
      </c>
      <c r="B430" t="s">
        <v>86</v>
      </c>
      <c r="D430" t="s">
        <v>115</v>
      </c>
      <c r="K430" t="s">
        <v>90</v>
      </c>
      <c r="L430" t="s">
        <v>90</v>
      </c>
      <c r="M430" t="s">
        <v>90</v>
      </c>
      <c r="V430" t="s">
        <v>91</v>
      </c>
      <c r="W430" t="s">
        <v>107</v>
      </c>
      <c r="X430" t="s">
        <v>93</v>
      </c>
      <c r="Y430">
        <v>6</v>
      </c>
      <c r="Z430" t="s">
        <v>137</v>
      </c>
      <c r="AB430">
        <v>2.9999999999999997E-4</v>
      </c>
      <c r="AG430" t="s">
        <v>95</v>
      </c>
      <c r="AX430" t="s">
        <v>201</v>
      </c>
      <c r="AY430" t="s">
        <v>202</v>
      </c>
      <c r="AZ430" t="s">
        <v>486</v>
      </c>
      <c r="BC430">
        <v>0.41670000000000001</v>
      </c>
      <c r="BH430" t="s">
        <v>99</v>
      </c>
      <c r="BO430" t="s">
        <v>111</v>
      </c>
      <c r="CD430" t="s">
        <v>204</v>
      </c>
      <c r="CE430">
        <v>75334</v>
      </c>
      <c r="CF430" t="s">
        <v>205</v>
      </c>
      <c r="CG430" t="s">
        <v>206</v>
      </c>
      <c r="CH430">
        <v>2003</v>
      </c>
    </row>
    <row r="431" spans="1:86" hidden="1" x14ac:dyDescent="0.25">
      <c r="A431">
        <v>330541</v>
      </c>
      <c r="B431" t="s">
        <v>86</v>
      </c>
      <c r="C431" t="s">
        <v>158</v>
      </c>
      <c r="D431" t="s">
        <v>115</v>
      </c>
      <c r="K431" t="s">
        <v>159</v>
      </c>
      <c r="L431" t="s">
        <v>90</v>
      </c>
      <c r="M431" t="s">
        <v>90</v>
      </c>
      <c r="N431" t="s">
        <v>118</v>
      </c>
      <c r="V431" t="s">
        <v>91</v>
      </c>
      <c r="W431" t="s">
        <v>107</v>
      </c>
      <c r="X431" t="s">
        <v>93</v>
      </c>
      <c r="Y431">
        <v>2</v>
      </c>
      <c r="Z431" t="s">
        <v>94</v>
      </c>
      <c r="AB431">
        <v>5.8274299999999998E-3</v>
      </c>
      <c r="AG431" t="s">
        <v>95</v>
      </c>
      <c r="AX431" t="s">
        <v>201</v>
      </c>
      <c r="AY431" t="s">
        <v>521</v>
      </c>
      <c r="AZ431" t="s">
        <v>486</v>
      </c>
      <c r="BA431" t="s">
        <v>497</v>
      </c>
      <c r="BC431">
        <v>3</v>
      </c>
      <c r="BH431" t="s">
        <v>99</v>
      </c>
      <c r="BO431" t="s">
        <v>111</v>
      </c>
      <c r="CD431" t="s">
        <v>161</v>
      </c>
      <c r="CE431">
        <v>112735</v>
      </c>
      <c r="CF431" t="s">
        <v>162</v>
      </c>
      <c r="CG431" t="s">
        <v>163</v>
      </c>
      <c r="CH431">
        <v>2008</v>
      </c>
    </row>
    <row r="432" spans="1:86" hidden="1" x14ac:dyDescent="0.25">
      <c r="A432">
        <v>330541</v>
      </c>
      <c r="B432" t="s">
        <v>86</v>
      </c>
      <c r="D432" t="s">
        <v>115</v>
      </c>
      <c r="K432" t="s">
        <v>239</v>
      </c>
      <c r="L432" t="s">
        <v>89</v>
      </c>
      <c r="M432" t="s">
        <v>90</v>
      </c>
      <c r="N432" t="s">
        <v>118</v>
      </c>
      <c r="P432">
        <v>96</v>
      </c>
      <c r="U432" t="s">
        <v>213</v>
      </c>
      <c r="V432" t="s">
        <v>91</v>
      </c>
      <c r="W432" t="s">
        <v>92</v>
      </c>
      <c r="X432" t="s">
        <v>93</v>
      </c>
      <c r="Y432">
        <v>6</v>
      </c>
      <c r="Z432" t="s">
        <v>137</v>
      </c>
      <c r="AB432">
        <v>5.0000000000000001E-3</v>
      </c>
      <c r="AG432" t="s">
        <v>95</v>
      </c>
      <c r="AX432" t="s">
        <v>201</v>
      </c>
      <c r="AY432" t="s">
        <v>202</v>
      </c>
      <c r="AZ432" t="s">
        <v>486</v>
      </c>
      <c r="BA432" t="s">
        <v>179</v>
      </c>
      <c r="BC432">
        <v>6.9999999999999999E-4</v>
      </c>
      <c r="BH432" t="s">
        <v>99</v>
      </c>
      <c r="BO432" t="s">
        <v>111</v>
      </c>
      <c r="CD432" t="s">
        <v>546</v>
      </c>
      <c r="CE432">
        <v>93825</v>
      </c>
      <c r="CF432" t="s">
        <v>547</v>
      </c>
      <c r="CG432" t="s">
        <v>548</v>
      </c>
      <c r="CH432">
        <v>2003</v>
      </c>
    </row>
    <row r="433" spans="1:86" x14ac:dyDescent="0.25">
      <c r="A433">
        <v>330541</v>
      </c>
      <c r="B433" t="s">
        <v>86</v>
      </c>
      <c r="D433" t="s">
        <v>115</v>
      </c>
      <c r="K433" t="s">
        <v>224</v>
      </c>
      <c r="L433" t="s">
        <v>89</v>
      </c>
      <c r="M433" t="s">
        <v>90</v>
      </c>
      <c r="V433" t="s">
        <v>168</v>
      </c>
      <c r="W433" t="s">
        <v>92</v>
      </c>
      <c r="X433" t="s">
        <v>93</v>
      </c>
      <c r="Y433">
        <v>7</v>
      </c>
      <c r="Z433" t="s">
        <v>137</v>
      </c>
      <c r="AB433">
        <v>1.95E-2</v>
      </c>
      <c r="AG433" t="s">
        <v>95</v>
      </c>
      <c r="AX433" t="s">
        <v>108</v>
      </c>
      <c r="AY433" t="s">
        <v>160</v>
      </c>
      <c r="AZ433" t="s">
        <v>486</v>
      </c>
      <c r="BC433">
        <v>3</v>
      </c>
      <c r="BH433" t="s">
        <v>99</v>
      </c>
      <c r="BO433" t="s">
        <v>111</v>
      </c>
      <c r="CD433" t="s">
        <v>302</v>
      </c>
      <c r="CE433">
        <v>159207</v>
      </c>
      <c r="CF433" t="s">
        <v>303</v>
      </c>
      <c r="CG433" t="s">
        <v>304</v>
      </c>
      <c r="CH433">
        <v>2012</v>
      </c>
    </row>
    <row r="434" spans="1:86" hidden="1" x14ac:dyDescent="0.25">
      <c r="A434">
        <v>330541</v>
      </c>
      <c r="B434" t="s">
        <v>86</v>
      </c>
      <c r="C434" t="s">
        <v>183</v>
      </c>
      <c r="D434" t="s">
        <v>115</v>
      </c>
      <c r="E434" t="s">
        <v>106</v>
      </c>
      <c r="F434">
        <v>98</v>
      </c>
      <c r="K434" t="s">
        <v>218</v>
      </c>
      <c r="L434" t="s">
        <v>89</v>
      </c>
      <c r="M434" t="s">
        <v>90</v>
      </c>
      <c r="V434" t="s">
        <v>91</v>
      </c>
      <c r="W434" t="s">
        <v>92</v>
      </c>
      <c r="X434" t="s">
        <v>93</v>
      </c>
      <c r="Y434">
        <v>5</v>
      </c>
      <c r="Z434" t="s">
        <v>94</v>
      </c>
      <c r="AB434">
        <v>0.1165486</v>
      </c>
      <c r="AG434" t="s">
        <v>95</v>
      </c>
      <c r="AX434" t="s">
        <v>144</v>
      </c>
      <c r="AY434" t="s">
        <v>455</v>
      </c>
      <c r="AZ434" t="s">
        <v>486</v>
      </c>
      <c r="BC434">
        <v>8.3299999999999999E-2</v>
      </c>
      <c r="BH434" t="s">
        <v>99</v>
      </c>
      <c r="BO434" t="s">
        <v>111</v>
      </c>
      <c r="CD434" t="s">
        <v>508</v>
      </c>
      <c r="CE434">
        <v>19633</v>
      </c>
      <c r="CF434" t="s">
        <v>509</v>
      </c>
      <c r="CG434" t="s">
        <v>510</v>
      </c>
      <c r="CH434">
        <v>1976</v>
      </c>
    </row>
    <row r="435" spans="1:86" hidden="1" x14ac:dyDescent="0.25">
      <c r="A435">
        <v>330541</v>
      </c>
      <c r="B435" t="s">
        <v>86</v>
      </c>
      <c r="C435" t="s">
        <v>183</v>
      </c>
      <c r="D435" t="s">
        <v>115</v>
      </c>
      <c r="E435" t="s">
        <v>106</v>
      </c>
      <c r="F435">
        <v>98</v>
      </c>
      <c r="K435" t="s">
        <v>218</v>
      </c>
      <c r="L435" t="s">
        <v>89</v>
      </c>
      <c r="M435" t="s">
        <v>90</v>
      </c>
      <c r="V435" t="s">
        <v>91</v>
      </c>
      <c r="W435" t="s">
        <v>92</v>
      </c>
      <c r="X435" t="s">
        <v>93</v>
      </c>
      <c r="Y435">
        <v>5</v>
      </c>
      <c r="Z435" t="s">
        <v>94</v>
      </c>
      <c r="AB435">
        <v>1.165486E-2</v>
      </c>
      <c r="AG435" t="s">
        <v>95</v>
      </c>
      <c r="AX435" t="s">
        <v>144</v>
      </c>
      <c r="AY435" t="s">
        <v>109</v>
      </c>
      <c r="AZ435" t="s">
        <v>486</v>
      </c>
      <c r="BC435">
        <v>8.3299999999999999E-2</v>
      </c>
      <c r="BH435" t="s">
        <v>99</v>
      </c>
      <c r="BO435" t="s">
        <v>111</v>
      </c>
      <c r="CD435" t="s">
        <v>508</v>
      </c>
      <c r="CE435">
        <v>19633</v>
      </c>
      <c r="CF435" t="s">
        <v>509</v>
      </c>
      <c r="CG435" t="s">
        <v>510</v>
      </c>
      <c r="CH435">
        <v>1976</v>
      </c>
    </row>
    <row r="436" spans="1:86" hidden="1" x14ac:dyDescent="0.25">
      <c r="A436">
        <v>330541</v>
      </c>
      <c r="B436" t="s">
        <v>86</v>
      </c>
      <c r="C436" t="s">
        <v>183</v>
      </c>
      <c r="D436" t="s">
        <v>115</v>
      </c>
      <c r="E436" t="s">
        <v>106</v>
      </c>
      <c r="F436">
        <v>98</v>
      </c>
      <c r="K436" t="s">
        <v>218</v>
      </c>
      <c r="L436" t="s">
        <v>89</v>
      </c>
      <c r="M436" t="s">
        <v>90</v>
      </c>
      <c r="V436" t="s">
        <v>91</v>
      </c>
      <c r="W436" t="s">
        <v>92</v>
      </c>
      <c r="X436" t="s">
        <v>93</v>
      </c>
      <c r="Y436">
        <v>5</v>
      </c>
      <c r="Z436" t="s">
        <v>94</v>
      </c>
      <c r="AB436">
        <v>1.1654860000000001E-3</v>
      </c>
      <c r="AG436" t="s">
        <v>95</v>
      </c>
      <c r="AX436" t="s">
        <v>144</v>
      </c>
      <c r="AY436" t="s">
        <v>109</v>
      </c>
      <c r="AZ436" t="s">
        <v>486</v>
      </c>
      <c r="BC436">
        <v>2.7799999999999998E-2</v>
      </c>
      <c r="BH436" t="s">
        <v>99</v>
      </c>
      <c r="BO436" t="s">
        <v>111</v>
      </c>
      <c r="CD436" t="s">
        <v>508</v>
      </c>
      <c r="CE436">
        <v>19633</v>
      </c>
      <c r="CF436" t="s">
        <v>509</v>
      </c>
      <c r="CG436" t="s">
        <v>510</v>
      </c>
      <c r="CH436">
        <v>1976</v>
      </c>
    </row>
    <row r="437" spans="1:86" hidden="1" x14ac:dyDescent="0.25">
      <c r="A437">
        <v>330541</v>
      </c>
      <c r="B437" t="s">
        <v>86</v>
      </c>
      <c r="C437" t="s">
        <v>183</v>
      </c>
      <c r="D437" t="s">
        <v>115</v>
      </c>
      <c r="E437" t="s">
        <v>106</v>
      </c>
      <c r="F437">
        <v>98</v>
      </c>
      <c r="K437" t="s">
        <v>218</v>
      </c>
      <c r="L437" t="s">
        <v>89</v>
      </c>
      <c r="M437" t="s">
        <v>90</v>
      </c>
      <c r="V437" t="s">
        <v>91</v>
      </c>
      <c r="W437" t="s">
        <v>92</v>
      </c>
      <c r="X437" t="s">
        <v>93</v>
      </c>
      <c r="Y437">
        <v>5</v>
      </c>
      <c r="Z437" t="s">
        <v>94</v>
      </c>
      <c r="AB437">
        <v>1.165486E-2</v>
      </c>
      <c r="AG437" t="s">
        <v>95</v>
      </c>
      <c r="AX437" t="s">
        <v>144</v>
      </c>
      <c r="AY437" t="s">
        <v>109</v>
      </c>
      <c r="AZ437" t="s">
        <v>486</v>
      </c>
      <c r="BC437">
        <v>4.1700000000000001E-2</v>
      </c>
      <c r="BH437" t="s">
        <v>99</v>
      </c>
      <c r="BO437" t="s">
        <v>111</v>
      </c>
      <c r="CD437" t="s">
        <v>508</v>
      </c>
      <c r="CE437">
        <v>19633</v>
      </c>
      <c r="CF437" t="s">
        <v>509</v>
      </c>
      <c r="CG437" t="s">
        <v>510</v>
      </c>
      <c r="CH437">
        <v>1976</v>
      </c>
    </row>
    <row r="438" spans="1:86" hidden="1" x14ac:dyDescent="0.25">
      <c r="A438">
        <v>330541</v>
      </c>
      <c r="B438" t="s">
        <v>86</v>
      </c>
      <c r="C438" t="s">
        <v>183</v>
      </c>
      <c r="D438" t="s">
        <v>115</v>
      </c>
      <c r="E438" t="s">
        <v>106</v>
      </c>
      <c r="F438">
        <v>98</v>
      </c>
      <c r="K438" t="s">
        <v>218</v>
      </c>
      <c r="L438" t="s">
        <v>89</v>
      </c>
      <c r="M438" t="s">
        <v>90</v>
      </c>
      <c r="V438" t="s">
        <v>91</v>
      </c>
      <c r="W438" t="s">
        <v>92</v>
      </c>
      <c r="X438" t="s">
        <v>93</v>
      </c>
      <c r="Y438">
        <v>5</v>
      </c>
      <c r="Z438" t="s">
        <v>94</v>
      </c>
      <c r="AB438">
        <v>1.1654860000000001E-3</v>
      </c>
      <c r="AG438" t="s">
        <v>95</v>
      </c>
      <c r="AX438" t="s">
        <v>144</v>
      </c>
      <c r="AY438" t="s">
        <v>109</v>
      </c>
      <c r="AZ438" t="s">
        <v>486</v>
      </c>
      <c r="BC438">
        <v>6.9400000000000003E-2</v>
      </c>
      <c r="BH438" t="s">
        <v>99</v>
      </c>
      <c r="BO438" t="s">
        <v>111</v>
      </c>
      <c r="CD438" t="s">
        <v>508</v>
      </c>
      <c r="CE438">
        <v>19633</v>
      </c>
      <c r="CF438" t="s">
        <v>509</v>
      </c>
      <c r="CG438" t="s">
        <v>510</v>
      </c>
      <c r="CH438">
        <v>1976</v>
      </c>
    </row>
    <row r="439" spans="1:86" hidden="1" x14ac:dyDescent="0.25">
      <c r="A439">
        <v>330541</v>
      </c>
      <c r="B439" t="s">
        <v>86</v>
      </c>
      <c r="C439" t="s">
        <v>183</v>
      </c>
      <c r="D439" t="s">
        <v>115</v>
      </c>
      <c r="E439" t="s">
        <v>106</v>
      </c>
      <c r="F439">
        <v>98</v>
      </c>
      <c r="K439" t="s">
        <v>218</v>
      </c>
      <c r="L439" t="s">
        <v>89</v>
      </c>
      <c r="M439" t="s">
        <v>90</v>
      </c>
      <c r="V439" t="s">
        <v>91</v>
      </c>
      <c r="W439" t="s">
        <v>92</v>
      </c>
      <c r="X439" t="s">
        <v>93</v>
      </c>
      <c r="Y439">
        <v>5</v>
      </c>
      <c r="Z439" t="s">
        <v>94</v>
      </c>
      <c r="AB439">
        <v>1.1654860000000001E-3</v>
      </c>
      <c r="AG439" t="s">
        <v>95</v>
      </c>
      <c r="AX439" t="s">
        <v>144</v>
      </c>
      <c r="AY439" t="s">
        <v>109</v>
      </c>
      <c r="AZ439" t="s">
        <v>486</v>
      </c>
      <c r="BC439">
        <v>5.5599999999999997E-2</v>
      </c>
      <c r="BH439" t="s">
        <v>99</v>
      </c>
      <c r="BO439" t="s">
        <v>111</v>
      </c>
      <c r="CD439" t="s">
        <v>508</v>
      </c>
      <c r="CE439">
        <v>19633</v>
      </c>
      <c r="CF439" t="s">
        <v>509</v>
      </c>
      <c r="CG439" t="s">
        <v>510</v>
      </c>
      <c r="CH439">
        <v>1976</v>
      </c>
    </row>
    <row r="440" spans="1:86" hidden="1" x14ac:dyDescent="0.25">
      <c r="A440">
        <v>330541</v>
      </c>
      <c r="B440" t="s">
        <v>86</v>
      </c>
      <c r="C440" t="s">
        <v>183</v>
      </c>
      <c r="D440" t="s">
        <v>115</v>
      </c>
      <c r="E440" t="s">
        <v>106</v>
      </c>
      <c r="F440">
        <v>98</v>
      </c>
      <c r="K440" t="s">
        <v>218</v>
      </c>
      <c r="L440" t="s">
        <v>89</v>
      </c>
      <c r="M440" t="s">
        <v>90</v>
      </c>
      <c r="V440" t="s">
        <v>91</v>
      </c>
      <c r="W440" t="s">
        <v>92</v>
      </c>
      <c r="X440" t="s">
        <v>93</v>
      </c>
      <c r="Y440">
        <v>5</v>
      </c>
      <c r="Z440" t="s">
        <v>94</v>
      </c>
      <c r="AB440">
        <v>0.1165486</v>
      </c>
      <c r="AG440" t="s">
        <v>95</v>
      </c>
      <c r="AX440" t="s">
        <v>144</v>
      </c>
      <c r="AY440" t="s">
        <v>455</v>
      </c>
      <c r="AZ440" t="s">
        <v>486</v>
      </c>
      <c r="BC440">
        <v>6.9400000000000003E-2</v>
      </c>
      <c r="BH440" t="s">
        <v>99</v>
      </c>
      <c r="BO440" t="s">
        <v>111</v>
      </c>
      <c r="CD440" t="s">
        <v>508</v>
      </c>
      <c r="CE440">
        <v>19633</v>
      </c>
      <c r="CF440" t="s">
        <v>509</v>
      </c>
      <c r="CG440" t="s">
        <v>510</v>
      </c>
      <c r="CH440">
        <v>1976</v>
      </c>
    </row>
    <row r="441" spans="1:86" hidden="1" x14ac:dyDescent="0.25">
      <c r="A441">
        <v>330541</v>
      </c>
      <c r="B441" t="s">
        <v>86</v>
      </c>
      <c r="D441" t="s">
        <v>115</v>
      </c>
      <c r="K441" t="s">
        <v>526</v>
      </c>
      <c r="L441" t="s">
        <v>117</v>
      </c>
      <c r="M441" t="s">
        <v>90</v>
      </c>
      <c r="N441" t="s">
        <v>118</v>
      </c>
      <c r="V441" t="s">
        <v>91</v>
      </c>
      <c r="W441" t="s">
        <v>92</v>
      </c>
      <c r="X441" t="s">
        <v>93</v>
      </c>
      <c r="Y441">
        <v>2</v>
      </c>
      <c r="Z441" t="s">
        <v>137</v>
      </c>
      <c r="AB441">
        <v>5.0000000000000001E-3</v>
      </c>
      <c r="AG441" t="s">
        <v>95</v>
      </c>
      <c r="AX441" t="s">
        <v>108</v>
      </c>
      <c r="AY441" t="s">
        <v>150</v>
      </c>
      <c r="AZ441" t="s">
        <v>486</v>
      </c>
      <c r="BE441">
        <v>13</v>
      </c>
      <c r="BG441">
        <v>17</v>
      </c>
      <c r="BH441" t="s">
        <v>99</v>
      </c>
      <c r="BO441" t="s">
        <v>111</v>
      </c>
      <c r="CD441" t="s">
        <v>504</v>
      </c>
      <c r="CE441">
        <v>184288</v>
      </c>
      <c r="CF441" t="s">
        <v>505</v>
      </c>
      <c r="CG441" t="s">
        <v>506</v>
      </c>
      <c r="CH441">
        <v>2020</v>
      </c>
    </row>
    <row r="442" spans="1:86" hidden="1" x14ac:dyDescent="0.25">
      <c r="A442">
        <v>330541</v>
      </c>
      <c r="B442" t="s">
        <v>86</v>
      </c>
      <c r="D442" t="s">
        <v>115</v>
      </c>
      <c r="K442" t="s">
        <v>526</v>
      </c>
      <c r="L442" t="s">
        <v>117</v>
      </c>
      <c r="M442" t="s">
        <v>90</v>
      </c>
      <c r="N442" t="s">
        <v>118</v>
      </c>
      <c r="V442" t="s">
        <v>91</v>
      </c>
      <c r="W442" t="s">
        <v>92</v>
      </c>
      <c r="X442" t="s">
        <v>93</v>
      </c>
      <c r="Y442">
        <v>2</v>
      </c>
      <c r="Z442" t="s">
        <v>137</v>
      </c>
      <c r="AB442">
        <v>5.0000000000000001E-3</v>
      </c>
      <c r="AG442" t="s">
        <v>95</v>
      </c>
      <c r="AX442" t="s">
        <v>108</v>
      </c>
      <c r="AY442" t="s">
        <v>150</v>
      </c>
      <c r="AZ442" t="s">
        <v>486</v>
      </c>
      <c r="BC442">
        <v>20</v>
      </c>
      <c r="BH442" t="s">
        <v>99</v>
      </c>
      <c r="BO442" t="s">
        <v>111</v>
      </c>
      <c r="CD442" t="s">
        <v>504</v>
      </c>
      <c r="CE442">
        <v>184288</v>
      </c>
      <c r="CF442" t="s">
        <v>505</v>
      </c>
      <c r="CG442" t="s">
        <v>506</v>
      </c>
      <c r="CH442">
        <v>2020</v>
      </c>
    </row>
    <row r="443" spans="1:86" hidden="1" x14ac:dyDescent="0.25">
      <c r="A443">
        <v>330541</v>
      </c>
      <c r="B443" t="s">
        <v>86</v>
      </c>
      <c r="C443" t="s">
        <v>158</v>
      </c>
      <c r="D443" t="s">
        <v>115</v>
      </c>
      <c r="K443" t="s">
        <v>159</v>
      </c>
      <c r="L443" t="s">
        <v>90</v>
      </c>
      <c r="M443" t="s">
        <v>90</v>
      </c>
      <c r="N443" t="s">
        <v>118</v>
      </c>
      <c r="V443" t="s">
        <v>91</v>
      </c>
      <c r="W443" t="s">
        <v>107</v>
      </c>
      <c r="X443" t="s">
        <v>93</v>
      </c>
      <c r="Y443">
        <v>2</v>
      </c>
      <c r="Z443" t="s">
        <v>94</v>
      </c>
      <c r="AB443">
        <v>5.8274299999999998E-3</v>
      </c>
      <c r="AG443" t="s">
        <v>95</v>
      </c>
      <c r="AX443" t="s">
        <v>201</v>
      </c>
      <c r="AY443" t="s">
        <v>549</v>
      </c>
      <c r="AZ443" t="s">
        <v>486</v>
      </c>
      <c r="BA443" t="s">
        <v>497</v>
      </c>
      <c r="BC443">
        <v>3</v>
      </c>
      <c r="BH443" t="s">
        <v>99</v>
      </c>
      <c r="BO443" t="s">
        <v>111</v>
      </c>
      <c r="CD443" t="s">
        <v>161</v>
      </c>
      <c r="CE443">
        <v>112735</v>
      </c>
      <c r="CF443" t="s">
        <v>162</v>
      </c>
      <c r="CG443" t="s">
        <v>163</v>
      </c>
      <c r="CH443">
        <v>2008</v>
      </c>
    </row>
    <row r="444" spans="1:86" hidden="1" x14ac:dyDescent="0.25">
      <c r="A444">
        <v>330541</v>
      </c>
      <c r="B444" t="s">
        <v>86</v>
      </c>
      <c r="D444" t="s">
        <v>115</v>
      </c>
      <c r="K444" t="s">
        <v>526</v>
      </c>
      <c r="L444" t="s">
        <v>117</v>
      </c>
      <c r="M444" t="s">
        <v>90</v>
      </c>
      <c r="N444" t="s">
        <v>118</v>
      </c>
      <c r="V444" t="s">
        <v>91</v>
      </c>
      <c r="W444" t="s">
        <v>92</v>
      </c>
      <c r="X444" t="s">
        <v>93</v>
      </c>
      <c r="Y444">
        <v>2</v>
      </c>
      <c r="Z444" t="s">
        <v>137</v>
      </c>
      <c r="AB444">
        <v>5.0000000000000001E-3</v>
      </c>
      <c r="AG444" t="s">
        <v>95</v>
      </c>
      <c r="AX444" t="s">
        <v>523</v>
      </c>
      <c r="AY444" t="s">
        <v>523</v>
      </c>
      <c r="AZ444" t="s">
        <v>486</v>
      </c>
      <c r="BE444">
        <v>13</v>
      </c>
      <c r="BG444">
        <v>17</v>
      </c>
      <c r="BH444" t="s">
        <v>99</v>
      </c>
      <c r="BO444" t="s">
        <v>111</v>
      </c>
      <c r="CD444" t="s">
        <v>504</v>
      </c>
      <c r="CE444">
        <v>184288</v>
      </c>
      <c r="CF444" t="s">
        <v>505</v>
      </c>
      <c r="CG444" t="s">
        <v>506</v>
      </c>
      <c r="CH444">
        <v>2020</v>
      </c>
    </row>
    <row r="445" spans="1:86" hidden="1" x14ac:dyDescent="0.25">
      <c r="A445">
        <v>330541</v>
      </c>
      <c r="B445" t="s">
        <v>86</v>
      </c>
      <c r="C445" t="s">
        <v>158</v>
      </c>
      <c r="D445" t="s">
        <v>115</v>
      </c>
      <c r="K445" t="s">
        <v>159</v>
      </c>
      <c r="L445" t="s">
        <v>90</v>
      </c>
      <c r="M445" t="s">
        <v>90</v>
      </c>
      <c r="N445" t="s">
        <v>118</v>
      </c>
      <c r="V445" t="s">
        <v>91</v>
      </c>
      <c r="W445" t="s">
        <v>92</v>
      </c>
      <c r="X445" t="s">
        <v>93</v>
      </c>
      <c r="Z445" t="s">
        <v>94</v>
      </c>
      <c r="AB445">
        <v>1E-4</v>
      </c>
      <c r="AG445" t="s">
        <v>95</v>
      </c>
      <c r="AX445" t="s">
        <v>144</v>
      </c>
      <c r="AY445" t="s">
        <v>109</v>
      </c>
      <c r="AZ445" t="s">
        <v>486</v>
      </c>
      <c r="BA445" t="s">
        <v>179</v>
      </c>
      <c r="BB445" t="s">
        <v>234</v>
      </c>
      <c r="BC445">
        <v>0.16669999999999999</v>
      </c>
      <c r="BH445" t="s">
        <v>99</v>
      </c>
      <c r="BO445" t="s">
        <v>111</v>
      </c>
      <c r="CD445" t="s">
        <v>398</v>
      </c>
      <c r="CE445">
        <v>153836</v>
      </c>
      <c r="CF445" t="s">
        <v>399</v>
      </c>
      <c r="CG445" t="s">
        <v>400</v>
      </c>
      <c r="CH445">
        <v>2010</v>
      </c>
    </row>
    <row r="446" spans="1:86" hidden="1" x14ac:dyDescent="0.25">
      <c r="A446">
        <v>330541</v>
      </c>
      <c r="B446" t="s">
        <v>86</v>
      </c>
      <c r="C446" t="s">
        <v>158</v>
      </c>
      <c r="D446" t="s">
        <v>115</v>
      </c>
      <c r="K446" t="s">
        <v>159</v>
      </c>
      <c r="L446" t="s">
        <v>90</v>
      </c>
      <c r="M446" t="s">
        <v>90</v>
      </c>
      <c r="N446" t="s">
        <v>118</v>
      </c>
      <c r="V446" t="s">
        <v>91</v>
      </c>
      <c r="W446" t="s">
        <v>107</v>
      </c>
      <c r="X446" t="s">
        <v>93</v>
      </c>
      <c r="Y446">
        <v>2</v>
      </c>
      <c r="Z446" t="s">
        <v>94</v>
      </c>
      <c r="AB446">
        <v>5.8274299999999998E-3</v>
      </c>
      <c r="AG446" t="s">
        <v>95</v>
      </c>
      <c r="AX446" t="s">
        <v>201</v>
      </c>
      <c r="AY446" t="s">
        <v>550</v>
      </c>
      <c r="AZ446" t="s">
        <v>486</v>
      </c>
      <c r="BA446" t="s">
        <v>497</v>
      </c>
      <c r="BC446">
        <v>3</v>
      </c>
      <c r="BH446" t="s">
        <v>99</v>
      </c>
      <c r="BO446" t="s">
        <v>111</v>
      </c>
      <c r="CD446" t="s">
        <v>161</v>
      </c>
      <c r="CE446">
        <v>112735</v>
      </c>
      <c r="CF446" t="s">
        <v>162</v>
      </c>
      <c r="CG446" t="s">
        <v>163</v>
      </c>
      <c r="CH446">
        <v>2008</v>
      </c>
    </row>
    <row r="447" spans="1:86" hidden="1" x14ac:dyDescent="0.25">
      <c r="A447">
        <v>330541</v>
      </c>
      <c r="B447" t="s">
        <v>86</v>
      </c>
      <c r="D447" t="s">
        <v>115</v>
      </c>
      <c r="F447">
        <v>98.4</v>
      </c>
      <c r="K447" t="s">
        <v>551</v>
      </c>
      <c r="L447" t="s">
        <v>352</v>
      </c>
      <c r="M447" t="s">
        <v>90</v>
      </c>
      <c r="V447" t="s">
        <v>491</v>
      </c>
      <c r="W447" t="s">
        <v>92</v>
      </c>
      <c r="X447" t="s">
        <v>492</v>
      </c>
      <c r="Y447">
        <v>2</v>
      </c>
      <c r="Z447" t="s">
        <v>94</v>
      </c>
      <c r="AB447">
        <v>5.0000000000000001E-3</v>
      </c>
      <c r="AG447" t="s">
        <v>95</v>
      </c>
      <c r="AX447" t="s">
        <v>108</v>
      </c>
      <c r="AY447" t="s">
        <v>150</v>
      </c>
      <c r="AZ447" t="s">
        <v>486</v>
      </c>
      <c r="BB447" t="s">
        <v>499</v>
      </c>
      <c r="BC447">
        <v>40</v>
      </c>
      <c r="BH447" t="s">
        <v>99</v>
      </c>
      <c r="BO447" t="s">
        <v>111</v>
      </c>
      <c r="CD447" t="s">
        <v>493</v>
      </c>
      <c r="CE447">
        <v>165274</v>
      </c>
      <c r="CF447" t="s">
        <v>494</v>
      </c>
      <c r="CG447" t="s">
        <v>495</v>
      </c>
      <c r="CH447">
        <v>2012</v>
      </c>
    </row>
    <row r="448" spans="1:86" hidden="1" x14ac:dyDescent="0.25">
      <c r="A448">
        <v>330541</v>
      </c>
      <c r="B448" t="s">
        <v>86</v>
      </c>
      <c r="D448" t="s">
        <v>115</v>
      </c>
      <c r="F448">
        <v>98.4</v>
      </c>
      <c r="K448" t="s">
        <v>90</v>
      </c>
      <c r="L448" t="s">
        <v>90</v>
      </c>
      <c r="M448" t="s">
        <v>90</v>
      </c>
      <c r="V448" t="s">
        <v>91</v>
      </c>
      <c r="W448" t="s">
        <v>92</v>
      </c>
      <c r="X448" t="s">
        <v>93</v>
      </c>
      <c r="Y448">
        <v>5</v>
      </c>
      <c r="Z448" t="s">
        <v>94</v>
      </c>
      <c r="AB448">
        <v>2.5000000000000001E-3</v>
      </c>
      <c r="AG448" t="s">
        <v>95</v>
      </c>
      <c r="AX448" t="s">
        <v>144</v>
      </c>
      <c r="AY448" t="s">
        <v>438</v>
      </c>
      <c r="AZ448" t="s">
        <v>486</v>
      </c>
      <c r="BA448" t="s">
        <v>179</v>
      </c>
      <c r="BC448">
        <v>0.125</v>
      </c>
      <c r="BH448" t="s">
        <v>99</v>
      </c>
      <c r="BO448" t="s">
        <v>111</v>
      </c>
      <c r="CD448" t="s">
        <v>518</v>
      </c>
      <c r="CE448">
        <v>120541</v>
      </c>
      <c r="CF448" t="s">
        <v>519</v>
      </c>
      <c r="CG448" t="s">
        <v>520</v>
      </c>
      <c r="CH448">
        <v>2010</v>
      </c>
    </row>
    <row r="449" spans="1:86" x14ac:dyDescent="0.25">
      <c r="A449">
        <v>330541</v>
      </c>
      <c r="B449" t="s">
        <v>86</v>
      </c>
      <c r="D449" t="s">
        <v>115</v>
      </c>
      <c r="E449" t="s">
        <v>106</v>
      </c>
      <c r="F449">
        <v>98</v>
      </c>
      <c r="K449" t="s">
        <v>224</v>
      </c>
      <c r="L449" t="s">
        <v>89</v>
      </c>
      <c r="M449" t="s">
        <v>90</v>
      </c>
      <c r="V449" t="s">
        <v>91</v>
      </c>
      <c r="W449" t="s">
        <v>107</v>
      </c>
      <c r="X449" t="s">
        <v>93</v>
      </c>
      <c r="Z449" t="s">
        <v>94</v>
      </c>
      <c r="AB449" s="281">
        <v>1.4999999999999999E-2</v>
      </c>
      <c r="AG449" t="s">
        <v>95</v>
      </c>
      <c r="AX449" t="s">
        <v>108</v>
      </c>
      <c r="AY449" t="s">
        <v>150</v>
      </c>
      <c r="AZ449" t="s">
        <v>486</v>
      </c>
      <c r="BC449">
        <v>3</v>
      </c>
      <c r="BH449" t="s">
        <v>99</v>
      </c>
      <c r="BO449" t="s">
        <v>111</v>
      </c>
      <c r="CD449" t="s">
        <v>343</v>
      </c>
      <c r="CE449">
        <v>80359</v>
      </c>
      <c r="CF449" t="s">
        <v>344</v>
      </c>
      <c r="CG449" t="s">
        <v>345</v>
      </c>
      <c r="CH449">
        <v>2002</v>
      </c>
    </row>
    <row r="450" spans="1:86" hidden="1" x14ac:dyDescent="0.25">
      <c r="A450">
        <v>330541</v>
      </c>
      <c r="B450" t="s">
        <v>86</v>
      </c>
      <c r="C450" t="s">
        <v>104</v>
      </c>
      <c r="D450" t="s">
        <v>115</v>
      </c>
      <c r="K450" t="s">
        <v>372</v>
      </c>
      <c r="L450" t="s">
        <v>143</v>
      </c>
      <c r="M450" t="s">
        <v>90</v>
      </c>
      <c r="R450">
        <v>14</v>
      </c>
      <c r="T450">
        <v>28</v>
      </c>
      <c r="U450" t="s">
        <v>99</v>
      </c>
      <c r="V450" t="s">
        <v>91</v>
      </c>
      <c r="W450" t="s">
        <v>92</v>
      </c>
      <c r="X450" t="s">
        <v>93</v>
      </c>
      <c r="Z450" t="s">
        <v>94</v>
      </c>
      <c r="AB450" s="281">
        <v>5.0000000000000001E-4</v>
      </c>
      <c r="AG450" t="s">
        <v>95</v>
      </c>
      <c r="AX450" t="s">
        <v>108</v>
      </c>
      <c r="AY450" t="s">
        <v>109</v>
      </c>
      <c r="AZ450" t="s">
        <v>486</v>
      </c>
      <c r="BC450">
        <v>1.3899999999999999E-2</v>
      </c>
      <c r="BH450" t="s">
        <v>99</v>
      </c>
      <c r="BO450" t="s">
        <v>111</v>
      </c>
      <c r="CD450" t="s">
        <v>225</v>
      </c>
      <c r="CE450">
        <v>83755</v>
      </c>
      <c r="CF450" t="s">
        <v>226</v>
      </c>
      <c r="CG450" t="s">
        <v>227</v>
      </c>
      <c r="CH450">
        <v>2005</v>
      </c>
    </row>
    <row r="451" spans="1:86" hidden="1" x14ac:dyDescent="0.25">
      <c r="A451">
        <v>330541</v>
      </c>
      <c r="B451" t="s">
        <v>86</v>
      </c>
      <c r="D451" t="s">
        <v>115</v>
      </c>
      <c r="E451" t="s">
        <v>106</v>
      </c>
      <c r="F451">
        <v>98</v>
      </c>
      <c r="K451" t="s">
        <v>184</v>
      </c>
      <c r="L451" t="s">
        <v>89</v>
      </c>
      <c r="M451" t="s">
        <v>90</v>
      </c>
      <c r="N451" t="s">
        <v>118</v>
      </c>
      <c r="V451" t="s">
        <v>91</v>
      </c>
      <c r="W451" t="s">
        <v>92</v>
      </c>
      <c r="X451" t="s">
        <v>93</v>
      </c>
      <c r="Y451">
        <v>3</v>
      </c>
      <c r="Z451" t="s">
        <v>94</v>
      </c>
      <c r="AB451" s="281">
        <v>0.01</v>
      </c>
      <c r="AG451" t="s">
        <v>95</v>
      </c>
      <c r="AX451" t="s">
        <v>108</v>
      </c>
      <c r="AY451" t="s">
        <v>150</v>
      </c>
      <c r="AZ451" t="s">
        <v>486</v>
      </c>
      <c r="BC451">
        <v>4</v>
      </c>
      <c r="BH451" t="s">
        <v>99</v>
      </c>
      <c r="BO451" t="s">
        <v>111</v>
      </c>
      <c r="CD451" t="s">
        <v>552</v>
      </c>
      <c r="CE451">
        <v>94271</v>
      </c>
      <c r="CF451" t="s">
        <v>553</v>
      </c>
      <c r="CG451" t="s">
        <v>554</v>
      </c>
      <c r="CH451">
        <v>2005</v>
      </c>
    </row>
    <row r="452" spans="1:86" hidden="1" x14ac:dyDescent="0.25">
      <c r="A452">
        <v>330541</v>
      </c>
      <c r="B452" t="s">
        <v>86</v>
      </c>
      <c r="D452" t="s">
        <v>115</v>
      </c>
      <c r="K452" t="s">
        <v>180</v>
      </c>
      <c r="L452" t="s">
        <v>117</v>
      </c>
      <c r="M452" t="s">
        <v>90</v>
      </c>
      <c r="N452" t="s">
        <v>118</v>
      </c>
      <c r="V452" t="s">
        <v>91</v>
      </c>
      <c r="W452" t="s">
        <v>92</v>
      </c>
      <c r="X452" t="s">
        <v>93</v>
      </c>
      <c r="Y452">
        <v>2</v>
      </c>
      <c r="Z452" t="s">
        <v>137</v>
      </c>
      <c r="AB452">
        <v>5.0000000000000001E-3</v>
      </c>
      <c r="AG452" t="s">
        <v>95</v>
      </c>
      <c r="AX452" t="s">
        <v>108</v>
      </c>
      <c r="AY452" t="s">
        <v>150</v>
      </c>
      <c r="AZ452" t="s">
        <v>486</v>
      </c>
      <c r="BE452">
        <v>13</v>
      </c>
      <c r="BG452">
        <v>17</v>
      </c>
      <c r="BH452" t="s">
        <v>99</v>
      </c>
      <c r="BO452" t="s">
        <v>111</v>
      </c>
      <c r="CD452" t="s">
        <v>504</v>
      </c>
      <c r="CE452">
        <v>184288</v>
      </c>
      <c r="CF452" t="s">
        <v>505</v>
      </c>
      <c r="CG452" t="s">
        <v>506</v>
      </c>
      <c r="CH452">
        <v>2020</v>
      </c>
    </row>
    <row r="453" spans="1:86" hidden="1" x14ac:dyDescent="0.25">
      <c r="A453">
        <v>330541</v>
      </c>
      <c r="B453" t="s">
        <v>86</v>
      </c>
      <c r="D453" t="s">
        <v>115</v>
      </c>
      <c r="K453" t="s">
        <v>180</v>
      </c>
      <c r="L453" t="s">
        <v>117</v>
      </c>
      <c r="M453" t="s">
        <v>90</v>
      </c>
      <c r="N453" t="s">
        <v>118</v>
      </c>
      <c r="V453" t="s">
        <v>91</v>
      </c>
      <c r="W453" t="s">
        <v>92</v>
      </c>
      <c r="X453" t="s">
        <v>93</v>
      </c>
      <c r="Y453">
        <v>2</v>
      </c>
      <c r="Z453" t="s">
        <v>137</v>
      </c>
      <c r="AB453">
        <v>5.0000000000000001E-3</v>
      </c>
      <c r="AG453" t="s">
        <v>95</v>
      </c>
      <c r="AX453" t="s">
        <v>108</v>
      </c>
      <c r="AY453" t="s">
        <v>160</v>
      </c>
      <c r="AZ453" t="s">
        <v>486</v>
      </c>
      <c r="BE453">
        <v>13</v>
      </c>
      <c r="BG453">
        <v>17</v>
      </c>
      <c r="BH453" t="s">
        <v>99</v>
      </c>
      <c r="BO453" t="s">
        <v>111</v>
      </c>
      <c r="CD453" t="s">
        <v>504</v>
      </c>
      <c r="CE453">
        <v>184288</v>
      </c>
      <c r="CF453" t="s">
        <v>505</v>
      </c>
      <c r="CG453" t="s">
        <v>506</v>
      </c>
      <c r="CH453">
        <v>2020</v>
      </c>
    </row>
    <row r="454" spans="1:86" hidden="1" x14ac:dyDescent="0.25">
      <c r="A454">
        <v>330541</v>
      </c>
      <c r="B454" t="s">
        <v>86</v>
      </c>
      <c r="D454" t="s">
        <v>115</v>
      </c>
      <c r="K454" t="s">
        <v>90</v>
      </c>
      <c r="L454" t="s">
        <v>90</v>
      </c>
      <c r="M454" t="s">
        <v>90</v>
      </c>
      <c r="V454" t="s">
        <v>91</v>
      </c>
      <c r="W454" t="s">
        <v>107</v>
      </c>
      <c r="X454" t="s">
        <v>93</v>
      </c>
      <c r="Y454">
        <v>5</v>
      </c>
      <c r="Z454" t="s">
        <v>137</v>
      </c>
      <c r="AB454">
        <v>2E-3</v>
      </c>
      <c r="AG454" t="s">
        <v>95</v>
      </c>
      <c r="AX454" t="s">
        <v>108</v>
      </c>
      <c r="AY454" t="s">
        <v>109</v>
      </c>
      <c r="AZ454" t="s">
        <v>555</v>
      </c>
      <c r="BC454">
        <v>0.25</v>
      </c>
      <c r="BH454" t="s">
        <v>99</v>
      </c>
      <c r="BO454" t="s">
        <v>111</v>
      </c>
      <c r="CD454" t="s">
        <v>556</v>
      </c>
      <c r="CE454">
        <v>71903</v>
      </c>
      <c r="CF454" t="s">
        <v>557</v>
      </c>
      <c r="CG454" t="s">
        <v>558</v>
      </c>
      <c r="CH454">
        <v>2003</v>
      </c>
    </row>
    <row r="455" spans="1:86" hidden="1" x14ac:dyDescent="0.25">
      <c r="A455">
        <v>330541</v>
      </c>
      <c r="B455" t="s">
        <v>86</v>
      </c>
      <c r="C455" t="s">
        <v>158</v>
      </c>
      <c r="D455" t="s">
        <v>115</v>
      </c>
      <c r="K455" t="s">
        <v>90</v>
      </c>
      <c r="L455" t="s">
        <v>90</v>
      </c>
      <c r="M455" t="s">
        <v>90</v>
      </c>
      <c r="V455" t="s">
        <v>491</v>
      </c>
      <c r="W455" t="s">
        <v>92</v>
      </c>
      <c r="X455" t="s">
        <v>559</v>
      </c>
      <c r="Y455">
        <v>2</v>
      </c>
      <c r="Z455" t="s">
        <v>94</v>
      </c>
      <c r="AB455">
        <v>5.0000000000000001E-3</v>
      </c>
      <c r="AG455" t="s">
        <v>95</v>
      </c>
      <c r="AX455" t="s">
        <v>144</v>
      </c>
      <c r="AY455" t="s">
        <v>438</v>
      </c>
      <c r="AZ455" t="s">
        <v>555</v>
      </c>
      <c r="BA455" t="s">
        <v>179</v>
      </c>
      <c r="BB455" t="s">
        <v>234</v>
      </c>
      <c r="BC455">
        <v>1</v>
      </c>
      <c r="BH455" t="s">
        <v>99</v>
      </c>
      <c r="BO455" t="s">
        <v>111</v>
      </c>
      <c r="CD455" t="s">
        <v>208</v>
      </c>
      <c r="CE455">
        <v>112913</v>
      </c>
      <c r="CF455" t="s">
        <v>209</v>
      </c>
      <c r="CG455" t="s">
        <v>210</v>
      </c>
      <c r="CH455">
        <v>2008</v>
      </c>
    </row>
    <row r="456" spans="1:86" hidden="1" x14ac:dyDescent="0.25">
      <c r="A456">
        <v>330541</v>
      </c>
      <c r="B456" t="s">
        <v>86</v>
      </c>
      <c r="C456" t="s">
        <v>104</v>
      </c>
      <c r="D456" t="s">
        <v>105</v>
      </c>
      <c r="E456" t="s">
        <v>149</v>
      </c>
      <c r="F456">
        <v>99</v>
      </c>
      <c r="K456" t="s">
        <v>126</v>
      </c>
      <c r="L456" t="s">
        <v>117</v>
      </c>
      <c r="M456" t="s">
        <v>90</v>
      </c>
      <c r="V456" t="s">
        <v>91</v>
      </c>
      <c r="W456" t="s">
        <v>92</v>
      </c>
      <c r="X456" t="s">
        <v>93</v>
      </c>
      <c r="Y456">
        <v>5</v>
      </c>
      <c r="Z456" t="s">
        <v>94</v>
      </c>
      <c r="AB456">
        <v>0.05</v>
      </c>
      <c r="AG456" t="s">
        <v>95</v>
      </c>
      <c r="AX456" t="s">
        <v>108</v>
      </c>
      <c r="AY456" t="s">
        <v>150</v>
      </c>
      <c r="AZ456" t="s">
        <v>555</v>
      </c>
      <c r="BC456">
        <v>2</v>
      </c>
      <c r="BH456" t="s">
        <v>99</v>
      </c>
      <c r="BO456" t="s">
        <v>111</v>
      </c>
      <c r="CD456" t="s">
        <v>151</v>
      </c>
      <c r="CE456">
        <v>174505</v>
      </c>
      <c r="CF456" t="s">
        <v>152</v>
      </c>
      <c r="CG456" t="s">
        <v>153</v>
      </c>
      <c r="CH456">
        <v>2016</v>
      </c>
    </row>
    <row r="457" spans="1:86" hidden="1" x14ac:dyDescent="0.25">
      <c r="A457">
        <v>330541</v>
      </c>
      <c r="B457" t="s">
        <v>86</v>
      </c>
      <c r="C457" t="s">
        <v>560</v>
      </c>
      <c r="D457" t="s">
        <v>87</v>
      </c>
      <c r="F457">
        <v>98</v>
      </c>
      <c r="K457" t="s">
        <v>391</v>
      </c>
      <c r="L457" t="s">
        <v>178</v>
      </c>
      <c r="M457" t="s">
        <v>90</v>
      </c>
      <c r="V457" t="s">
        <v>561</v>
      </c>
      <c r="W457" t="s">
        <v>107</v>
      </c>
      <c r="X457" t="s">
        <v>559</v>
      </c>
      <c r="Y457">
        <v>3</v>
      </c>
      <c r="Z457" t="s">
        <v>94</v>
      </c>
      <c r="AB457">
        <v>8.8000000000000005E-3</v>
      </c>
      <c r="AG457" t="s">
        <v>95</v>
      </c>
      <c r="AX457" t="s">
        <v>108</v>
      </c>
      <c r="AY457" t="s">
        <v>150</v>
      </c>
      <c r="AZ457" t="s">
        <v>555</v>
      </c>
      <c r="BC457">
        <v>67</v>
      </c>
      <c r="BH457" t="s">
        <v>99</v>
      </c>
      <c r="BO457" t="s">
        <v>111</v>
      </c>
      <c r="CD457" t="s">
        <v>562</v>
      </c>
      <c r="CE457">
        <v>102076</v>
      </c>
      <c r="CF457" t="s">
        <v>563</v>
      </c>
      <c r="CG457" t="s">
        <v>564</v>
      </c>
      <c r="CH457">
        <v>2007</v>
      </c>
    </row>
    <row r="458" spans="1:86" hidden="1" x14ac:dyDescent="0.25">
      <c r="A458">
        <v>330541</v>
      </c>
      <c r="B458" t="s">
        <v>86</v>
      </c>
      <c r="C458" t="s">
        <v>104</v>
      </c>
      <c r="D458" t="s">
        <v>105</v>
      </c>
      <c r="E458" t="s">
        <v>149</v>
      </c>
      <c r="F458">
        <v>99</v>
      </c>
      <c r="K458" t="s">
        <v>175</v>
      </c>
      <c r="L458" t="s">
        <v>117</v>
      </c>
      <c r="M458" t="s">
        <v>90</v>
      </c>
      <c r="V458" t="s">
        <v>91</v>
      </c>
      <c r="W458" t="s">
        <v>92</v>
      </c>
      <c r="X458" t="s">
        <v>93</v>
      </c>
      <c r="Y458">
        <v>5</v>
      </c>
      <c r="Z458" t="s">
        <v>94</v>
      </c>
      <c r="AB458">
        <v>0.05</v>
      </c>
      <c r="AG458" t="s">
        <v>95</v>
      </c>
      <c r="AX458" t="s">
        <v>108</v>
      </c>
      <c r="AY458" t="s">
        <v>150</v>
      </c>
      <c r="AZ458" t="s">
        <v>555</v>
      </c>
      <c r="BC458">
        <v>2</v>
      </c>
      <c r="BH458" t="s">
        <v>99</v>
      </c>
      <c r="BO458" t="s">
        <v>111</v>
      </c>
      <c r="CD458" t="s">
        <v>151</v>
      </c>
      <c r="CE458">
        <v>174505</v>
      </c>
      <c r="CF458" t="s">
        <v>152</v>
      </c>
      <c r="CG458" t="s">
        <v>153</v>
      </c>
      <c r="CH458">
        <v>2016</v>
      </c>
    </row>
    <row r="459" spans="1:86" hidden="1" x14ac:dyDescent="0.25">
      <c r="A459">
        <v>330541</v>
      </c>
      <c r="B459" t="s">
        <v>86</v>
      </c>
      <c r="C459" t="s">
        <v>104</v>
      </c>
      <c r="D459" t="s">
        <v>105</v>
      </c>
      <c r="E459" t="s">
        <v>149</v>
      </c>
      <c r="F459">
        <v>99</v>
      </c>
      <c r="K459" t="s">
        <v>180</v>
      </c>
      <c r="L459" t="s">
        <v>117</v>
      </c>
      <c r="M459" t="s">
        <v>90</v>
      </c>
      <c r="V459" t="s">
        <v>91</v>
      </c>
      <c r="W459" t="s">
        <v>92</v>
      </c>
      <c r="X459" t="s">
        <v>93</v>
      </c>
      <c r="Y459">
        <v>5</v>
      </c>
      <c r="Z459" t="s">
        <v>94</v>
      </c>
      <c r="AB459">
        <v>0.2</v>
      </c>
      <c r="AG459" t="s">
        <v>95</v>
      </c>
      <c r="AX459" t="s">
        <v>108</v>
      </c>
      <c r="AY459" t="s">
        <v>150</v>
      </c>
      <c r="AZ459" t="s">
        <v>555</v>
      </c>
      <c r="BC459">
        <v>2</v>
      </c>
      <c r="BH459" t="s">
        <v>99</v>
      </c>
      <c r="BO459" t="s">
        <v>111</v>
      </c>
      <c r="CD459" t="s">
        <v>151</v>
      </c>
      <c r="CE459">
        <v>174505</v>
      </c>
      <c r="CF459" t="s">
        <v>152</v>
      </c>
      <c r="CG459" t="s">
        <v>153</v>
      </c>
      <c r="CH459">
        <v>2016</v>
      </c>
    </row>
    <row r="460" spans="1:86" hidden="1" x14ac:dyDescent="0.25">
      <c r="A460">
        <v>330541</v>
      </c>
      <c r="B460" t="s">
        <v>86</v>
      </c>
      <c r="D460" t="s">
        <v>115</v>
      </c>
      <c r="K460" t="s">
        <v>90</v>
      </c>
      <c r="L460" t="s">
        <v>90</v>
      </c>
      <c r="M460" t="s">
        <v>90</v>
      </c>
      <c r="V460" t="s">
        <v>91</v>
      </c>
      <c r="W460" t="s">
        <v>107</v>
      </c>
      <c r="X460" t="s">
        <v>93</v>
      </c>
      <c r="Y460">
        <v>5</v>
      </c>
      <c r="Z460" t="s">
        <v>137</v>
      </c>
      <c r="AB460">
        <v>2E-3</v>
      </c>
      <c r="AG460" t="s">
        <v>95</v>
      </c>
      <c r="AX460" t="s">
        <v>108</v>
      </c>
      <c r="AY460" t="s">
        <v>109</v>
      </c>
      <c r="AZ460" t="s">
        <v>555</v>
      </c>
      <c r="BC460">
        <v>0.25</v>
      </c>
      <c r="BH460" t="s">
        <v>99</v>
      </c>
      <c r="BO460" t="s">
        <v>111</v>
      </c>
      <c r="CD460" t="s">
        <v>556</v>
      </c>
      <c r="CE460">
        <v>71903</v>
      </c>
      <c r="CF460" t="s">
        <v>557</v>
      </c>
      <c r="CG460" t="s">
        <v>558</v>
      </c>
      <c r="CH460">
        <v>2003</v>
      </c>
    </row>
    <row r="461" spans="1:86" hidden="1" x14ac:dyDescent="0.25">
      <c r="A461">
        <v>330541</v>
      </c>
      <c r="B461" t="s">
        <v>86</v>
      </c>
      <c r="C461" t="s">
        <v>104</v>
      </c>
      <c r="D461" t="s">
        <v>105</v>
      </c>
      <c r="E461" t="s">
        <v>149</v>
      </c>
      <c r="F461">
        <v>99</v>
      </c>
      <c r="K461" t="s">
        <v>165</v>
      </c>
      <c r="L461" t="s">
        <v>117</v>
      </c>
      <c r="M461" t="s">
        <v>90</v>
      </c>
      <c r="V461" t="s">
        <v>91</v>
      </c>
      <c r="W461" t="s">
        <v>92</v>
      </c>
      <c r="X461" t="s">
        <v>93</v>
      </c>
      <c r="Y461">
        <v>5</v>
      </c>
      <c r="Z461" t="s">
        <v>94</v>
      </c>
      <c r="AB461">
        <v>0.05</v>
      </c>
      <c r="AG461" t="s">
        <v>95</v>
      </c>
      <c r="AX461" t="s">
        <v>108</v>
      </c>
      <c r="AY461" t="s">
        <v>150</v>
      </c>
      <c r="AZ461" t="s">
        <v>555</v>
      </c>
      <c r="BC461">
        <v>2</v>
      </c>
      <c r="BH461" t="s">
        <v>99</v>
      </c>
      <c r="BO461" t="s">
        <v>111</v>
      </c>
      <c r="CD461" t="s">
        <v>151</v>
      </c>
      <c r="CE461">
        <v>174505</v>
      </c>
      <c r="CF461" t="s">
        <v>152</v>
      </c>
      <c r="CG461" t="s">
        <v>153</v>
      </c>
      <c r="CH461">
        <v>2016</v>
      </c>
    </row>
    <row r="462" spans="1:86" hidden="1" x14ac:dyDescent="0.25">
      <c r="A462">
        <v>330541</v>
      </c>
      <c r="B462" t="s">
        <v>86</v>
      </c>
      <c r="D462" t="s">
        <v>115</v>
      </c>
      <c r="K462" t="s">
        <v>565</v>
      </c>
      <c r="L462" t="s">
        <v>566</v>
      </c>
      <c r="M462" t="s">
        <v>90</v>
      </c>
      <c r="V462" t="s">
        <v>491</v>
      </c>
      <c r="W462" t="s">
        <v>92</v>
      </c>
      <c r="X462" t="s">
        <v>559</v>
      </c>
      <c r="Y462">
        <v>4</v>
      </c>
      <c r="Z462" t="s">
        <v>94</v>
      </c>
      <c r="AB462">
        <v>1.4E-2</v>
      </c>
      <c r="AG462" t="s">
        <v>567</v>
      </c>
      <c r="AX462" t="s">
        <v>108</v>
      </c>
      <c r="AY462" t="s">
        <v>150</v>
      </c>
      <c r="AZ462" t="s">
        <v>555</v>
      </c>
      <c r="BC462">
        <v>14</v>
      </c>
      <c r="BH462" t="s">
        <v>99</v>
      </c>
      <c r="BO462" t="s">
        <v>111</v>
      </c>
      <c r="CD462" t="s">
        <v>568</v>
      </c>
      <c r="CE462">
        <v>102117</v>
      </c>
      <c r="CF462" t="s">
        <v>569</v>
      </c>
      <c r="CG462" t="s">
        <v>570</v>
      </c>
      <c r="CH462">
        <v>2004</v>
      </c>
    </row>
    <row r="463" spans="1:86" hidden="1" x14ac:dyDescent="0.25">
      <c r="A463">
        <v>330541</v>
      </c>
      <c r="B463" t="s">
        <v>86</v>
      </c>
      <c r="D463" t="s">
        <v>115</v>
      </c>
      <c r="K463" t="s">
        <v>90</v>
      </c>
      <c r="L463" t="s">
        <v>90</v>
      </c>
      <c r="M463" t="s">
        <v>90</v>
      </c>
      <c r="V463" t="s">
        <v>91</v>
      </c>
      <c r="W463" t="s">
        <v>107</v>
      </c>
      <c r="X463" t="s">
        <v>93</v>
      </c>
      <c r="Y463">
        <v>5</v>
      </c>
      <c r="Z463" t="s">
        <v>137</v>
      </c>
      <c r="AB463">
        <v>2E-3</v>
      </c>
      <c r="AG463" t="s">
        <v>95</v>
      </c>
      <c r="AX463" t="s">
        <v>108</v>
      </c>
      <c r="AY463" t="s">
        <v>109</v>
      </c>
      <c r="AZ463" t="s">
        <v>555</v>
      </c>
      <c r="BC463">
        <v>0.25</v>
      </c>
      <c r="BH463" t="s">
        <v>99</v>
      </c>
      <c r="BO463" t="s">
        <v>111</v>
      </c>
      <c r="CD463" t="s">
        <v>556</v>
      </c>
      <c r="CE463">
        <v>71903</v>
      </c>
      <c r="CF463" t="s">
        <v>557</v>
      </c>
      <c r="CG463" t="s">
        <v>558</v>
      </c>
      <c r="CH463">
        <v>2003</v>
      </c>
    </row>
    <row r="464" spans="1:86" hidden="1" x14ac:dyDescent="0.25">
      <c r="A464">
        <v>330541</v>
      </c>
      <c r="B464" t="s">
        <v>86</v>
      </c>
      <c r="D464" t="s">
        <v>115</v>
      </c>
      <c r="K464" t="s">
        <v>571</v>
      </c>
      <c r="L464" t="s">
        <v>212</v>
      </c>
      <c r="M464" t="s">
        <v>90</v>
      </c>
      <c r="V464" t="s">
        <v>91</v>
      </c>
      <c r="W464" t="s">
        <v>107</v>
      </c>
      <c r="X464" t="s">
        <v>93</v>
      </c>
      <c r="Y464">
        <v>2</v>
      </c>
      <c r="Z464" t="s">
        <v>137</v>
      </c>
      <c r="AB464">
        <v>3.4964580000000001</v>
      </c>
      <c r="AG464" t="s">
        <v>95</v>
      </c>
      <c r="AX464" t="s">
        <v>196</v>
      </c>
      <c r="AY464" t="s">
        <v>572</v>
      </c>
      <c r="AZ464" t="s">
        <v>555</v>
      </c>
      <c r="BC464">
        <v>0.25</v>
      </c>
      <c r="BH464" t="s">
        <v>99</v>
      </c>
      <c r="BO464" t="s">
        <v>111</v>
      </c>
      <c r="CD464" t="s">
        <v>573</v>
      </c>
      <c r="CE464">
        <v>101988</v>
      </c>
      <c r="CF464" t="s">
        <v>574</v>
      </c>
      <c r="CG464" t="s">
        <v>575</v>
      </c>
      <c r="CH464">
        <v>2002</v>
      </c>
    </row>
    <row r="465" spans="1:86" hidden="1" x14ac:dyDescent="0.25">
      <c r="A465">
        <v>330541</v>
      </c>
      <c r="B465" t="s">
        <v>86</v>
      </c>
      <c r="C465" t="s">
        <v>104</v>
      </c>
      <c r="D465" t="s">
        <v>105</v>
      </c>
      <c r="E465" t="s">
        <v>149</v>
      </c>
      <c r="F465">
        <v>99</v>
      </c>
      <c r="K465" t="s">
        <v>181</v>
      </c>
      <c r="L465" t="s">
        <v>117</v>
      </c>
      <c r="M465" t="s">
        <v>90</v>
      </c>
      <c r="V465" t="s">
        <v>91</v>
      </c>
      <c r="W465" t="s">
        <v>92</v>
      </c>
      <c r="X465" t="s">
        <v>93</v>
      </c>
      <c r="Y465">
        <v>5</v>
      </c>
      <c r="Z465" t="s">
        <v>94</v>
      </c>
      <c r="AB465">
        <v>0.5</v>
      </c>
      <c r="AG465" t="s">
        <v>95</v>
      </c>
      <c r="AX465" t="s">
        <v>108</v>
      </c>
      <c r="AY465" t="s">
        <v>150</v>
      </c>
      <c r="AZ465" t="s">
        <v>555</v>
      </c>
      <c r="BC465">
        <v>2</v>
      </c>
      <c r="BH465" t="s">
        <v>99</v>
      </c>
      <c r="BO465" t="s">
        <v>111</v>
      </c>
      <c r="CD465" t="s">
        <v>151</v>
      </c>
      <c r="CE465">
        <v>174505</v>
      </c>
      <c r="CF465" t="s">
        <v>152</v>
      </c>
      <c r="CG465" t="s">
        <v>153</v>
      </c>
      <c r="CH465">
        <v>2016</v>
      </c>
    </row>
    <row r="466" spans="1:86" hidden="1" x14ac:dyDescent="0.25">
      <c r="A466">
        <v>330541</v>
      </c>
      <c r="B466" t="s">
        <v>86</v>
      </c>
      <c r="D466" t="s">
        <v>115</v>
      </c>
      <c r="K466" t="s">
        <v>90</v>
      </c>
      <c r="L466" t="s">
        <v>90</v>
      </c>
      <c r="M466" t="s">
        <v>90</v>
      </c>
      <c r="V466" t="s">
        <v>91</v>
      </c>
      <c r="W466" t="s">
        <v>107</v>
      </c>
      <c r="X466" t="s">
        <v>93</v>
      </c>
      <c r="Y466">
        <v>6</v>
      </c>
      <c r="Z466" t="s">
        <v>137</v>
      </c>
      <c r="AB466">
        <v>1E-3</v>
      </c>
      <c r="AG466" t="s">
        <v>95</v>
      </c>
      <c r="AX466" t="s">
        <v>108</v>
      </c>
      <c r="AY466" t="s">
        <v>109</v>
      </c>
      <c r="AZ466" t="s">
        <v>555</v>
      </c>
      <c r="BC466">
        <v>0.33329999999999999</v>
      </c>
      <c r="BH466" t="s">
        <v>99</v>
      </c>
      <c r="BO466" t="s">
        <v>111</v>
      </c>
      <c r="CD466" t="s">
        <v>556</v>
      </c>
      <c r="CE466">
        <v>71903</v>
      </c>
      <c r="CF466" t="s">
        <v>557</v>
      </c>
      <c r="CG466" t="s">
        <v>558</v>
      </c>
      <c r="CH466">
        <v>2003</v>
      </c>
    </row>
    <row r="467" spans="1:86" hidden="1" x14ac:dyDescent="0.25">
      <c r="A467">
        <v>330541</v>
      </c>
      <c r="B467" t="s">
        <v>86</v>
      </c>
      <c r="D467" t="s">
        <v>115</v>
      </c>
      <c r="K467" t="s">
        <v>576</v>
      </c>
      <c r="L467" t="s">
        <v>577</v>
      </c>
      <c r="M467" t="s">
        <v>90</v>
      </c>
      <c r="V467" t="s">
        <v>507</v>
      </c>
      <c r="W467" t="s">
        <v>107</v>
      </c>
      <c r="X467" t="s">
        <v>93</v>
      </c>
      <c r="Y467">
        <v>6</v>
      </c>
      <c r="Z467" t="s">
        <v>137</v>
      </c>
      <c r="AB467">
        <v>0.01</v>
      </c>
      <c r="AG467" t="s">
        <v>95</v>
      </c>
      <c r="AX467" t="s">
        <v>108</v>
      </c>
      <c r="AY467" t="s">
        <v>150</v>
      </c>
      <c r="AZ467" t="s">
        <v>555</v>
      </c>
      <c r="BC467">
        <v>4</v>
      </c>
      <c r="BH467" t="s">
        <v>99</v>
      </c>
      <c r="BO467" t="s">
        <v>111</v>
      </c>
      <c r="CD467" t="s">
        <v>578</v>
      </c>
      <c r="CE467">
        <v>85949</v>
      </c>
      <c r="CF467" t="s">
        <v>579</v>
      </c>
      <c r="CG467" t="s">
        <v>580</v>
      </c>
      <c r="CH467">
        <v>2005</v>
      </c>
    </row>
    <row r="468" spans="1:86" hidden="1" x14ac:dyDescent="0.25">
      <c r="A468">
        <v>330541</v>
      </c>
      <c r="B468" t="s">
        <v>86</v>
      </c>
      <c r="D468" t="s">
        <v>87</v>
      </c>
      <c r="K468" t="s">
        <v>581</v>
      </c>
      <c r="L468" t="s">
        <v>212</v>
      </c>
      <c r="M468" t="s">
        <v>90</v>
      </c>
      <c r="V468" t="s">
        <v>91</v>
      </c>
      <c r="W468" t="s">
        <v>107</v>
      </c>
      <c r="Y468">
        <v>5</v>
      </c>
      <c r="Z468" t="s">
        <v>94</v>
      </c>
      <c r="AB468">
        <v>2.24E-2</v>
      </c>
      <c r="AG468" t="s">
        <v>95</v>
      </c>
      <c r="AX468" t="s">
        <v>144</v>
      </c>
      <c r="AY468" t="s">
        <v>109</v>
      </c>
      <c r="AZ468" t="s">
        <v>555</v>
      </c>
      <c r="BC468">
        <v>4.375</v>
      </c>
      <c r="BH468" t="s">
        <v>99</v>
      </c>
      <c r="BO468" t="s">
        <v>111</v>
      </c>
      <c r="CD468" t="s">
        <v>582</v>
      </c>
      <c r="CE468">
        <v>87345</v>
      </c>
      <c r="CF468" t="s">
        <v>583</v>
      </c>
      <c r="CG468" t="s">
        <v>584</v>
      </c>
      <c r="CH468">
        <v>2005</v>
      </c>
    </row>
    <row r="469" spans="1:86" hidden="1" x14ac:dyDescent="0.25">
      <c r="A469">
        <v>330541</v>
      </c>
      <c r="B469" t="s">
        <v>86</v>
      </c>
      <c r="D469" t="s">
        <v>115</v>
      </c>
      <c r="K469" t="s">
        <v>239</v>
      </c>
      <c r="L469" t="s">
        <v>89</v>
      </c>
      <c r="M469" t="s">
        <v>90</v>
      </c>
      <c r="N469" t="s">
        <v>118</v>
      </c>
      <c r="P469">
        <v>96</v>
      </c>
      <c r="U469" t="s">
        <v>213</v>
      </c>
      <c r="V469" t="s">
        <v>91</v>
      </c>
      <c r="W469" t="s">
        <v>92</v>
      </c>
      <c r="X469" t="s">
        <v>93</v>
      </c>
      <c r="Y469">
        <v>6</v>
      </c>
      <c r="Z469" t="s">
        <v>137</v>
      </c>
      <c r="AB469">
        <v>1E-3</v>
      </c>
      <c r="AG469" t="s">
        <v>95</v>
      </c>
      <c r="AX469" t="s">
        <v>201</v>
      </c>
      <c r="AY469" t="s">
        <v>202</v>
      </c>
      <c r="AZ469" t="s">
        <v>585</v>
      </c>
      <c r="BA469" t="s">
        <v>179</v>
      </c>
      <c r="BC469">
        <v>6.9999999999999999E-4</v>
      </c>
      <c r="BH469" t="s">
        <v>99</v>
      </c>
      <c r="BO469" t="s">
        <v>111</v>
      </c>
      <c r="CD469" t="s">
        <v>546</v>
      </c>
      <c r="CE469">
        <v>93825</v>
      </c>
      <c r="CF469" t="s">
        <v>547</v>
      </c>
      <c r="CG469" t="s">
        <v>548</v>
      </c>
      <c r="CH469">
        <v>2003</v>
      </c>
    </row>
    <row r="470" spans="1:86" hidden="1" x14ac:dyDescent="0.25">
      <c r="A470">
        <v>330541</v>
      </c>
      <c r="B470" t="s">
        <v>86</v>
      </c>
      <c r="D470" t="s">
        <v>115</v>
      </c>
      <c r="F470">
        <v>98</v>
      </c>
      <c r="K470" t="s">
        <v>402</v>
      </c>
      <c r="L470" t="s">
        <v>212</v>
      </c>
      <c r="M470" t="s">
        <v>90</v>
      </c>
      <c r="V470" t="s">
        <v>91</v>
      </c>
      <c r="W470" t="s">
        <v>107</v>
      </c>
      <c r="X470" t="s">
        <v>93</v>
      </c>
      <c r="Y470">
        <v>7</v>
      </c>
      <c r="Z470" t="s">
        <v>94</v>
      </c>
      <c r="AB470">
        <v>3.0000000000000001E-3</v>
      </c>
      <c r="AG470" t="s">
        <v>95</v>
      </c>
      <c r="AX470" t="s">
        <v>144</v>
      </c>
      <c r="AY470" t="s">
        <v>109</v>
      </c>
      <c r="AZ470" t="s">
        <v>586</v>
      </c>
      <c r="BA470" t="s">
        <v>179</v>
      </c>
      <c r="BC470">
        <v>1</v>
      </c>
      <c r="BH470" t="s">
        <v>99</v>
      </c>
      <c r="BO470" t="s">
        <v>111</v>
      </c>
      <c r="CD470" t="s">
        <v>392</v>
      </c>
      <c r="CE470">
        <v>153835</v>
      </c>
      <c r="CF470" t="s">
        <v>393</v>
      </c>
      <c r="CG470" t="s">
        <v>394</v>
      </c>
      <c r="CH470">
        <v>2011</v>
      </c>
    </row>
    <row r="471" spans="1:86" hidden="1" x14ac:dyDescent="0.25">
      <c r="A471">
        <v>330541</v>
      </c>
      <c r="B471" t="s">
        <v>86</v>
      </c>
      <c r="C471" t="s">
        <v>104</v>
      </c>
      <c r="D471" t="s">
        <v>115</v>
      </c>
      <c r="K471" t="s">
        <v>287</v>
      </c>
      <c r="L471" t="s">
        <v>89</v>
      </c>
      <c r="M471" t="s">
        <v>90</v>
      </c>
      <c r="R471">
        <v>14</v>
      </c>
      <c r="T471">
        <v>28</v>
      </c>
      <c r="U471" t="s">
        <v>99</v>
      </c>
      <c r="V471" t="s">
        <v>91</v>
      </c>
      <c r="W471" t="s">
        <v>92</v>
      </c>
      <c r="X471" t="s">
        <v>93</v>
      </c>
      <c r="Z471" t="s">
        <v>94</v>
      </c>
      <c r="AB471" s="281">
        <v>1E-4</v>
      </c>
      <c r="AG471" t="s">
        <v>95</v>
      </c>
      <c r="AX471" t="s">
        <v>108</v>
      </c>
      <c r="AY471" t="s">
        <v>109</v>
      </c>
      <c r="AZ471" t="s">
        <v>586</v>
      </c>
      <c r="BC471">
        <v>1.3899999999999999E-2</v>
      </c>
      <c r="BH471" t="s">
        <v>99</v>
      </c>
      <c r="BO471" t="s">
        <v>111</v>
      </c>
      <c r="CD471" t="s">
        <v>225</v>
      </c>
      <c r="CE471">
        <v>83755</v>
      </c>
      <c r="CF471" t="s">
        <v>226</v>
      </c>
      <c r="CG471" t="s">
        <v>227</v>
      </c>
      <c r="CH471">
        <v>2005</v>
      </c>
    </row>
    <row r="472" spans="1:86" hidden="1" x14ac:dyDescent="0.25">
      <c r="A472">
        <v>330541</v>
      </c>
      <c r="B472" t="s">
        <v>86</v>
      </c>
      <c r="C472" t="s">
        <v>104</v>
      </c>
      <c r="D472" t="s">
        <v>115</v>
      </c>
      <c r="K472" t="s">
        <v>232</v>
      </c>
      <c r="L472" t="s">
        <v>89</v>
      </c>
      <c r="M472" t="s">
        <v>90</v>
      </c>
      <c r="R472">
        <v>14</v>
      </c>
      <c r="T472">
        <v>28</v>
      </c>
      <c r="U472" t="s">
        <v>99</v>
      </c>
      <c r="V472" t="s">
        <v>91</v>
      </c>
      <c r="W472" t="s">
        <v>92</v>
      </c>
      <c r="X472" t="s">
        <v>93</v>
      </c>
      <c r="Z472" t="s">
        <v>94</v>
      </c>
      <c r="AB472" s="281">
        <v>1E-4</v>
      </c>
      <c r="AG472" t="s">
        <v>95</v>
      </c>
      <c r="AX472" t="s">
        <v>108</v>
      </c>
      <c r="AY472" t="s">
        <v>109</v>
      </c>
      <c r="AZ472" t="s">
        <v>586</v>
      </c>
      <c r="BC472">
        <v>1.3899999999999999E-2</v>
      </c>
      <c r="BH472" t="s">
        <v>99</v>
      </c>
      <c r="BO472" t="s">
        <v>111</v>
      </c>
      <c r="CD472" t="s">
        <v>225</v>
      </c>
      <c r="CE472">
        <v>83755</v>
      </c>
      <c r="CF472" t="s">
        <v>226</v>
      </c>
      <c r="CG472" t="s">
        <v>227</v>
      </c>
      <c r="CH472">
        <v>2005</v>
      </c>
    </row>
    <row r="473" spans="1:86" hidden="1" x14ac:dyDescent="0.25">
      <c r="A473">
        <v>330541</v>
      </c>
      <c r="B473" t="s">
        <v>86</v>
      </c>
      <c r="D473" t="s">
        <v>115</v>
      </c>
      <c r="K473" t="s">
        <v>528</v>
      </c>
      <c r="L473" t="s">
        <v>178</v>
      </c>
      <c r="M473" t="s">
        <v>90</v>
      </c>
      <c r="V473" t="s">
        <v>91</v>
      </c>
      <c r="W473" t="s">
        <v>107</v>
      </c>
      <c r="X473" t="s">
        <v>93</v>
      </c>
      <c r="Y473">
        <v>2</v>
      </c>
      <c r="Z473" t="s">
        <v>137</v>
      </c>
      <c r="AB473">
        <v>0.29137150000000001</v>
      </c>
      <c r="AG473" t="s">
        <v>95</v>
      </c>
      <c r="AX473" t="s">
        <v>201</v>
      </c>
      <c r="AY473" t="s">
        <v>490</v>
      </c>
      <c r="AZ473" t="s">
        <v>586</v>
      </c>
      <c r="BC473">
        <v>2.0799999999999999E-2</v>
      </c>
      <c r="BH473" t="s">
        <v>99</v>
      </c>
      <c r="BO473" t="s">
        <v>111</v>
      </c>
      <c r="CD473" t="s">
        <v>587</v>
      </c>
      <c r="CE473">
        <v>170671</v>
      </c>
      <c r="CF473" t="s">
        <v>588</v>
      </c>
      <c r="CG473" t="s">
        <v>589</v>
      </c>
      <c r="CH473">
        <v>2015</v>
      </c>
    </row>
    <row r="474" spans="1:86" hidden="1" x14ac:dyDescent="0.25">
      <c r="A474">
        <v>330541</v>
      </c>
      <c r="B474" t="s">
        <v>86</v>
      </c>
      <c r="D474" t="s">
        <v>115</v>
      </c>
      <c r="K474" t="s">
        <v>180</v>
      </c>
      <c r="L474" t="s">
        <v>117</v>
      </c>
      <c r="M474" t="s">
        <v>90</v>
      </c>
      <c r="N474" t="s">
        <v>118</v>
      </c>
      <c r="V474" t="s">
        <v>91</v>
      </c>
      <c r="W474" t="s">
        <v>92</v>
      </c>
      <c r="X474" t="s">
        <v>93</v>
      </c>
      <c r="Y474">
        <v>2</v>
      </c>
      <c r="Z474" t="s">
        <v>137</v>
      </c>
      <c r="AB474">
        <v>5.0000000000000001E-3</v>
      </c>
      <c r="AG474" t="s">
        <v>95</v>
      </c>
      <c r="AX474" t="s">
        <v>108</v>
      </c>
      <c r="AY474" t="s">
        <v>160</v>
      </c>
      <c r="AZ474" t="s">
        <v>586</v>
      </c>
      <c r="BC474">
        <v>14</v>
      </c>
      <c r="BH474" t="s">
        <v>99</v>
      </c>
      <c r="BO474" t="s">
        <v>111</v>
      </c>
      <c r="CD474" t="s">
        <v>504</v>
      </c>
      <c r="CE474">
        <v>184288</v>
      </c>
      <c r="CF474" t="s">
        <v>505</v>
      </c>
      <c r="CG474" t="s">
        <v>506</v>
      </c>
      <c r="CH474">
        <v>2020</v>
      </c>
    </row>
    <row r="475" spans="1:86" hidden="1" x14ac:dyDescent="0.25">
      <c r="A475">
        <v>330541</v>
      </c>
      <c r="B475" t="s">
        <v>86</v>
      </c>
      <c r="D475" t="s">
        <v>115</v>
      </c>
      <c r="K475" t="s">
        <v>180</v>
      </c>
      <c r="L475" t="s">
        <v>117</v>
      </c>
      <c r="M475" t="s">
        <v>90</v>
      </c>
      <c r="N475" t="s">
        <v>118</v>
      </c>
      <c r="V475" t="s">
        <v>91</v>
      </c>
      <c r="W475" t="s">
        <v>92</v>
      </c>
      <c r="X475" t="s">
        <v>93</v>
      </c>
      <c r="Y475">
        <v>2</v>
      </c>
      <c r="Z475" t="s">
        <v>137</v>
      </c>
      <c r="AB475">
        <v>5.0000000000000001E-3</v>
      </c>
      <c r="AG475" t="s">
        <v>95</v>
      </c>
      <c r="AX475" t="s">
        <v>108</v>
      </c>
      <c r="AY475" t="s">
        <v>160</v>
      </c>
      <c r="AZ475" t="s">
        <v>586</v>
      </c>
      <c r="BC475">
        <v>14</v>
      </c>
      <c r="BH475" t="s">
        <v>99</v>
      </c>
      <c r="BO475" t="s">
        <v>111</v>
      </c>
      <c r="CD475" t="s">
        <v>504</v>
      </c>
      <c r="CE475">
        <v>184288</v>
      </c>
      <c r="CF475" t="s">
        <v>505</v>
      </c>
      <c r="CG475" t="s">
        <v>506</v>
      </c>
      <c r="CH475">
        <v>2020</v>
      </c>
    </row>
    <row r="476" spans="1:86" hidden="1" x14ac:dyDescent="0.25">
      <c r="A476">
        <v>330541</v>
      </c>
      <c r="B476" t="s">
        <v>86</v>
      </c>
      <c r="D476" t="s">
        <v>115</v>
      </c>
      <c r="E476" t="s">
        <v>106</v>
      </c>
      <c r="F476">
        <v>99</v>
      </c>
      <c r="K476" t="s">
        <v>316</v>
      </c>
      <c r="L476" t="s">
        <v>317</v>
      </c>
      <c r="M476" t="s">
        <v>90</v>
      </c>
      <c r="V476" t="s">
        <v>91</v>
      </c>
      <c r="W476" t="s">
        <v>92</v>
      </c>
      <c r="X476" t="s">
        <v>93</v>
      </c>
      <c r="Y476">
        <v>5</v>
      </c>
      <c r="Z476" t="s">
        <v>94</v>
      </c>
      <c r="AB476">
        <v>5.0000000000000001E-4</v>
      </c>
      <c r="AG476" t="s">
        <v>95</v>
      </c>
      <c r="AX476" t="s">
        <v>108</v>
      </c>
      <c r="AY476" t="s">
        <v>311</v>
      </c>
      <c r="AZ476" t="s">
        <v>586</v>
      </c>
      <c r="BC476">
        <v>14</v>
      </c>
      <c r="BH476" t="s">
        <v>99</v>
      </c>
      <c r="BO476" t="s">
        <v>111</v>
      </c>
      <c r="CD476" t="s">
        <v>319</v>
      </c>
      <c r="CE476">
        <v>102064</v>
      </c>
      <c r="CF476" t="s">
        <v>320</v>
      </c>
      <c r="CG476" t="s">
        <v>321</v>
      </c>
      <c r="CH476">
        <v>2006</v>
      </c>
    </row>
    <row r="477" spans="1:86" hidden="1" x14ac:dyDescent="0.25">
      <c r="A477">
        <v>330541</v>
      </c>
      <c r="B477" t="s">
        <v>86</v>
      </c>
      <c r="C477" t="s">
        <v>104</v>
      </c>
      <c r="D477" t="s">
        <v>115</v>
      </c>
      <c r="K477" t="s">
        <v>279</v>
      </c>
      <c r="L477" t="s">
        <v>280</v>
      </c>
      <c r="M477" t="s">
        <v>90</v>
      </c>
      <c r="R477">
        <v>14</v>
      </c>
      <c r="T477">
        <v>28</v>
      </c>
      <c r="U477" t="s">
        <v>99</v>
      </c>
      <c r="V477" t="s">
        <v>91</v>
      </c>
      <c r="W477" t="s">
        <v>92</v>
      </c>
      <c r="X477" t="s">
        <v>93</v>
      </c>
      <c r="Z477" t="s">
        <v>94</v>
      </c>
      <c r="AB477" s="281">
        <v>1E-4</v>
      </c>
      <c r="AG477" t="s">
        <v>95</v>
      </c>
      <c r="AX477" t="s">
        <v>108</v>
      </c>
      <c r="AY477" t="s">
        <v>109</v>
      </c>
      <c r="AZ477" t="s">
        <v>586</v>
      </c>
      <c r="BC477">
        <v>1.3899999999999999E-2</v>
      </c>
      <c r="BH477" t="s">
        <v>99</v>
      </c>
      <c r="BO477" t="s">
        <v>111</v>
      </c>
      <c r="CD477" t="s">
        <v>225</v>
      </c>
      <c r="CE477">
        <v>83755</v>
      </c>
      <c r="CF477" t="s">
        <v>226</v>
      </c>
      <c r="CG477" t="s">
        <v>227</v>
      </c>
      <c r="CH477">
        <v>2005</v>
      </c>
    </row>
    <row r="478" spans="1:86" hidden="1" x14ac:dyDescent="0.25">
      <c r="A478">
        <v>330541</v>
      </c>
      <c r="B478" t="s">
        <v>86</v>
      </c>
      <c r="C478" t="s">
        <v>158</v>
      </c>
      <c r="D478" t="s">
        <v>115</v>
      </c>
      <c r="K478" t="s">
        <v>159</v>
      </c>
      <c r="L478" t="s">
        <v>90</v>
      </c>
      <c r="M478" t="s">
        <v>90</v>
      </c>
      <c r="N478" t="s">
        <v>118</v>
      </c>
      <c r="V478" t="s">
        <v>91</v>
      </c>
      <c r="W478" t="s">
        <v>107</v>
      </c>
      <c r="X478" t="s">
        <v>93</v>
      </c>
      <c r="Y478">
        <v>2</v>
      </c>
      <c r="Z478" t="s">
        <v>94</v>
      </c>
      <c r="AB478">
        <v>5.8274299999999998E-3</v>
      </c>
      <c r="AG478" t="s">
        <v>95</v>
      </c>
      <c r="AX478" t="s">
        <v>201</v>
      </c>
      <c r="AY478" t="s">
        <v>590</v>
      </c>
      <c r="AZ478" t="s">
        <v>586</v>
      </c>
      <c r="BA478" t="s">
        <v>497</v>
      </c>
      <c r="BC478">
        <v>3</v>
      </c>
      <c r="BH478" t="s">
        <v>99</v>
      </c>
      <c r="BO478" t="s">
        <v>111</v>
      </c>
      <c r="CD478" t="s">
        <v>161</v>
      </c>
      <c r="CE478">
        <v>112735</v>
      </c>
      <c r="CF478" t="s">
        <v>162</v>
      </c>
      <c r="CG478" t="s">
        <v>163</v>
      </c>
      <c r="CH478">
        <v>2008</v>
      </c>
    </row>
    <row r="479" spans="1:86" hidden="1" x14ac:dyDescent="0.25">
      <c r="A479">
        <v>330541</v>
      </c>
      <c r="B479" t="s">
        <v>86</v>
      </c>
      <c r="D479" t="s">
        <v>87</v>
      </c>
      <c r="E479" t="s">
        <v>106</v>
      </c>
      <c r="F479">
        <v>98</v>
      </c>
      <c r="K479" t="s">
        <v>404</v>
      </c>
      <c r="L479" t="s">
        <v>117</v>
      </c>
      <c r="M479" t="s">
        <v>90</v>
      </c>
      <c r="N479" t="s">
        <v>118</v>
      </c>
      <c r="V479" t="s">
        <v>91</v>
      </c>
      <c r="W479" t="s">
        <v>107</v>
      </c>
      <c r="X479" t="s">
        <v>93</v>
      </c>
      <c r="Y479" t="s">
        <v>381</v>
      </c>
      <c r="Z479" t="s">
        <v>94</v>
      </c>
      <c r="AB479" s="281">
        <v>2E-3</v>
      </c>
      <c r="AG479" t="s">
        <v>95</v>
      </c>
      <c r="AX479" t="s">
        <v>108</v>
      </c>
      <c r="AY479" t="s">
        <v>160</v>
      </c>
      <c r="AZ479" t="s">
        <v>586</v>
      </c>
      <c r="BC479">
        <v>3</v>
      </c>
      <c r="BH479" t="s">
        <v>99</v>
      </c>
      <c r="BO479" t="s">
        <v>111</v>
      </c>
      <c r="CD479" t="s">
        <v>328</v>
      </c>
      <c r="CE479">
        <v>110086</v>
      </c>
      <c r="CF479" t="s">
        <v>329</v>
      </c>
      <c r="CG479" t="s">
        <v>330</v>
      </c>
      <c r="CH479">
        <v>2008</v>
      </c>
    </row>
    <row r="480" spans="1:86" hidden="1" x14ac:dyDescent="0.25">
      <c r="A480">
        <v>330541</v>
      </c>
      <c r="B480" t="s">
        <v>86</v>
      </c>
      <c r="D480" t="s">
        <v>115</v>
      </c>
      <c r="F480">
        <v>98.4</v>
      </c>
      <c r="K480" t="s">
        <v>533</v>
      </c>
      <c r="L480" t="s">
        <v>89</v>
      </c>
      <c r="M480" t="s">
        <v>90</v>
      </c>
      <c r="V480" t="s">
        <v>491</v>
      </c>
      <c r="W480" t="s">
        <v>92</v>
      </c>
      <c r="X480" t="s">
        <v>492</v>
      </c>
      <c r="Y480">
        <v>2</v>
      </c>
      <c r="Z480" t="s">
        <v>94</v>
      </c>
      <c r="AB480" s="281">
        <v>5.0000000000000001E-3</v>
      </c>
      <c r="AG480" t="s">
        <v>95</v>
      </c>
      <c r="AX480" t="s">
        <v>108</v>
      </c>
      <c r="AY480" t="s">
        <v>150</v>
      </c>
      <c r="AZ480" t="s">
        <v>586</v>
      </c>
      <c r="BB480" t="s">
        <v>106</v>
      </c>
      <c r="BC480">
        <v>40</v>
      </c>
      <c r="BH480" t="s">
        <v>99</v>
      </c>
      <c r="BO480" t="s">
        <v>111</v>
      </c>
      <c r="CD480" t="s">
        <v>493</v>
      </c>
      <c r="CE480">
        <v>165274</v>
      </c>
      <c r="CF480" t="s">
        <v>494</v>
      </c>
      <c r="CG480" t="s">
        <v>495</v>
      </c>
      <c r="CH480">
        <v>2012</v>
      </c>
    </row>
    <row r="481" spans="1:86" hidden="1" x14ac:dyDescent="0.25">
      <c r="A481">
        <v>330541</v>
      </c>
      <c r="B481" t="s">
        <v>86</v>
      </c>
      <c r="D481" t="s">
        <v>115</v>
      </c>
      <c r="K481" t="s">
        <v>180</v>
      </c>
      <c r="L481" t="s">
        <v>117</v>
      </c>
      <c r="M481" t="s">
        <v>90</v>
      </c>
      <c r="N481" t="s">
        <v>118</v>
      </c>
      <c r="V481" t="s">
        <v>91</v>
      </c>
      <c r="W481" t="s">
        <v>92</v>
      </c>
      <c r="X481" t="s">
        <v>93</v>
      </c>
      <c r="Y481">
        <v>2</v>
      </c>
      <c r="Z481" t="s">
        <v>137</v>
      </c>
      <c r="AB481">
        <v>5.0000000000000001E-3</v>
      </c>
      <c r="AG481" t="s">
        <v>95</v>
      </c>
      <c r="AX481" t="s">
        <v>523</v>
      </c>
      <c r="AY481" t="s">
        <v>523</v>
      </c>
      <c r="AZ481" t="s">
        <v>586</v>
      </c>
      <c r="BC481">
        <v>14</v>
      </c>
      <c r="BH481" t="s">
        <v>99</v>
      </c>
      <c r="BO481" t="s">
        <v>111</v>
      </c>
      <c r="CD481" t="s">
        <v>504</v>
      </c>
      <c r="CE481">
        <v>184288</v>
      </c>
      <c r="CF481" t="s">
        <v>505</v>
      </c>
      <c r="CG481" t="s">
        <v>506</v>
      </c>
      <c r="CH481">
        <v>2020</v>
      </c>
    </row>
    <row r="482" spans="1:86" hidden="1" x14ac:dyDescent="0.25">
      <c r="A482">
        <v>330541</v>
      </c>
      <c r="B482" t="s">
        <v>86</v>
      </c>
      <c r="C482" t="s">
        <v>104</v>
      </c>
      <c r="D482" t="s">
        <v>115</v>
      </c>
      <c r="K482" t="s">
        <v>332</v>
      </c>
      <c r="L482" t="s">
        <v>89</v>
      </c>
      <c r="M482" t="s">
        <v>90</v>
      </c>
      <c r="R482">
        <v>14</v>
      </c>
      <c r="T482">
        <v>28</v>
      </c>
      <c r="U482" t="s">
        <v>99</v>
      </c>
      <c r="V482" t="s">
        <v>91</v>
      </c>
      <c r="W482" t="s">
        <v>92</v>
      </c>
      <c r="X482" t="s">
        <v>93</v>
      </c>
      <c r="Z482" t="s">
        <v>94</v>
      </c>
      <c r="AB482" s="281">
        <v>1E-4</v>
      </c>
      <c r="AG482" t="s">
        <v>95</v>
      </c>
      <c r="AX482" t="s">
        <v>108</v>
      </c>
      <c r="AY482" t="s">
        <v>109</v>
      </c>
      <c r="AZ482" t="s">
        <v>586</v>
      </c>
      <c r="BC482">
        <v>1.3899999999999999E-2</v>
      </c>
      <c r="BH482" t="s">
        <v>99</v>
      </c>
      <c r="BO482" t="s">
        <v>111</v>
      </c>
      <c r="CD482" t="s">
        <v>225</v>
      </c>
      <c r="CE482">
        <v>83755</v>
      </c>
      <c r="CF482" t="s">
        <v>226</v>
      </c>
      <c r="CG482" t="s">
        <v>227</v>
      </c>
      <c r="CH482">
        <v>2005</v>
      </c>
    </row>
    <row r="483" spans="1:86" hidden="1" x14ac:dyDescent="0.25">
      <c r="A483">
        <v>330541</v>
      </c>
      <c r="B483" t="s">
        <v>86</v>
      </c>
      <c r="D483" t="s">
        <v>87</v>
      </c>
      <c r="E483" t="s">
        <v>106</v>
      </c>
      <c r="F483">
        <v>98</v>
      </c>
      <c r="K483" t="s">
        <v>459</v>
      </c>
      <c r="L483" t="s">
        <v>90</v>
      </c>
      <c r="M483" t="s">
        <v>90</v>
      </c>
      <c r="N483" t="s">
        <v>118</v>
      </c>
      <c r="V483" t="s">
        <v>91</v>
      </c>
      <c r="W483" t="s">
        <v>107</v>
      </c>
      <c r="X483" t="s">
        <v>93</v>
      </c>
      <c r="Y483" t="s">
        <v>381</v>
      </c>
      <c r="Z483" t="s">
        <v>94</v>
      </c>
      <c r="AB483" s="281">
        <v>2E-3</v>
      </c>
      <c r="AG483" t="s">
        <v>95</v>
      </c>
      <c r="AX483" t="s">
        <v>108</v>
      </c>
      <c r="AY483" t="s">
        <v>160</v>
      </c>
      <c r="AZ483" t="s">
        <v>586</v>
      </c>
      <c r="BC483">
        <v>3</v>
      </c>
      <c r="BH483" t="s">
        <v>99</v>
      </c>
      <c r="BO483" t="s">
        <v>111</v>
      </c>
      <c r="CD483" t="s">
        <v>328</v>
      </c>
      <c r="CE483">
        <v>110086</v>
      </c>
      <c r="CF483" t="s">
        <v>329</v>
      </c>
      <c r="CG483" t="s">
        <v>330</v>
      </c>
      <c r="CH483">
        <v>2008</v>
      </c>
    </row>
    <row r="484" spans="1:86" hidden="1" x14ac:dyDescent="0.25">
      <c r="A484">
        <v>330541</v>
      </c>
      <c r="B484" t="s">
        <v>86</v>
      </c>
      <c r="D484" t="s">
        <v>115</v>
      </c>
      <c r="K484" t="s">
        <v>535</v>
      </c>
      <c r="L484" t="s">
        <v>89</v>
      </c>
      <c r="M484" t="s">
        <v>90</v>
      </c>
      <c r="V484" t="s">
        <v>91</v>
      </c>
      <c r="W484" t="s">
        <v>92</v>
      </c>
      <c r="X484" t="s">
        <v>93</v>
      </c>
      <c r="Y484">
        <v>2</v>
      </c>
      <c r="Z484" t="s">
        <v>137</v>
      </c>
      <c r="AB484">
        <v>2.330972</v>
      </c>
      <c r="AG484" t="s">
        <v>95</v>
      </c>
      <c r="AX484" t="s">
        <v>201</v>
      </c>
      <c r="AY484" t="s">
        <v>591</v>
      </c>
      <c r="AZ484" t="s">
        <v>586</v>
      </c>
      <c r="BA484" t="s">
        <v>179</v>
      </c>
      <c r="BC484">
        <v>10</v>
      </c>
      <c r="BH484" t="s">
        <v>99</v>
      </c>
      <c r="BO484" t="s">
        <v>111</v>
      </c>
      <c r="CD484" t="s">
        <v>536</v>
      </c>
      <c r="CE484">
        <v>150127</v>
      </c>
      <c r="CF484" t="s">
        <v>537</v>
      </c>
      <c r="CG484" t="s">
        <v>538</v>
      </c>
      <c r="CH484">
        <v>2009</v>
      </c>
    </row>
    <row r="485" spans="1:86" hidden="1" x14ac:dyDescent="0.25">
      <c r="A485">
        <v>330541</v>
      </c>
      <c r="B485" t="s">
        <v>86</v>
      </c>
      <c r="D485" t="s">
        <v>115</v>
      </c>
      <c r="K485" t="s">
        <v>535</v>
      </c>
      <c r="L485" t="s">
        <v>89</v>
      </c>
      <c r="M485" t="s">
        <v>90</v>
      </c>
      <c r="V485" t="s">
        <v>91</v>
      </c>
      <c r="W485" t="s">
        <v>92</v>
      </c>
      <c r="X485" t="s">
        <v>93</v>
      </c>
      <c r="Y485">
        <v>2</v>
      </c>
      <c r="Z485" t="s">
        <v>137</v>
      </c>
      <c r="AB485">
        <v>2.330972</v>
      </c>
      <c r="AG485" t="s">
        <v>95</v>
      </c>
      <c r="AX485" t="s">
        <v>201</v>
      </c>
      <c r="AY485" t="s">
        <v>592</v>
      </c>
      <c r="AZ485" t="s">
        <v>586</v>
      </c>
      <c r="BA485" t="s">
        <v>179</v>
      </c>
      <c r="BC485">
        <v>10</v>
      </c>
      <c r="BH485" t="s">
        <v>99</v>
      </c>
      <c r="BO485" t="s">
        <v>111</v>
      </c>
      <c r="CD485" t="s">
        <v>536</v>
      </c>
      <c r="CE485">
        <v>150127</v>
      </c>
      <c r="CF485" t="s">
        <v>537</v>
      </c>
      <c r="CG485" t="s">
        <v>538</v>
      </c>
      <c r="CH485">
        <v>2009</v>
      </c>
    </row>
    <row r="486" spans="1:86" hidden="1" x14ac:dyDescent="0.25">
      <c r="A486">
        <v>330541</v>
      </c>
      <c r="B486" t="s">
        <v>86</v>
      </c>
      <c r="D486" t="s">
        <v>115</v>
      </c>
      <c r="K486" t="s">
        <v>535</v>
      </c>
      <c r="L486" t="s">
        <v>89</v>
      </c>
      <c r="M486" t="s">
        <v>90</v>
      </c>
      <c r="V486" t="s">
        <v>91</v>
      </c>
      <c r="W486" t="s">
        <v>92</v>
      </c>
      <c r="X486" t="s">
        <v>93</v>
      </c>
      <c r="Y486">
        <v>2</v>
      </c>
      <c r="Z486" t="s">
        <v>137</v>
      </c>
      <c r="AB486">
        <v>2.330972</v>
      </c>
      <c r="AG486" t="s">
        <v>95</v>
      </c>
      <c r="AX486" t="s">
        <v>282</v>
      </c>
      <c r="AY486" t="s">
        <v>593</v>
      </c>
      <c r="AZ486" t="s">
        <v>586</v>
      </c>
      <c r="BA486" t="s">
        <v>179</v>
      </c>
      <c r="BC486">
        <v>10</v>
      </c>
      <c r="BH486" t="s">
        <v>99</v>
      </c>
      <c r="BO486" t="s">
        <v>111</v>
      </c>
      <c r="CD486" t="s">
        <v>536</v>
      </c>
      <c r="CE486">
        <v>150127</v>
      </c>
      <c r="CF486" t="s">
        <v>537</v>
      </c>
      <c r="CG486" t="s">
        <v>538</v>
      </c>
      <c r="CH486">
        <v>2009</v>
      </c>
    </row>
    <row r="487" spans="1:86" hidden="1" x14ac:dyDescent="0.25">
      <c r="A487">
        <v>330541</v>
      </c>
      <c r="B487" t="s">
        <v>86</v>
      </c>
      <c r="D487" t="s">
        <v>115</v>
      </c>
      <c r="K487" t="s">
        <v>180</v>
      </c>
      <c r="L487" t="s">
        <v>117</v>
      </c>
      <c r="M487" t="s">
        <v>90</v>
      </c>
      <c r="N487" t="s">
        <v>118</v>
      </c>
      <c r="V487" t="s">
        <v>91</v>
      </c>
      <c r="W487" t="s">
        <v>92</v>
      </c>
      <c r="X487" t="s">
        <v>93</v>
      </c>
      <c r="Y487">
        <v>2</v>
      </c>
      <c r="Z487" t="s">
        <v>137</v>
      </c>
      <c r="AB487">
        <v>5.0000000000000001E-3</v>
      </c>
      <c r="AG487" t="s">
        <v>95</v>
      </c>
      <c r="AX487" t="s">
        <v>108</v>
      </c>
      <c r="AY487" t="s">
        <v>160</v>
      </c>
      <c r="AZ487" t="s">
        <v>586</v>
      </c>
      <c r="BC487">
        <v>14</v>
      </c>
      <c r="BH487" t="s">
        <v>99</v>
      </c>
      <c r="BO487" t="s">
        <v>111</v>
      </c>
      <c r="CD487" t="s">
        <v>504</v>
      </c>
      <c r="CE487">
        <v>184288</v>
      </c>
      <c r="CF487" t="s">
        <v>505</v>
      </c>
      <c r="CG487" t="s">
        <v>506</v>
      </c>
      <c r="CH487">
        <v>2020</v>
      </c>
    </row>
    <row r="488" spans="1:86" hidden="1" x14ac:dyDescent="0.25">
      <c r="A488">
        <v>330541</v>
      </c>
      <c r="B488" t="s">
        <v>86</v>
      </c>
      <c r="D488" t="s">
        <v>115</v>
      </c>
      <c r="K488" t="s">
        <v>180</v>
      </c>
      <c r="L488" t="s">
        <v>117</v>
      </c>
      <c r="M488" t="s">
        <v>90</v>
      </c>
      <c r="N488" t="s">
        <v>118</v>
      </c>
      <c r="V488" t="s">
        <v>91</v>
      </c>
      <c r="W488" t="s">
        <v>92</v>
      </c>
      <c r="X488" t="s">
        <v>93</v>
      </c>
      <c r="Y488">
        <v>2</v>
      </c>
      <c r="Z488" t="s">
        <v>137</v>
      </c>
      <c r="AB488">
        <v>5.0000000000000001E-3</v>
      </c>
      <c r="AG488" t="s">
        <v>95</v>
      </c>
      <c r="AX488" t="s">
        <v>108</v>
      </c>
      <c r="AY488" t="s">
        <v>160</v>
      </c>
      <c r="AZ488" t="s">
        <v>586</v>
      </c>
      <c r="BC488">
        <v>14</v>
      </c>
      <c r="BH488" t="s">
        <v>99</v>
      </c>
      <c r="BO488" t="s">
        <v>111</v>
      </c>
      <c r="CD488" t="s">
        <v>504</v>
      </c>
      <c r="CE488">
        <v>184288</v>
      </c>
      <c r="CF488" t="s">
        <v>505</v>
      </c>
      <c r="CG488" t="s">
        <v>506</v>
      </c>
      <c r="CH488">
        <v>2020</v>
      </c>
    </row>
    <row r="489" spans="1:86" hidden="1" x14ac:dyDescent="0.25">
      <c r="A489">
        <v>330541</v>
      </c>
      <c r="B489" t="s">
        <v>86</v>
      </c>
      <c r="D489" t="s">
        <v>115</v>
      </c>
      <c r="F489">
        <v>80</v>
      </c>
      <c r="K489" t="s">
        <v>142</v>
      </c>
      <c r="L489" t="s">
        <v>143</v>
      </c>
      <c r="M489" t="s">
        <v>90</v>
      </c>
      <c r="V489" t="s">
        <v>91</v>
      </c>
      <c r="W489" t="s">
        <v>92</v>
      </c>
      <c r="X489" t="s">
        <v>93</v>
      </c>
      <c r="Y489">
        <v>6</v>
      </c>
      <c r="Z489" t="s">
        <v>137</v>
      </c>
      <c r="AA489" t="s">
        <v>434</v>
      </c>
      <c r="AB489">
        <v>0.02</v>
      </c>
      <c r="AG489" t="s">
        <v>95</v>
      </c>
      <c r="AX489" t="s">
        <v>144</v>
      </c>
      <c r="AY489" t="s">
        <v>145</v>
      </c>
      <c r="AZ489" t="s">
        <v>586</v>
      </c>
      <c r="BC489">
        <v>1.04E-2</v>
      </c>
      <c r="BH489" t="s">
        <v>99</v>
      </c>
      <c r="BO489" t="s">
        <v>111</v>
      </c>
      <c r="CD489" t="s">
        <v>146</v>
      </c>
      <c r="CE489">
        <v>170799</v>
      </c>
      <c r="CF489" t="s">
        <v>147</v>
      </c>
      <c r="CG489" t="s">
        <v>148</v>
      </c>
      <c r="CH489">
        <v>2015</v>
      </c>
    </row>
    <row r="490" spans="1:86" hidden="1" x14ac:dyDescent="0.25">
      <c r="A490">
        <v>330541</v>
      </c>
      <c r="B490" t="s">
        <v>86</v>
      </c>
      <c r="C490" t="s">
        <v>158</v>
      </c>
      <c r="D490" t="s">
        <v>115</v>
      </c>
      <c r="K490" t="s">
        <v>159</v>
      </c>
      <c r="L490" t="s">
        <v>90</v>
      </c>
      <c r="M490" t="s">
        <v>90</v>
      </c>
      <c r="N490" t="s">
        <v>118</v>
      </c>
      <c r="V490" t="s">
        <v>91</v>
      </c>
      <c r="W490" t="s">
        <v>107</v>
      </c>
      <c r="X490" t="s">
        <v>93</v>
      </c>
      <c r="Y490">
        <v>2</v>
      </c>
      <c r="Z490" t="s">
        <v>94</v>
      </c>
      <c r="AB490">
        <v>5.8274299999999998E-3</v>
      </c>
      <c r="AG490" t="s">
        <v>95</v>
      </c>
      <c r="AX490" t="s">
        <v>201</v>
      </c>
      <c r="AY490" t="s">
        <v>594</v>
      </c>
      <c r="AZ490" t="s">
        <v>586</v>
      </c>
      <c r="BA490" t="s">
        <v>497</v>
      </c>
      <c r="BC490">
        <v>3</v>
      </c>
      <c r="BH490" t="s">
        <v>99</v>
      </c>
      <c r="BO490" t="s">
        <v>111</v>
      </c>
      <c r="CD490" t="s">
        <v>161</v>
      </c>
      <c r="CE490">
        <v>112735</v>
      </c>
      <c r="CF490" t="s">
        <v>162</v>
      </c>
      <c r="CG490" t="s">
        <v>163</v>
      </c>
      <c r="CH490">
        <v>2008</v>
      </c>
    </row>
    <row r="491" spans="1:86" hidden="1" x14ac:dyDescent="0.25">
      <c r="A491">
        <v>330541</v>
      </c>
      <c r="B491" t="s">
        <v>86</v>
      </c>
      <c r="C491" t="s">
        <v>158</v>
      </c>
      <c r="D491" t="s">
        <v>115</v>
      </c>
      <c r="K491" t="s">
        <v>173</v>
      </c>
      <c r="L491" t="s">
        <v>117</v>
      </c>
      <c r="M491" t="s">
        <v>90</v>
      </c>
      <c r="N491" t="s">
        <v>118</v>
      </c>
      <c r="V491" t="s">
        <v>91</v>
      </c>
      <c r="W491" t="s">
        <v>107</v>
      </c>
      <c r="X491" t="s">
        <v>93</v>
      </c>
      <c r="Y491">
        <v>2</v>
      </c>
      <c r="Z491" t="s">
        <v>94</v>
      </c>
      <c r="AB491">
        <v>3.7295551999999999E-3</v>
      </c>
      <c r="AG491" t="s">
        <v>95</v>
      </c>
      <c r="AX491" t="s">
        <v>201</v>
      </c>
      <c r="AY491" t="s">
        <v>595</v>
      </c>
      <c r="AZ491" t="s">
        <v>586</v>
      </c>
      <c r="BA491" t="s">
        <v>497</v>
      </c>
      <c r="BC491">
        <v>3</v>
      </c>
      <c r="BH491" t="s">
        <v>99</v>
      </c>
      <c r="BO491" t="s">
        <v>111</v>
      </c>
      <c r="CD491" t="s">
        <v>161</v>
      </c>
      <c r="CE491">
        <v>112735</v>
      </c>
      <c r="CF491" t="s">
        <v>162</v>
      </c>
      <c r="CG491" t="s">
        <v>163</v>
      </c>
      <c r="CH491">
        <v>2008</v>
      </c>
    </row>
    <row r="492" spans="1:86" hidden="1" x14ac:dyDescent="0.25">
      <c r="A492">
        <v>330541</v>
      </c>
      <c r="B492" t="s">
        <v>86</v>
      </c>
      <c r="D492" t="s">
        <v>115</v>
      </c>
      <c r="F492">
        <v>98</v>
      </c>
      <c r="K492" t="s">
        <v>291</v>
      </c>
      <c r="L492" t="s">
        <v>117</v>
      </c>
      <c r="M492" t="s">
        <v>90</v>
      </c>
      <c r="V492" t="s">
        <v>91</v>
      </c>
      <c r="W492" t="s">
        <v>107</v>
      </c>
      <c r="X492" t="s">
        <v>93</v>
      </c>
      <c r="Y492">
        <v>7</v>
      </c>
      <c r="Z492" t="s">
        <v>94</v>
      </c>
      <c r="AB492" s="281">
        <v>2.8299999999999999E-4</v>
      </c>
      <c r="AG492" t="s">
        <v>95</v>
      </c>
      <c r="AX492" t="s">
        <v>108</v>
      </c>
      <c r="AY492" t="s">
        <v>160</v>
      </c>
      <c r="AZ492" t="s">
        <v>586</v>
      </c>
      <c r="BC492">
        <v>4</v>
      </c>
      <c r="BH492" t="s">
        <v>99</v>
      </c>
      <c r="BO492" t="s">
        <v>111</v>
      </c>
      <c r="CD492" t="s">
        <v>292</v>
      </c>
      <c r="CE492">
        <v>175889</v>
      </c>
      <c r="CF492" t="s">
        <v>293</v>
      </c>
      <c r="CG492" t="s">
        <v>294</v>
      </c>
      <c r="CH492">
        <v>2016</v>
      </c>
    </row>
    <row r="493" spans="1:86" x14ac:dyDescent="0.25">
      <c r="A493">
        <v>330541</v>
      </c>
      <c r="B493" t="s">
        <v>86</v>
      </c>
      <c r="D493" t="s">
        <v>115</v>
      </c>
      <c r="K493" t="s">
        <v>224</v>
      </c>
      <c r="L493" t="s">
        <v>89</v>
      </c>
      <c r="M493" t="s">
        <v>90</v>
      </c>
      <c r="V493" t="s">
        <v>168</v>
      </c>
      <c r="W493" t="s">
        <v>92</v>
      </c>
      <c r="X493" t="s">
        <v>93</v>
      </c>
      <c r="Y493">
        <v>7</v>
      </c>
      <c r="Z493" t="s">
        <v>137</v>
      </c>
      <c r="AB493">
        <v>9.4000000000000004E-3</v>
      </c>
      <c r="AG493" t="s">
        <v>95</v>
      </c>
      <c r="AX493" t="s">
        <v>108</v>
      </c>
      <c r="AY493" t="s">
        <v>160</v>
      </c>
      <c r="AZ493" t="s">
        <v>586</v>
      </c>
      <c r="BC493">
        <v>3</v>
      </c>
      <c r="BH493" t="s">
        <v>99</v>
      </c>
      <c r="BO493" t="s">
        <v>111</v>
      </c>
      <c r="CD493" t="s">
        <v>302</v>
      </c>
      <c r="CE493">
        <v>159207</v>
      </c>
      <c r="CF493" t="s">
        <v>303</v>
      </c>
      <c r="CG493" t="s">
        <v>304</v>
      </c>
      <c r="CH493">
        <v>2012</v>
      </c>
    </row>
    <row r="494" spans="1:86" hidden="1" x14ac:dyDescent="0.25">
      <c r="A494">
        <v>330541</v>
      </c>
      <c r="B494" t="s">
        <v>86</v>
      </c>
      <c r="C494" t="s">
        <v>183</v>
      </c>
      <c r="D494" t="s">
        <v>115</v>
      </c>
      <c r="E494" t="s">
        <v>106</v>
      </c>
      <c r="F494">
        <v>98</v>
      </c>
      <c r="K494" t="s">
        <v>218</v>
      </c>
      <c r="L494" t="s">
        <v>89</v>
      </c>
      <c r="M494" t="s">
        <v>90</v>
      </c>
      <c r="V494" t="s">
        <v>91</v>
      </c>
      <c r="W494" t="s">
        <v>92</v>
      </c>
      <c r="X494" t="s">
        <v>93</v>
      </c>
      <c r="Y494">
        <v>5</v>
      </c>
      <c r="Z494" t="s">
        <v>94</v>
      </c>
      <c r="AB494">
        <v>1.165486E-2</v>
      </c>
      <c r="AG494" t="s">
        <v>95</v>
      </c>
      <c r="AX494" t="s">
        <v>144</v>
      </c>
      <c r="AY494" t="s">
        <v>455</v>
      </c>
      <c r="AZ494" t="s">
        <v>586</v>
      </c>
      <c r="BC494">
        <v>6.9400000000000003E-2</v>
      </c>
      <c r="BH494" t="s">
        <v>99</v>
      </c>
      <c r="BO494" t="s">
        <v>111</v>
      </c>
      <c r="CD494" t="s">
        <v>508</v>
      </c>
      <c r="CE494">
        <v>19633</v>
      </c>
      <c r="CF494" t="s">
        <v>509</v>
      </c>
      <c r="CG494" t="s">
        <v>510</v>
      </c>
      <c r="CH494">
        <v>1976</v>
      </c>
    </row>
    <row r="495" spans="1:86" hidden="1" x14ac:dyDescent="0.25">
      <c r="A495">
        <v>330541</v>
      </c>
      <c r="B495" t="s">
        <v>86</v>
      </c>
      <c r="C495" t="s">
        <v>183</v>
      </c>
      <c r="D495" t="s">
        <v>115</v>
      </c>
      <c r="E495" t="s">
        <v>106</v>
      </c>
      <c r="F495">
        <v>98</v>
      </c>
      <c r="K495" t="s">
        <v>218</v>
      </c>
      <c r="L495" t="s">
        <v>89</v>
      </c>
      <c r="M495" t="s">
        <v>90</v>
      </c>
      <c r="V495" t="s">
        <v>91</v>
      </c>
      <c r="W495" t="s">
        <v>92</v>
      </c>
      <c r="X495" t="s">
        <v>93</v>
      </c>
      <c r="Y495">
        <v>5</v>
      </c>
      <c r="Z495" t="s">
        <v>94</v>
      </c>
      <c r="AB495">
        <v>1.165486E-2</v>
      </c>
      <c r="AG495" t="s">
        <v>95</v>
      </c>
      <c r="AX495" t="s">
        <v>144</v>
      </c>
      <c r="AY495" t="s">
        <v>455</v>
      </c>
      <c r="AZ495" t="s">
        <v>586</v>
      </c>
      <c r="BC495">
        <v>8.3299999999999999E-2</v>
      </c>
      <c r="BH495" t="s">
        <v>99</v>
      </c>
      <c r="BO495" t="s">
        <v>111</v>
      </c>
      <c r="CD495" t="s">
        <v>508</v>
      </c>
      <c r="CE495">
        <v>19633</v>
      </c>
      <c r="CF495" t="s">
        <v>509</v>
      </c>
      <c r="CG495" t="s">
        <v>510</v>
      </c>
      <c r="CH495">
        <v>1976</v>
      </c>
    </row>
    <row r="496" spans="1:86" hidden="1" x14ac:dyDescent="0.25">
      <c r="A496">
        <v>330541</v>
      </c>
      <c r="B496" t="s">
        <v>86</v>
      </c>
      <c r="C496" t="s">
        <v>183</v>
      </c>
      <c r="D496" t="s">
        <v>115</v>
      </c>
      <c r="E496" t="s">
        <v>106</v>
      </c>
      <c r="F496">
        <v>98</v>
      </c>
      <c r="K496" t="s">
        <v>218</v>
      </c>
      <c r="L496" t="s">
        <v>89</v>
      </c>
      <c r="M496" t="s">
        <v>90</v>
      </c>
      <c r="V496" t="s">
        <v>91</v>
      </c>
      <c r="W496" t="s">
        <v>92</v>
      </c>
      <c r="X496" t="s">
        <v>93</v>
      </c>
      <c r="Y496">
        <v>5</v>
      </c>
      <c r="Z496" t="s">
        <v>94</v>
      </c>
      <c r="AB496">
        <v>1.165486</v>
      </c>
      <c r="AG496" t="s">
        <v>95</v>
      </c>
      <c r="AX496" t="s">
        <v>144</v>
      </c>
      <c r="AY496" t="s">
        <v>455</v>
      </c>
      <c r="AZ496" t="s">
        <v>586</v>
      </c>
      <c r="BC496">
        <v>2.7799999999999998E-2</v>
      </c>
      <c r="BH496" t="s">
        <v>99</v>
      </c>
      <c r="BO496" t="s">
        <v>111</v>
      </c>
      <c r="CD496" t="s">
        <v>508</v>
      </c>
      <c r="CE496">
        <v>19633</v>
      </c>
      <c r="CF496" t="s">
        <v>509</v>
      </c>
      <c r="CG496" t="s">
        <v>510</v>
      </c>
      <c r="CH496">
        <v>1976</v>
      </c>
    </row>
    <row r="497" spans="1:86" hidden="1" x14ac:dyDescent="0.25">
      <c r="A497">
        <v>330541</v>
      </c>
      <c r="B497" t="s">
        <v>86</v>
      </c>
      <c r="C497" t="s">
        <v>104</v>
      </c>
      <c r="D497" t="s">
        <v>105</v>
      </c>
      <c r="E497" t="s">
        <v>106</v>
      </c>
      <c r="F497">
        <v>95</v>
      </c>
      <c r="K497" t="s">
        <v>90</v>
      </c>
      <c r="L497" t="s">
        <v>90</v>
      </c>
      <c r="M497" t="s">
        <v>90</v>
      </c>
      <c r="V497" t="s">
        <v>91</v>
      </c>
      <c r="W497" t="s">
        <v>107</v>
      </c>
      <c r="X497" t="s">
        <v>93</v>
      </c>
      <c r="Z497" t="s">
        <v>94</v>
      </c>
      <c r="AB497" s="281">
        <v>5.1281384000000001E-3</v>
      </c>
      <c r="AG497" t="s">
        <v>95</v>
      </c>
      <c r="AX497" t="s">
        <v>108</v>
      </c>
      <c r="AY497" t="s">
        <v>109</v>
      </c>
      <c r="AZ497" t="s">
        <v>586</v>
      </c>
      <c r="BC497">
        <v>3.1300000000000001E-2</v>
      </c>
      <c r="BH497" t="s">
        <v>99</v>
      </c>
      <c r="BO497" t="s">
        <v>111</v>
      </c>
      <c r="CD497" t="s">
        <v>112</v>
      </c>
      <c r="CE497">
        <v>180287</v>
      </c>
      <c r="CF497" t="s">
        <v>113</v>
      </c>
      <c r="CG497" t="s">
        <v>114</v>
      </c>
      <c r="CH497">
        <v>2004</v>
      </c>
    </row>
    <row r="498" spans="1:86" hidden="1" x14ac:dyDescent="0.25">
      <c r="A498">
        <v>330541</v>
      </c>
      <c r="B498" t="s">
        <v>86</v>
      </c>
      <c r="C498" t="s">
        <v>183</v>
      </c>
      <c r="D498" t="s">
        <v>115</v>
      </c>
      <c r="E498" t="s">
        <v>106</v>
      </c>
      <c r="F498">
        <v>98</v>
      </c>
      <c r="K498" t="s">
        <v>218</v>
      </c>
      <c r="L498" t="s">
        <v>89</v>
      </c>
      <c r="M498" t="s">
        <v>90</v>
      </c>
      <c r="V498" t="s">
        <v>91</v>
      </c>
      <c r="W498" t="s">
        <v>92</v>
      </c>
      <c r="X498" t="s">
        <v>93</v>
      </c>
      <c r="Y498">
        <v>5</v>
      </c>
      <c r="Z498" t="s">
        <v>94</v>
      </c>
      <c r="AB498">
        <v>1.1654860000000001E-3</v>
      </c>
      <c r="AG498" t="s">
        <v>95</v>
      </c>
      <c r="AX498" t="s">
        <v>144</v>
      </c>
      <c r="AY498" t="s">
        <v>109</v>
      </c>
      <c r="AZ498" t="s">
        <v>586</v>
      </c>
      <c r="BC498">
        <v>8.3299999999999999E-2</v>
      </c>
      <c r="BH498" t="s">
        <v>99</v>
      </c>
      <c r="BO498" t="s">
        <v>111</v>
      </c>
      <c r="CD498" t="s">
        <v>508</v>
      </c>
      <c r="CE498">
        <v>19633</v>
      </c>
      <c r="CF498" t="s">
        <v>509</v>
      </c>
      <c r="CG498" t="s">
        <v>510</v>
      </c>
      <c r="CH498">
        <v>1976</v>
      </c>
    </row>
    <row r="499" spans="1:86" hidden="1" x14ac:dyDescent="0.25">
      <c r="A499">
        <v>330541</v>
      </c>
      <c r="B499" t="s">
        <v>86</v>
      </c>
      <c r="C499" t="s">
        <v>183</v>
      </c>
      <c r="D499" t="s">
        <v>115</v>
      </c>
      <c r="E499" t="s">
        <v>106</v>
      </c>
      <c r="F499">
        <v>98</v>
      </c>
      <c r="K499" t="s">
        <v>218</v>
      </c>
      <c r="L499" t="s">
        <v>89</v>
      </c>
      <c r="M499" t="s">
        <v>90</v>
      </c>
      <c r="V499" t="s">
        <v>91</v>
      </c>
      <c r="W499" t="s">
        <v>92</v>
      </c>
      <c r="X499" t="s">
        <v>93</v>
      </c>
      <c r="Y499">
        <v>5</v>
      </c>
      <c r="Z499" t="s">
        <v>94</v>
      </c>
      <c r="AB499">
        <v>1.1654860000000001E-3</v>
      </c>
      <c r="AG499" t="s">
        <v>95</v>
      </c>
      <c r="AX499" t="s">
        <v>144</v>
      </c>
      <c r="AY499" t="s">
        <v>109</v>
      </c>
      <c r="AZ499" t="s">
        <v>586</v>
      </c>
      <c r="BC499">
        <v>4.1700000000000001E-2</v>
      </c>
      <c r="BH499" t="s">
        <v>99</v>
      </c>
      <c r="BO499" t="s">
        <v>111</v>
      </c>
      <c r="CD499" t="s">
        <v>508</v>
      </c>
      <c r="CE499">
        <v>19633</v>
      </c>
      <c r="CF499" t="s">
        <v>509</v>
      </c>
      <c r="CG499" t="s">
        <v>510</v>
      </c>
      <c r="CH499">
        <v>1976</v>
      </c>
    </row>
    <row r="500" spans="1:86" hidden="1" x14ac:dyDescent="0.25">
      <c r="A500">
        <v>330541</v>
      </c>
      <c r="B500" t="s">
        <v>86</v>
      </c>
      <c r="D500" t="s">
        <v>115</v>
      </c>
      <c r="K500" t="s">
        <v>526</v>
      </c>
      <c r="L500" t="s">
        <v>117</v>
      </c>
      <c r="M500" t="s">
        <v>90</v>
      </c>
      <c r="N500" t="s">
        <v>118</v>
      </c>
      <c r="V500" t="s">
        <v>91</v>
      </c>
      <c r="W500" t="s">
        <v>92</v>
      </c>
      <c r="X500" t="s">
        <v>93</v>
      </c>
      <c r="Y500">
        <v>2</v>
      </c>
      <c r="Z500" t="s">
        <v>137</v>
      </c>
      <c r="AB500">
        <v>5.0000000000000001E-3</v>
      </c>
      <c r="AG500" t="s">
        <v>95</v>
      </c>
      <c r="AX500" t="s">
        <v>523</v>
      </c>
      <c r="AY500" t="s">
        <v>523</v>
      </c>
      <c r="AZ500" t="s">
        <v>586</v>
      </c>
      <c r="BC500">
        <v>20</v>
      </c>
      <c r="BH500" t="s">
        <v>99</v>
      </c>
      <c r="BO500" t="s">
        <v>111</v>
      </c>
      <c r="CD500" t="s">
        <v>504</v>
      </c>
      <c r="CE500">
        <v>184288</v>
      </c>
      <c r="CF500" t="s">
        <v>505</v>
      </c>
      <c r="CG500" t="s">
        <v>506</v>
      </c>
      <c r="CH500">
        <v>2020</v>
      </c>
    </row>
    <row r="501" spans="1:86" hidden="1" x14ac:dyDescent="0.25">
      <c r="A501">
        <v>330541</v>
      </c>
      <c r="B501" t="s">
        <v>86</v>
      </c>
      <c r="D501" t="s">
        <v>115</v>
      </c>
      <c r="K501" t="s">
        <v>526</v>
      </c>
      <c r="L501" t="s">
        <v>117</v>
      </c>
      <c r="M501" t="s">
        <v>90</v>
      </c>
      <c r="N501" t="s">
        <v>118</v>
      </c>
      <c r="V501" t="s">
        <v>91</v>
      </c>
      <c r="W501" t="s">
        <v>92</v>
      </c>
      <c r="X501" t="s">
        <v>93</v>
      </c>
      <c r="Y501">
        <v>2</v>
      </c>
      <c r="Z501" t="s">
        <v>137</v>
      </c>
      <c r="AB501">
        <v>5.0000000000000001E-3</v>
      </c>
      <c r="AG501" t="s">
        <v>95</v>
      </c>
      <c r="AX501" t="s">
        <v>108</v>
      </c>
      <c r="AY501" t="s">
        <v>160</v>
      </c>
      <c r="AZ501" t="s">
        <v>586</v>
      </c>
      <c r="BE501">
        <v>13</v>
      </c>
      <c r="BG501">
        <v>17</v>
      </c>
      <c r="BH501" t="s">
        <v>99</v>
      </c>
      <c r="BO501" t="s">
        <v>111</v>
      </c>
      <c r="CD501" t="s">
        <v>504</v>
      </c>
      <c r="CE501">
        <v>184288</v>
      </c>
      <c r="CF501" t="s">
        <v>505</v>
      </c>
      <c r="CG501" t="s">
        <v>506</v>
      </c>
      <c r="CH501">
        <v>2020</v>
      </c>
    </row>
    <row r="502" spans="1:86" hidden="1" x14ac:dyDescent="0.25">
      <c r="A502">
        <v>330541</v>
      </c>
      <c r="B502" t="s">
        <v>86</v>
      </c>
      <c r="D502" t="s">
        <v>115</v>
      </c>
      <c r="K502" t="s">
        <v>526</v>
      </c>
      <c r="L502" t="s">
        <v>117</v>
      </c>
      <c r="M502" t="s">
        <v>90</v>
      </c>
      <c r="N502" t="s">
        <v>118</v>
      </c>
      <c r="V502" t="s">
        <v>91</v>
      </c>
      <c r="W502" t="s">
        <v>92</v>
      </c>
      <c r="X502" t="s">
        <v>93</v>
      </c>
      <c r="Y502">
        <v>2</v>
      </c>
      <c r="Z502" t="s">
        <v>137</v>
      </c>
      <c r="AB502">
        <v>5.0000000000000001E-3</v>
      </c>
      <c r="AG502" t="s">
        <v>95</v>
      </c>
      <c r="AX502" t="s">
        <v>108</v>
      </c>
      <c r="AY502" t="s">
        <v>160</v>
      </c>
      <c r="AZ502" t="s">
        <v>586</v>
      </c>
      <c r="BC502">
        <v>20</v>
      </c>
      <c r="BH502" t="s">
        <v>99</v>
      </c>
      <c r="BO502" t="s">
        <v>111</v>
      </c>
      <c r="CD502" t="s">
        <v>504</v>
      </c>
      <c r="CE502">
        <v>184288</v>
      </c>
      <c r="CF502" t="s">
        <v>505</v>
      </c>
      <c r="CG502" t="s">
        <v>506</v>
      </c>
      <c r="CH502">
        <v>2020</v>
      </c>
    </row>
    <row r="503" spans="1:86" hidden="1" x14ac:dyDescent="0.25">
      <c r="A503">
        <v>330541</v>
      </c>
      <c r="B503" t="s">
        <v>86</v>
      </c>
      <c r="D503" t="s">
        <v>115</v>
      </c>
      <c r="K503" t="s">
        <v>526</v>
      </c>
      <c r="L503" t="s">
        <v>117</v>
      </c>
      <c r="M503" t="s">
        <v>90</v>
      </c>
      <c r="N503" t="s">
        <v>118</v>
      </c>
      <c r="V503" t="s">
        <v>91</v>
      </c>
      <c r="W503" t="s">
        <v>92</v>
      </c>
      <c r="X503" t="s">
        <v>93</v>
      </c>
      <c r="Y503">
        <v>2</v>
      </c>
      <c r="Z503" t="s">
        <v>137</v>
      </c>
      <c r="AB503">
        <v>5.0000000000000001E-3</v>
      </c>
      <c r="AG503" t="s">
        <v>95</v>
      </c>
      <c r="AX503" t="s">
        <v>108</v>
      </c>
      <c r="AY503" t="s">
        <v>160</v>
      </c>
      <c r="AZ503" t="s">
        <v>586</v>
      </c>
      <c r="BC503">
        <v>20</v>
      </c>
      <c r="BH503" t="s">
        <v>99</v>
      </c>
      <c r="BO503" t="s">
        <v>111</v>
      </c>
      <c r="CD503" t="s">
        <v>504</v>
      </c>
      <c r="CE503">
        <v>184288</v>
      </c>
      <c r="CF503" t="s">
        <v>505</v>
      </c>
      <c r="CG503" t="s">
        <v>506</v>
      </c>
      <c r="CH503">
        <v>2020</v>
      </c>
    </row>
    <row r="504" spans="1:86" hidden="1" x14ac:dyDescent="0.25">
      <c r="A504">
        <v>330541</v>
      </c>
      <c r="B504" t="s">
        <v>86</v>
      </c>
      <c r="D504" t="s">
        <v>115</v>
      </c>
      <c r="K504" t="s">
        <v>526</v>
      </c>
      <c r="L504" t="s">
        <v>117</v>
      </c>
      <c r="M504" t="s">
        <v>90</v>
      </c>
      <c r="N504" t="s">
        <v>118</v>
      </c>
      <c r="V504" t="s">
        <v>91</v>
      </c>
      <c r="W504" t="s">
        <v>92</v>
      </c>
      <c r="X504" t="s">
        <v>93</v>
      </c>
      <c r="Y504">
        <v>2</v>
      </c>
      <c r="Z504" t="s">
        <v>137</v>
      </c>
      <c r="AB504">
        <v>5.0000000000000001E-3</v>
      </c>
      <c r="AG504" t="s">
        <v>95</v>
      </c>
      <c r="AX504" t="s">
        <v>108</v>
      </c>
      <c r="AY504" t="s">
        <v>160</v>
      </c>
      <c r="AZ504" t="s">
        <v>586</v>
      </c>
      <c r="BE504">
        <v>13</v>
      </c>
      <c r="BG504">
        <v>17</v>
      </c>
      <c r="BH504" t="s">
        <v>99</v>
      </c>
      <c r="BO504" t="s">
        <v>111</v>
      </c>
      <c r="CD504" t="s">
        <v>504</v>
      </c>
      <c r="CE504">
        <v>184288</v>
      </c>
      <c r="CF504" t="s">
        <v>505</v>
      </c>
      <c r="CG504" t="s">
        <v>506</v>
      </c>
      <c r="CH504">
        <v>2020</v>
      </c>
    </row>
    <row r="505" spans="1:86" hidden="1" x14ac:dyDescent="0.25">
      <c r="A505">
        <v>330541</v>
      </c>
      <c r="B505" t="s">
        <v>86</v>
      </c>
      <c r="D505" t="s">
        <v>115</v>
      </c>
      <c r="K505" t="s">
        <v>90</v>
      </c>
      <c r="L505" t="s">
        <v>90</v>
      </c>
      <c r="M505" t="s">
        <v>90</v>
      </c>
      <c r="V505" t="s">
        <v>91</v>
      </c>
      <c r="W505" t="s">
        <v>107</v>
      </c>
      <c r="X505" t="s">
        <v>93</v>
      </c>
      <c r="Y505">
        <v>6</v>
      </c>
      <c r="Z505" t="s">
        <v>137</v>
      </c>
      <c r="AA505" t="s">
        <v>234</v>
      </c>
      <c r="AB505">
        <v>2.9999999999999997E-4</v>
      </c>
      <c r="AG505" t="s">
        <v>95</v>
      </c>
      <c r="AX505" t="s">
        <v>201</v>
      </c>
      <c r="AY505" t="s">
        <v>202</v>
      </c>
      <c r="AZ505" t="s">
        <v>586</v>
      </c>
      <c r="BC505">
        <v>0.41670000000000001</v>
      </c>
      <c r="BH505" t="s">
        <v>99</v>
      </c>
      <c r="BO505" t="s">
        <v>111</v>
      </c>
      <c r="CD505" t="s">
        <v>204</v>
      </c>
      <c r="CE505">
        <v>75334</v>
      </c>
      <c r="CF505" t="s">
        <v>205</v>
      </c>
      <c r="CG505" t="s">
        <v>206</v>
      </c>
      <c r="CH505">
        <v>2003</v>
      </c>
    </row>
    <row r="506" spans="1:86" hidden="1" x14ac:dyDescent="0.25">
      <c r="A506">
        <v>330541</v>
      </c>
      <c r="B506" t="s">
        <v>86</v>
      </c>
      <c r="D506" t="s">
        <v>115</v>
      </c>
      <c r="F506">
        <v>98.4</v>
      </c>
      <c r="K506" t="s">
        <v>90</v>
      </c>
      <c r="L506" t="s">
        <v>90</v>
      </c>
      <c r="M506" t="s">
        <v>90</v>
      </c>
      <c r="V506" t="s">
        <v>91</v>
      </c>
      <c r="W506" t="s">
        <v>92</v>
      </c>
      <c r="X506" t="s">
        <v>93</v>
      </c>
      <c r="Y506">
        <v>5</v>
      </c>
      <c r="Z506" t="s">
        <v>94</v>
      </c>
      <c r="AB506">
        <v>1.25E-3</v>
      </c>
      <c r="AG506" t="s">
        <v>95</v>
      </c>
      <c r="AX506" t="s">
        <v>144</v>
      </c>
      <c r="AY506" t="s">
        <v>438</v>
      </c>
      <c r="AZ506" t="s">
        <v>586</v>
      </c>
      <c r="BA506" t="s">
        <v>179</v>
      </c>
      <c r="BC506">
        <v>0.125</v>
      </c>
      <c r="BH506" t="s">
        <v>99</v>
      </c>
      <c r="BO506" t="s">
        <v>111</v>
      </c>
      <c r="CD506" t="s">
        <v>518</v>
      </c>
      <c r="CE506">
        <v>120541</v>
      </c>
      <c r="CF506" t="s">
        <v>519</v>
      </c>
      <c r="CG506" t="s">
        <v>520</v>
      </c>
      <c r="CH506">
        <v>2010</v>
      </c>
    </row>
    <row r="507" spans="1:86" hidden="1" x14ac:dyDescent="0.25">
      <c r="A507">
        <v>330541</v>
      </c>
      <c r="B507" t="s">
        <v>86</v>
      </c>
      <c r="C507" t="s">
        <v>104</v>
      </c>
      <c r="D507" t="s">
        <v>105</v>
      </c>
      <c r="E507" t="s">
        <v>106</v>
      </c>
      <c r="F507">
        <v>95</v>
      </c>
      <c r="K507" t="s">
        <v>90</v>
      </c>
      <c r="L507" t="s">
        <v>90</v>
      </c>
      <c r="M507" t="s">
        <v>90</v>
      </c>
      <c r="V507" t="s">
        <v>91</v>
      </c>
      <c r="W507" t="s">
        <v>107</v>
      </c>
      <c r="X507" t="s">
        <v>93</v>
      </c>
      <c r="Z507" t="s">
        <v>94</v>
      </c>
      <c r="AB507" s="281">
        <v>2.3309720000000002E-3</v>
      </c>
      <c r="AG507" t="s">
        <v>95</v>
      </c>
      <c r="AX507" t="s">
        <v>108</v>
      </c>
      <c r="AY507" t="s">
        <v>109</v>
      </c>
      <c r="AZ507" t="s">
        <v>586</v>
      </c>
      <c r="BC507">
        <v>3.1300000000000001E-2</v>
      </c>
      <c r="BH507" t="s">
        <v>99</v>
      </c>
      <c r="BO507" t="s">
        <v>111</v>
      </c>
      <c r="CD507" t="s">
        <v>112</v>
      </c>
      <c r="CE507">
        <v>180287</v>
      </c>
      <c r="CF507" t="s">
        <v>113</v>
      </c>
      <c r="CG507" t="s">
        <v>114</v>
      </c>
      <c r="CH507">
        <v>2004</v>
      </c>
    </row>
    <row r="508" spans="1:86" hidden="1" x14ac:dyDescent="0.25">
      <c r="A508">
        <v>330541</v>
      </c>
      <c r="B508" t="s">
        <v>86</v>
      </c>
      <c r="D508" t="s">
        <v>115</v>
      </c>
      <c r="F508">
        <v>98.4</v>
      </c>
      <c r="K508" t="s">
        <v>551</v>
      </c>
      <c r="L508" t="s">
        <v>352</v>
      </c>
      <c r="M508" t="s">
        <v>90</v>
      </c>
      <c r="V508" t="s">
        <v>491</v>
      </c>
      <c r="W508" t="s">
        <v>92</v>
      </c>
      <c r="X508" t="s">
        <v>492</v>
      </c>
      <c r="Y508">
        <v>2</v>
      </c>
      <c r="Z508" t="s">
        <v>94</v>
      </c>
      <c r="AB508">
        <v>5.0000000000000001E-3</v>
      </c>
      <c r="AG508" t="s">
        <v>95</v>
      </c>
      <c r="AX508" t="s">
        <v>108</v>
      </c>
      <c r="AY508" t="s">
        <v>150</v>
      </c>
      <c r="AZ508" t="s">
        <v>586</v>
      </c>
      <c r="BB508" t="s">
        <v>106</v>
      </c>
      <c r="BC508">
        <v>40</v>
      </c>
      <c r="BH508" t="s">
        <v>99</v>
      </c>
      <c r="BO508" t="s">
        <v>111</v>
      </c>
      <c r="CD508" t="s">
        <v>493</v>
      </c>
      <c r="CE508">
        <v>165274</v>
      </c>
      <c r="CF508" t="s">
        <v>494</v>
      </c>
      <c r="CG508" t="s">
        <v>495</v>
      </c>
      <c r="CH508">
        <v>2012</v>
      </c>
    </row>
    <row r="509" spans="1:86" hidden="1" x14ac:dyDescent="0.25">
      <c r="A509">
        <v>330541</v>
      </c>
      <c r="B509" t="s">
        <v>86</v>
      </c>
      <c r="C509" t="s">
        <v>104</v>
      </c>
      <c r="D509" t="s">
        <v>115</v>
      </c>
      <c r="K509" t="s">
        <v>372</v>
      </c>
      <c r="L509" t="s">
        <v>143</v>
      </c>
      <c r="M509" t="s">
        <v>90</v>
      </c>
      <c r="R509">
        <v>14</v>
      </c>
      <c r="T509">
        <v>28</v>
      </c>
      <c r="U509" t="s">
        <v>99</v>
      </c>
      <c r="V509" t="s">
        <v>91</v>
      </c>
      <c r="W509" t="s">
        <v>92</v>
      </c>
      <c r="X509" t="s">
        <v>93</v>
      </c>
      <c r="Z509" t="s">
        <v>94</v>
      </c>
      <c r="AB509" s="281">
        <v>1E-4</v>
      </c>
      <c r="AG509" t="s">
        <v>95</v>
      </c>
      <c r="AX509" t="s">
        <v>108</v>
      </c>
      <c r="AY509" t="s">
        <v>109</v>
      </c>
      <c r="AZ509" t="s">
        <v>586</v>
      </c>
      <c r="BC509">
        <v>1.3899999999999999E-2</v>
      </c>
      <c r="BH509" t="s">
        <v>99</v>
      </c>
      <c r="BO509" t="s">
        <v>111</v>
      </c>
      <c r="CD509" t="s">
        <v>225</v>
      </c>
      <c r="CE509">
        <v>83755</v>
      </c>
      <c r="CF509" t="s">
        <v>226</v>
      </c>
      <c r="CG509" t="s">
        <v>227</v>
      </c>
      <c r="CH509">
        <v>2005</v>
      </c>
    </row>
    <row r="510" spans="1:86" hidden="1" x14ac:dyDescent="0.25">
      <c r="A510">
        <v>330541</v>
      </c>
      <c r="B510" t="s">
        <v>86</v>
      </c>
      <c r="C510" t="s">
        <v>158</v>
      </c>
      <c r="D510" t="s">
        <v>115</v>
      </c>
      <c r="K510" t="s">
        <v>173</v>
      </c>
      <c r="L510" t="s">
        <v>117</v>
      </c>
      <c r="M510" t="s">
        <v>90</v>
      </c>
      <c r="N510" t="s">
        <v>118</v>
      </c>
      <c r="V510" t="s">
        <v>91</v>
      </c>
      <c r="W510" t="s">
        <v>107</v>
      </c>
      <c r="X510" t="s">
        <v>93</v>
      </c>
      <c r="Y510">
        <v>2</v>
      </c>
      <c r="Z510" t="s">
        <v>94</v>
      </c>
      <c r="AB510">
        <v>3.7295551999999999E-3</v>
      </c>
      <c r="AG510" t="s">
        <v>95</v>
      </c>
      <c r="AX510" t="s">
        <v>201</v>
      </c>
      <c r="AY510" t="s">
        <v>596</v>
      </c>
      <c r="AZ510" t="s">
        <v>586</v>
      </c>
      <c r="BA510" t="s">
        <v>497</v>
      </c>
      <c r="BC510">
        <v>3</v>
      </c>
      <c r="BH510" t="s">
        <v>99</v>
      </c>
      <c r="BO510" t="s">
        <v>111</v>
      </c>
      <c r="CD510" t="s">
        <v>161</v>
      </c>
      <c r="CE510">
        <v>112735</v>
      </c>
      <c r="CF510" t="s">
        <v>162</v>
      </c>
      <c r="CG510" t="s">
        <v>163</v>
      </c>
      <c r="CH510">
        <v>2008</v>
      </c>
    </row>
    <row r="511" spans="1:86" hidden="1" x14ac:dyDescent="0.25">
      <c r="A511">
        <v>330541</v>
      </c>
      <c r="B511" t="s">
        <v>86</v>
      </c>
      <c r="D511" t="s">
        <v>115</v>
      </c>
      <c r="K511" t="s">
        <v>180</v>
      </c>
      <c r="L511" t="s">
        <v>117</v>
      </c>
      <c r="M511" t="s">
        <v>90</v>
      </c>
      <c r="N511" t="s">
        <v>118</v>
      </c>
      <c r="V511" t="s">
        <v>91</v>
      </c>
      <c r="W511" t="s">
        <v>92</v>
      </c>
      <c r="X511" t="s">
        <v>93</v>
      </c>
      <c r="Y511">
        <v>2</v>
      </c>
      <c r="Z511" t="s">
        <v>137</v>
      </c>
      <c r="AB511">
        <v>5.0000000000000001E-3</v>
      </c>
      <c r="AG511" t="s">
        <v>95</v>
      </c>
      <c r="AX511" t="s">
        <v>523</v>
      </c>
      <c r="AY511" t="s">
        <v>523</v>
      </c>
      <c r="AZ511" t="s">
        <v>586</v>
      </c>
      <c r="BE511">
        <v>13</v>
      </c>
      <c r="BG511">
        <v>17</v>
      </c>
      <c r="BH511" t="s">
        <v>99</v>
      </c>
      <c r="BO511" t="s">
        <v>111</v>
      </c>
      <c r="CD511" t="s">
        <v>504</v>
      </c>
      <c r="CE511">
        <v>184288</v>
      </c>
      <c r="CF511" t="s">
        <v>505</v>
      </c>
      <c r="CG511" t="s">
        <v>506</v>
      </c>
      <c r="CH511">
        <v>2020</v>
      </c>
    </row>
    <row r="512" spans="1:86" hidden="1" x14ac:dyDescent="0.25">
      <c r="A512">
        <v>330541</v>
      </c>
      <c r="B512" t="s">
        <v>86</v>
      </c>
      <c r="C512" t="s">
        <v>183</v>
      </c>
      <c r="D512" t="s">
        <v>115</v>
      </c>
      <c r="E512" t="s">
        <v>106</v>
      </c>
      <c r="F512">
        <v>98</v>
      </c>
      <c r="K512" t="s">
        <v>218</v>
      </c>
      <c r="L512" t="s">
        <v>89</v>
      </c>
      <c r="M512" t="s">
        <v>90</v>
      </c>
      <c r="V512" t="s">
        <v>507</v>
      </c>
      <c r="W512" t="s">
        <v>92</v>
      </c>
      <c r="X512" t="s">
        <v>93</v>
      </c>
      <c r="Y512">
        <v>5</v>
      </c>
      <c r="Z512" t="s">
        <v>94</v>
      </c>
      <c r="AB512" s="281">
        <v>2.3309720000000002E-3</v>
      </c>
      <c r="AG512" t="s">
        <v>95</v>
      </c>
      <c r="AX512" t="s">
        <v>108</v>
      </c>
      <c r="AY512" t="s">
        <v>160</v>
      </c>
      <c r="AZ512" t="s">
        <v>586</v>
      </c>
      <c r="BC512">
        <v>15</v>
      </c>
      <c r="BH512" t="s">
        <v>99</v>
      </c>
      <c r="BO512" t="s">
        <v>111</v>
      </c>
      <c r="CD512" t="s">
        <v>508</v>
      </c>
      <c r="CE512">
        <v>19633</v>
      </c>
      <c r="CF512" t="s">
        <v>509</v>
      </c>
      <c r="CG512" t="s">
        <v>510</v>
      </c>
      <c r="CH512">
        <v>1976</v>
      </c>
    </row>
    <row r="513" spans="1:86" hidden="1" x14ac:dyDescent="0.25">
      <c r="A513">
        <v>330541</v>
      </c>
      <c r="B513" t="s">
        <v>86</v>
      </c>
      <c r="C513" t="s">
        <v>183</v>
      </c>
      <c r="D513" t="s">
        <v>115</v>
      </c>
      <c r="E513" t="s">
        <v>106</v>
      </c>
      <c r="F513">
        <v>98</v>
      </c>
      <c r="K513" t="s">
        <v>218</v>
      </c>
      <c r="L513" t="s">
        <v>89</v>
      </c>
      <c r="M513" t="s">
        <v>90</v>
      </c>
      <c r="V513" t="s">
        <v>507</v>
      </c>
      <c r="W513" t="s">
        <v>92</v>
      </c>
      <c r="X513" t="s">
        <v>93</v>
      </c>
      <c r="Y513">
        <v>5</v>
      </c>
      <c r="Z513" t="s">
        <v>94</v>
      </c>
      <c r="AB513" s="281">
        <v>2.3309720000000002E-3</v>
      </c>
      <c r="AG513" t="s">
        <v>95</v>
      </c>
      <c r="AX513" t="s">
        <v>108</v>
      </c>
      <c r="AY513" t="s">
        <v>160</v>
      </c>
      <c r="AZ513" t="s">
        <v>586</v>
      </c>
      <c r="BC513">
        <v>18</v>
      </c>
      <c r="BH513" t="s">
        <v>99</v>
      </c>
      <c r="BO513" t="s">
        <v>111</v>
      </c>
      <c r="CD513" t="s">
        <v>508</v>
      </c>
      <c r="CE513">
        <v>19633</v>
      </c>
      <c r="CF513" t="s">
        <v>509</v>
      </c>
      <c r="CG513" t="s">
        <v>510</v>
      </c>
      <c r="CH513">
        <v>1976</v>
      </c>
    </row>
    <row r="514" spans="1:86" hidden="1" x14ac:dyDescent="0.25">
      <c r="A514">
        <v>330541</v>
      </c>
      <c r="B514" t="s">
        <v>86</v>
      </c>
      <c r="C514" t="s">
        <v>183</v>
      </c>
      <c r="D514" t="s">
        <v>115</v>
      </c>
      <c r="E514" t="s">
        <v>106</v>
      </c>
      <c r="F514">
        <v>98</v>
      </c>
      <c r="K514" t="s">
        <v>218</v>
      </c>
      <c r="L514" t="s">
        <v>89</v>
      </c>
      <c r="M514" t="s">
        <v>90</v>
      </c>
      <c r="V514" t="s">
        <v>507</v>
      </c>
      <c r="W514" t="s">
        <v>92</v>
      </c>
      <c r="X514" t="s">
        <v>93</v>
      </c>
      <c r="Y514">
        <v>5</v>
      </c>
      <c r="Z514" t="s">
        <v>94</v>
      </c>
      <c r="AB514" s="281">
        <v>2.3309720000000002E-3</v>
      </c>
      <c r="AG514" t="s">
        <v>95</v>
      </c>
      <c r="AX514" t="s">
        <v>108</v>
      </c>
      <c r="AY514" t="s">
        <v>160</v>
      </c>
      <c r="AZ514" t="s">
        <v>586</v>
      </c>
      <c r="BC514">
        <v>12</v>
      </c>
      <c r="BH514" t="s">
        <v>99</v>
      </c>
      <c r="BO514" t="s">
        <v>111</v>
      </c>
      <c r="CD514" t="s">
        <v>508</v>
      </c>
      <c r="CE514">
        <v>19633</v>
      </c>
      <c r="CF514" t="s">
        <v>509</v>
      </c>
      <c r="CG514" t="s">
        <v>510</v>
      </c>
      <c r="CH514">
        <v>1976</v>
      </c>
    </row>
    <row r="515" spans="1:86" hidden="1" x14ac:dyDescent="0.25">
      <c r="A515">
        <v>330541</v>
      </c>
      <c r="B515" t="s">
        <v>86</v>
      </c>
      <c r="C515" t="s">
        <v>183</v>
      </c>
      <c r="D515" t="s">
        <v>115</v>
      </c>
      <c r="E515" t="s">
        <v>106</v>
      </c>
      <c r="F515">
        <v>98</v>
      </c>
      <c r="K515" t="s">
        <v>218</v>
      </c>
      <c r="L515" t="s">
        <v>89</v>
      </c>
      <c r="M515" t="s">
        <v>90</v>
      </c>
      <c r="V515" t="s">
        <v>507</v>
      </c>
      <c r="W515" t="s">
        <v>92</v>
      </c>
      <c r="X515" t="s">
        <v>93</v>
      </c>
      <c r="Y515">
        <v>5</v>
      </c>
      <c r="Z515" t="s">
        <v>94</v>
      </c>
      <c r="AB515" s="281">
        <v>2.3309720000000002E-3</v>
      </c>
      <c r="AG515" t="s">
        <v>95</v>
      </c>
      <c r="AX515" t="s">
        <v>108</v>
      </c>
      <c r="AY515" t="s">
        <v>160</v>
      </c>
      <c r="AZ515" t="s">
        <v>586</v>
      </c>
      <c r="BC515">
        <v>9</v>
      </c>
      <c r="BH515" t="s">
        <v>99</v>
      </c>
      <c r="BO515" t="s">
        <v>111</v>
      </c>
      <c r="CD515" t="s">
        <v>508</v>
      </c>
      <c r="CE515">
        <v>19633</v>
      </c>
      <c r="CF515" t="s">
        <v>509</v>
      </c>
      <c r="CG515" t="s">
        <v>510</v>
      </c>
      <c r="CH515">
        <v>1976</v>
      </c>
    </row>
    <row r="516" spans="1:86" hidden="1" x14ac:dyDescent="0.25">
      <c r="A516">
        <v>330541</v>
      </c>
      <c r="B516" t="s">
        <v>86</v>
      </c>
      <c r="C516" t="s">
        <v>183</v>
      </c>
      <c r="D516" t="s">
        <v>115</v>
      </c>
      <c r="E516" t="s">
        <v>106</v>
      </c>
      <c r="F516">
        <v>98</v>
      </c>
      <c r="K516" t="s">
        <v>218</v>
      </c>
      <c r="L516" t="s">
        <v>89</v>
      </c>
      <c r="M516" t="s">
        <v>90</v>
      </c>
      <c r="V516" t="s">
        <v>507</v>
      </c>
      <c r="W516" t="s">
        <v>92</v>
      </c>
      <c r="X516" t="s">
        <v>93</v>
      </c>
      <c r="Y516">
        <v>5</v>
      </c>
      <c r="Z516" t="s">
        <v>94</v>
      </c>
      <c r="AB516" s="281">
        <v>2.3309720000000002E-3</v>
      </c>
      <c r="AG516" t="s">
        <v>95</v>
      </c>
      <c r="AX516" t="s">
        <v>108</v>
      </c>
      <c r="AY516" t="s">
        <v>160</v>
      </c>
      <c r="AZ516" t="s">
        <v>586</v>
      </c>
      <c r="BC516">
        <v>6</v>
      </c>
      <c r="BH516" t="s">
        <v>99</v>
      </c>
      <c r="BO516" t="s">
        <v>111</v>
      </c>
      <c r="CD516" t="s">
        <v>508</v>
      </c>
      <c r="CE516">
        <v>19633</v>
      </c>
      <c r="CF516" t="s">
        <v>509</v>
      </c>
      <c r="CG516" t="s">
        <v>510</v>
      </c>
      <c r="CH516">
        <v>1976</v>
      </c>
    </row>
    <row r="517" spans="1:86" hidden="1" x14ac:dyDescent="0.25">
      <c r="A517">
        <v>330541</v>
      </c>
      <c r="B517" t="s">
        <v>86</v>
      </c>
      <c r="C517" t="s">
        <v>183</v>
      </c>
      <c r="D517" t="s">
        <v>115</v>
      </c>
      <c r="E517" t="s">
        <v>106</v>
      </c>
      <c r="F517">
        <v>98</v>
      </c>
      <c r="K517" t="s">
        <v>218</v>
      </c>
      <c r="L517" t="s">
        <v>89</v>
      </c>
      <c r="M517" t="s">
        <v>90</v>
      </c>
      <c r="V517" t="s">
        <v>507</v>
      </c>
      <c r="W517" t="s">
        <v>92</v>
      </c>
      <c r="X517" t="s">
        <v>93</v>
      </c>
      <c r="Y517">
        <v>5</v>
      </c>
      <c r="Z517" t="s">
        <v>94</v>
      </c>
      <c r="AB517" s="281">
        <v>2.3309720000000002E-3</v>
      </c>
      <c r="AG517" t="s">
        <v>95</v>
      </c>
      <c r="AX517" t="s">
        <v>108</v>
      </c>
      <c r="AY517" t="s">
        <v>160</v>
      </c>
      <c r="AZ517" t="s">
        <v>586</v>
      </c>
      <c r="BC517">
        <v>3</v>
      </c>
      <c r="BH517" t="s">
        <v>99</v>
      </c>
      <c r="BO517" t="s">
        <v>111</v>
      </c>
      <c r="CD517" t="s">
        <v>508</v>
      </c>
      <c r="CE517">
        <v>19633</v>
      </c>
      <c r="CF517" t="s">
        <v>509</v>
      </c>
      <c r="CG517" t="s">
        <v>510</v>
      </c>
      <c r="CH517">
        <v>1976</v>
      </c>
    </row>
    <row r="518" spans="1:86" hidden="1" x14ac:dyDescent="0.25">
      <c r="A518">
        <v>330541</v>
      </c>
      <c r="B518" t="s">
        <v>86</v>
      </c>
      <c r="C518" t="s">
        <v>183</v>
      </c>
      <c r="D518" t="s">
        <v>115</v>
      </c>
      <c r="E518" t="s">
        <v>106</v>
      </c>
      <c r="F518">
        <v>98</v>
      </c>
      <c r="K518" t="s">
        <v>218</v>
      </c>
      <c r="L518" t="s">
        <v>89</v>
      </c>
      <c r="M518" t="s">
        <v>90</v>
      </c>
      <c r="V518" t="s">
        <v>507</v>
      </c>
      <c r="W518" t="s">
        <v>92</v>
      </c>
      <c r="X518" t="s">
        <v>93</v>
      </c>
      <c r="Y518">
        <v>5</v>
      </c>
      <c r="Z518" t="s">
        <v>94</v>
      </c>
      <c r="AB518" s="281">
        <v>2.3309720000000002E-3</v>
      </c>
      <c r="AG518" t="s">
        <v>95</v>
      </c>
      <c r="AX518" t="s">
        <v>108</v>
      </c>
      <c r="AY518" t="s">
        <v>160</v>
      </c>
      <c r="AZ518" t="s">
        <v>586</v>
      </c>
      <c r="BC518">
        <v>21</v>
      </c>
      <c r="BH518" t="s">
        <v>99</v>
      </c>
      <c r="BO518" t="s">
        <v>111</v>
      </c>
      <c r="CD518" t="s">
        <v>508</v>
      </c>
      <c r="CE518">
        <v>19633</v>
      </c>
      <c r="CF518" t="s">
        <v>509</v>
      </c>
      <c r="CG518" t="s">
        <v>510</v>
      </c>
      <c r="CH518">
        <v>1976</v>
      </c>
    </row>
    <row r="519" spans="1:86" hidden="1" x14ac:dyDescent="0.25">
      <c r="A519">
        <v>330541</v>
      </c>
      <c r="B519" t="s">
        <v>86</v>
      </c>
      <c r="C519" t="s">
        <v>104</v>
      </c>
      <c r="D519" t="s">
        <v>105</v>
      </c>
      <c r="E519" t="s">
        <v>106</v>
      </c>
      <c r="F519">
        <v>95</v>
      </c>
      <c r="K519" t="s">
        <v>90</v>
      </c>
      <c r="L519" t="s">
        <v>90</v>
      </c>
      <c r="M519" t="s">
        <v>90</v>
      </c>
      <c r="V519" t="s">
        <v>91</v>
      </c>
      <c r="W519" t="s">
        <v>107</v>
      </c>
      <c r="X519" t="s">
        <v>93</v>
      </c>
      <c r="Z519" t="s">
        <v>94</v>
      </c>
      <c r="AB519" s="281">
        <v>1.0722471200000001E-3</v>
      </c>
      <c r="AG519" t="s">
        <v>95</v>
      </c>
      <c r="AX519" t="s">
        <v>108</v>
      </c>
      <c r="AY519" t="s">
        <v>109</v>
      </c>
      <c r="AZ519" t="s">
        <v>586</v>
      </c>
      <c r="BC519">
        <v>3.1300000000000001E-2</v>
      </c>
      <c r="BH519" t="s">
        <v>99</v>
      </c>
      <c r="BO519" t="s">
        <v>111</v>
      </c>
      <c r="CD519" t="s">
        <v>112</v>
      </c>
      <c r="CE519">
        <v>180287</v>
      </c>
      <c r="CF519" t="s">
        <v>113</v>
      </c>
      <c r="CG519" t="s">
        <v>114</v>
      </c>
      <c r="CH519">
        <v>2004</v>
      </c>
    </row>
    <row r="520" spans="1:86" hidden="1" x14ac:dyDescent="0.25">
      <c r="A520">
        <v>330541</v>
      </c>
      <c r="B520" t="s">
        <v>86</v>
      </c>
      <c r="D520" t="s">
        <v>115</v>
      </c>
      <c r="K520" t="s">
        <v>295</v>
      </c>
      <c r="L520" t="s">
        <v>212</v>
      </c>
      <c r="M520" t="s">
        <v>90</v>
      </c>
      <c r="V520" t="s">
        <v>91</v>
      </c>
      <c r="W520" t="s">
        <v>107</v>
      </c>
      <c r="X520" t="s">
        <v>93</v>
      </c>
      <c r="Z520" t="s">
        <v>137</v>
      </c>
      <c r="AB520">
        <v>2E-3</v>
      </c>
      <c r="AG520" t="s">
        <v>95</v>
      </c>
      <c r="AX520" t="s">
        <v>108</v>
      </c>
      <c r="AY520" t="s">
        <v>160</v>
      </c>
      <c r="AZ520" t="s">
        <v>586</v>
      </c>
      <c r="BC520">
        <v>4</v>
      </c>
      <c r="BH520" t="s">
        <v>99</v>
      </c>
      <c r="BO520" t="s">
        <v>111</v>
      </c>
      <c r="CD520" t="s">
        <v>296</v>
      </c>
      <c r="CE520">
        <v>18453</v>
      </c>
      <c r="CF520" t="s">
        <v>297</v>
      </c>
      <c r="CG520" t="s">
        <v>298</v>
      </c>
      <c r="CH520">
        <v>1996</v>
      </c>
    </row>
    <row r="521" spans="1:86" hidden="1" x14ac:dyDescent="0.25">
      <c r="A521">
        <v>330541</v>
      </c>
      <c r="B521" t="s">
        <v>86</v>
      </c>
      <c r="D521" t="s">
        <v>115</v>
      </c>
      <c r="K521" t="s">
        <v>597</v>
      </c>
      <c r="L521" t="s">
        <v>89</v>
      </c>
      <c r="M521" t="s">
        <v>90</v>
      </c>
      <c r="V521" t="s">
        <v>91</v>
      </c>
      <c r="W521" t="s">
        <v>92</v>
      </c>
      <c r="X521" t="s">
        <v>93</v>
      </c>
      <c r="Y521">
        <v>2</v>
      </c>
      <c r="Z521" t="s">
        <v>137</v>
      </c>
      <c r="AB521">
        <v>0.2330972</v>
      </c>
      <c r="AG521" t="s">
        <v>95</v>
      </c>
      <c r="AX521" t="s">
        <v>108</v>
      </c>
      <c r="AY521" t="s">
        <v>174</v>
      </c>
      <c r="AZ521" t="s">
        <v>586</v>
      </c>
      <c r="BC521">
        <v>6.25E-2</v>
      </c>
      <c r="BH521" t="s">
        <v>99</v>
      </c>
      <c r="BO521" t="s">
        <v>111</v>
      </c>
      <c r="CD521" t="s">
        <v>598</v>
      </c>
      <c r="CE521">
        <v>68778</v>
      </c>
      <c r="CF521" t="s">
        <v>599</v>
      </c>
      <c r="CG521" t="s">
        <v>600</v>
      </c>
      <c r="CH521">
        <v>1985</v>
      </c>
    </row>
    <row r="522" spans="1:86" x14ac:dyDescent="0.25">
      <c r="A522">
        <v>330541</v>
      </c>
      <c r="B522" t="s">
        <v>86</v>
      </c>
      <c r="C522" t="s">
        <v>104</v>
      </c>
      <c r="D522" t="s">
        <v>115</v>
      </c>
      <c r="K522" t="s">
        <v>224</v>
      </c>
      <c r="L522" t="s">
        <v>89</v>
      </c>
      <c r="M522" t="s">
        <v>90</v>
      </c>
      <c r="R522">
        <v>14</v>
      </c>
      <c r="T522">
        <v>28</v>
      </c>
      <c r="U522" t="s">
        <v>99</v>
      </c>
      <c r="V522" t="s">
        <v>91</v>
      </c>
      <c r="W522" t="s">
        <v>92</v>
      </c>
      <c r="X522" t="s">
        <v>93</v>
      </c>
      <c r="Z522" t="s">
        <v>94</v>
      </c>
      <c r="AB522" s="281">
        <v>1E-4</v>
      </c>
      <c r="AG522" t="s">
        <v>95</v>
      </c>
      <c r="AX522" t="s">
        <v>108</v>
      </c>
      <c r="AY522" t="s">
        <v>109</v>
      </c>
      <c r="AZ522" t="s">
        <v>586</v>
      </c>
      <c r="BC522">
        <v>1.3899999999999999E-2</v>
      </c>
      <c r="BH522" t="s">
        <v>99</v>
      </c>
      <c r="BO522" t="s">
        <v>111</v>
      </c>
      <c r="CD522" t="s">
        <v>225</v>
      </c>
      <c r="CE522">
        <v>83755</v>
      </c>
      <c r="CF522" t="s">
        <v>226</v>
      </c>
      <c r="CG522" t="s">
        <v>227</v>
      </c>
      <c r="CH522">
        <v>2005</v>
      </c>
    </row>
    <row r="523" spans="1:86" hidden="1" x14ac:dyDescent="0.25">
      <c r="A523">
        <v>330541</v>
      </c>
      <c r="B523" t="s">
        <v>86</v>
      </c>
      <c r="D523" t="s">
        <v>115</v>
      </c>
      <c r="F523">
        <v>98</v>
      </c>
      <c r="K523" t="s">
        <v>391</v>
      </c>
      <c r="L523" t="s">
        <v>178</v>
      </c>
      <c r="M523" t="s">
        <v>90</v>
      </c>
      <c r="V523" t="s">
        <v>91</v>
      </c>
      <c r="W523" t="s">
        <v>107</v>
      </c>
      <c r="X523" t="s">
        <v>93</v>
      </c>
      <c r="Y523">
        <v>7</v>
      </c>
      <c r="Z523" t="s">
        <v>94</v>
      </c>
      <c r="AB523">
        <v>3.0000000000000001E-3</v>
      </c>
      <c r="AG523" t="s">
        <v>95</v>
      </c>
      <c r="AX523" t="s">
        <v>144</v>
      </c>
      <c r="AY523" t="s">
        <v>109</v>
      </c>
      <c r="AZ523" t="s">
        <v>586</v>
      </c>
      <c r="BA523" t="s">
        <v>179</v>
      </c>
      <c r="BC523">
        <v>1</v>
      </c>
      <c r="BH523" t="s">
        <v>99</v>
      </c>
      <c r="BO523" t="s">
        <v>111</v>
      </c>
      <c r="CD523" t="s">
        <v>392</v>
      </c>
      <c r="CE523">
        <v>153835</v>
      </c>
      <c r="CF523" t="s">
        <v>393</v>
      </c>
      <c r="CG523" t="s">
        <v>394</v>
      </c>
      <c r="CH523">
        <v>2011</v>
      </c>
    </row>
    <row r="524" spans="1:86" hidden="1" x14ac:dyDescent="0.25">
      <c r="A524">
        <v>330541</v>
      </c>
      <c r="B524" t="s">
        <v>86</v>
      </c>
      <c r="C524" t="s">
        <v>104</v>
      </c>
      <c r="D524" t="s">
        <v>115</v>
      </c>
      <c r="K524" t="s">
        <v>351</v>
      </c>
      <c r="L524" t="s">
        <v>352</v>
      </c>
      <c r="M524" t="s">
        <v>90</v>
      </c>
      <c r="R524">
        <v>14</v>
      </c>
      <c r="T524">
        <v>28</v>
      </c>
      <c r="U524" t="s">
        <v>99</v>
      </c>
      <c r="V524" t="s">
        <v>91</v>
      </c>
      <c r="W524" t="s">
        <v>92</v>
      </c>
      <c r="X524" t="s">
        <v>93</v>
      </c>
      <c r="Z524" t="s">
        <v>94</v>
      </c>
      <c r="AB524">
        <v>1E-4</v>
      </c>
      <c r="AG524" t="s">
        <v>95</v>
      </c>
      <c r="AX524" t="s">
        <v>108</v>
      </c>
      <c r="AY524" t="s">
        <v>109</v>
      </c>
      <c r="AZ524" t="s">
        <v>586</v>
      </c>
      <c r="BC524">
        <v>1.3899999999999999E-2</v>
      </c>
      <c r="BH524" t="s">
        <v>99</v>
      </c>
      <c r="BO524" t="s">
        <v>111</v>
      </c>
      <c r="CD524" t="s">
        <v>225</v>
      </c>
      <c r="CE524">
        <v>83755</v>
      </c>
      <c r="CF524" t="s">
        <v>226</v>
      </c>
      <c r="CG524" t="s">
        <v>227</v>
      </c>
      <c r="CH524">
        <v>2005</v>
      </c>
    </row>
    <row r="525" spans="1:86" hidden="1" x14ac:dyDescent="0.25">
      <c r="A525">
        <v>330541</v>
      </c>
      <c r="B525" t="s">
        <v>86</v>
      </c>
      <c r="D525" t="s">
        <v>115</v>
      </c>
      <c r="F525">
        <v>80</v>
      </c>
      <c r="K525" t="s">
        <v>442</v>
      </c>
      <c r="L525" t="s">
        <v>89</v>
      </c>
      <c r="M525" t="s">
        <v>90</v>
      </c>
      <c r="N525" t="s">
        <v>601</v>
      </c>
      <c r="V525" t="s">
        <v>91</v>
      </c>
      <c r="W525" t="s">
        <v>92</v>
      </c>
      <c r="X525" t="s">
        <v>93</v>
      </c>
      <c r="Y525">
        <v>4</v>
      </c>
      <c r="Z525" t="s">
        <v>94</v>
      </c>
      <c r="AB525">
        <v>18.647776</v>
      </c>
      <c r="AG525" t="s">
        <v>95</v>
      </c>
      <c r="AX525" t="s">
        <v>602</v>
      </c>
      <c r="AY525" t="s">
        <v>603</v>
      </c>
      <c r="AZ525" t="s">
        <v>586</v>
      </c>
      <c r="BC525">
        <v>3</v>
      </c>
      <c r="BH525" t="s">
        <v>99</v>
      </c>
      <c r="BO525" t="s">
        <v>111</v>
      </c>
      <c r="CD525" t="s">
        <v>443</v>
      </c>
      <c r="CE525">
        <v>61203</v>
      </c>
      <c r="CF525" t="s">
        <v>444</v>
      </c>
      <c r="CG525" t="s">
        <v>445</v>
      </c>
      <c r="CH525">
        <v>1983</v>
      </c>
    </row>
    <row r="526" spans="1:86" hidden="1" x14ac:dyDescent="0.25">
      <c r="A526">
        <v>330541</v>
      </c>
      <c r="B526" t="s">
        <v>86</v>
      </c>
      <c r="C526" t="s">
        <v>158</v>
      </c>
      <c r="D526" t="s">
        <v>115</v>
      </c>
      <c r="K526" t="s">
        <v>173</v>
      </c>
      <c r="L526" t="s">
        <v>117</v>
      </c>
      <c r="M526" t="s">
        <v>90</v>
      </c>
      <c r="N526" t="s">
        <v>118</v>
      </c>
      <c r="V526" t="s">
        <v>91</v>
      </c>
      <c r="W526" t="s">
        <v>107</v>
      </c>
      <c r="X526" t="s">
        <v>93</v>
      </c>
      <c r="Y526">
        <v>2</v>
      </c>
      <c r="Z526" t="s">
        <v>94</v>
      </c>
      <c r="AB526">
        <v>3.7295551999999999E-3</v>
      </c>
      <c r="AG526" t="s">
        <v>95</v>
      </c>
      <c r="AX526" t="s">
        <v>201</v>
      </c>
      <c r="AY526" t="s">
        <v>604</v>
      </c>
      <c r="AZ526" t="s">
        <v>586</v>
      </c>
      <c r="BA526" t="s">
        <v>497</v>
      </c>
      <c r="BC526">
        <v>3</v>
      </c>
      <c r="BH526" t="s">
        <v>99</v>
      </c>
      <c r="BO526" t="s">
        <v>111</v>
      </c>
      <c r="CD526" t="s">
        <v>161</v>
      </c>
      <c r="CE526">
        <v>112735</v>
      </c>
      <c r="CF526" t="s">
        <v>162</v>
      </c>
      <c r="CG526" t="s">
        <v>163</v>
      </c>
      <c r="CH526">
        <v>2008</v>
      </c>
    </row>
    <row r="527" spans="1:86" hidden="1" x14ac:dyDescent="0.25">
      <c r="A527">
        <v>330541</v>
      </c>
      <c r="B527" t="s">
        <v>86</v>
      </c>
      <c r="D527" t="s">
        <v>115</v>
      </c>
      <c r="F527">
        <v>98.4</v>
      </c>
      <c r="K527" t="s">
        <v>90</v>
      </c>
      <c r="L527" t="s">
        <v>90</v>
      </c>
      <c r="M527" t="s">
        <v>90</v>
      </c>
      <c r="V527" t="s">
        <v>91</v>
      </c>
      <c r="W527" t="s">
        <v>92</v>
      </c>
      <c r="X527" t="s">
        <v>93</v>
      </c>
      <c r="Y527">
        <v>5</v>
      </c>
      <c r="Z527" t="s">
        <v>94</v>
      </c>
      <c r="AB527">
        <v>1.25E-3</v>
      </c>
      <c r="AG527" t="s">
        <v>95</v>
      </c>
      <c r="AX527" t="s">
        <v>144</v>
      </c>
      <c r="AY527" t="s">
        <v>438</v>
      </c>
      <c r="AZ527" t="s">
        <v>586</v>
      </c>
      <c r="BA527" t="s">
        <v>179</v>
      </c>
      <c r="BC527">
        <v>0.125</v>
      </c>
      <c r="BH527" t="s">
        <v>99</v>
      </c>
      <c r="BO527" t="s">
        <v>111</v>
      </c>
      <c r="CD527" t="s">
        <v>518</v>
      </c>
      <c r="CE527">
        <v>120541</v>
      </c>
      <c r="CF527" t="s">
        <v>519</v>
      </c>
      <c r="CG527" t="s">
        <v>520</v>
      </c>
      <c r="CH527">
        <v>2010</v>
      </c>
    </row>
    <row r="528" spans="1:86" hidden="1" x14ac:dyDescent="0.25">
      <c r="A528">
        <v>330541</v>
      </c>
      <c r="B528" t="s">
        <v>86</v>
      </c>
      <c r="C528" t="s">
        <v>104</v>
      </c>
      <c r="D528" t="s">
        <v>87</v>
      </c>
      <c r="F528">
        <v>99</v>
      </c>
      <c r="K528" t="s">
        <v>346</v>
      </c>
      <c r="L528" t="s">
        <v>347</v>
      </c>
      <c r="M528" t="s">
        <v>90</v>
      </c>
      <c r="N528" t="s">
        <v>118</v>
      </c>
      <c r="V528" t="s">
        <v>91</v>
      </c>
      <c r="W528" t="s">
        <v>107</v>
      </c>
      <c r="X528" t="s">
        <v>93</v>
      </c>
      <c r="Y528">
        <v>6</v>
      </c>
      <c r="Z528" t="s">
        <v>94</v>
      </c>
      <c r="AB528">
        <v>5.4000000000000001E-4</v>
      </c>
      <c r="AG528" t="s">
        <v>95</v>
      </c>
      <c r="AX528" t="s">
        <v>108</v>
      </c>
      <c r="AY528" t="s">
        <v>150</v>
      </c>
      <c r="AZ528" t="s">
        <v>586</v>
      </c>
      <c r="BC528">
        <v>3</v>
      </c>
      <c r="BH528" t="s">
        <v>99</v>
      </c>
      <c r="BO528" t="s">
        <v>111</v>
      </c>
      <c r="CD528" t="s">
        <v>348</v>
      </c>
      <c r="CE528">
        <v>98904</v>
      </c>
      <c r="CF528" t="s">
        <v>349</v>
      </c>
      <c r="CG528" t="s">
        <v>350</v>
      </c>
      <c r="CH528">
        <v>2005</v>
      </c>
    </row>
    <row r="529" spans="1:86" hidden="1" x14ac:dyDescent="0.25">
      <c r="A529">
        <v>330541</v>
      </c>
      <c r="B529" t="s">
        <v>86</v>
      </c>
      <c r="D529" t="s">
        <v>115</v>
      </c>
      <c r="F529">
        <v>98</v>
      </c>
      <c r="K529" t="s">
        <v>391</v>
      </c>
      <c r="L529" t="s">
        <v>178</v>
      </c>
      <c r="M529" t="s">
        <v>90</v>
      </c>
      <c r="V529" t="s">
        <v>91</v>
      </c>
      <c r="W529" t="s">
        <v>107</v>
      </c>
      <c r="X529" t="s">
        <v>93</v>
      </c>
      <c r="Y529">
        <v>7</v>
      </c>
      <c r="Z529" t="s">
        <v>94</v>
      </c>
      <c r="AB529">
        <v>2.9999999999999997E-4</v>
      </c>
      <c r="AG529" t="s">
        <v>95</v>
      </c>
      <c r="AX529" t="s">
        <v>144</v>
      </c>
      <c r="AY529" t="s">
        <v>109</v>
      </c>
      <c r="AZ529" t="s">
        <v>586</v>
      </c>
      <c r="BA529" t="s">
        <v>179</v>
      </c>
      <c r="BC529">
        <v>1</v>
      </c>
      <c r="BH529" t="s">
        <v>99</v>
      </c>
      <c r="BO529" t="s">
        <v>111</v>
      </c>
      <c r="CD529" t="s">
        <v>392</v>
      </c>
      <c r="CE529">
        <v>153835</v>
      </c>
      <c r="CF529" t="s">
        <v>393</v>
      </c>
      <c r="CG529" t="s">
        <v>394</v>
      </c>
      <c r="CH529">
        <v>2011</v>
      </c>
    </row>
    <row r="530" spans="1:86" hidden="1" x14ac:dyDescent="0.25">
      <c r="A530">
        <v>330541</v>
      </c>
      <c r="B530" t="s">
        <v>86</v>
      </c>
      <c r="D530" t="s">
        <v>115</v>
      </c>
      <c r="F530">
        <v>98.4</v>
      </c>
      <c r="K530" t="s">
        <v>351</v>
      </c>
      <c r="L530" t="s">
        <v>352</v>
      </c>
      <c r="M530" t="s">
        <v>90</v>
      </c>
      <c r="V530" t="s">
        <v>491</v>
      </c>
      <c r="W530" t="s">
        <v>92</v>
      </c>
      <c r="X530" t="s">
        <v>492</v>
      </c>
      <c r="Y530">
        <v>2</v>
      </c>
      <c r="Z530" t="s">
        <v>94</v>
      </c>
      <c r="AB530">
        <v>5.0000000000000001E-3</v>
      </c>
      <c r="AG530" t="s">
        <v>95</v>
      </c>
      <c r="AX530" t="s">
        <v>108</v>
      </c>
      <c r="AY530" t="s">
        <v>150</v>
      </c>
      <c r="AZ530" t="s">
        <v>586</v>
      </c>
      <c r="BB530" t="s">
        <v>106</v>
      </c>
      <c r="BC530">
        <v>40</v>
      </c>
      <c r="BH530" t="s">
        <v>99</v>
      </c>
      <c r="BO530" t="s">
        <v>111</v>
      </c>
      <c r="CD530" t="s">
        <v>493</v>
      </c>
      <c r="CE530">
        <v>165274</v>
      </c>
      <c r="CF530" t="s">
        <v>494</v>
      </c>
      <c r="CG530" t="s">
        <v>495</v>
      </c>
      <c r="CH530">
        <v>2012</v>
      </c>
    </row>
    <row r="531" spans="1:86" hidden="1" x14ac:dyDescent="0.25">
      <c r="A531">
        <v>330541</v>
      </c>
      <c r="B531" t="s">
        <v>86</v>
      </c>
      <c r="C531" t="s">
        <v>104</v>
      </c>
      <c r="D531" t="s">
        <v>105</v>
      </c>
      <c r="E531" t="s">
        <v>106</v>
      </c>
      <c r="F531">
        <v>95</v>
      </c>
      <c r="K531" t="s">
        <v>90</v>
      </c>
      <c r="L531" t="s">
        <v>90</v>
      </c>
      <c r="M531" t="s">
        <v>90</v>
      </c>
      <c r="V531" t="s">
        <v>91</v>
      </c>
      <c r="W531" t="s">
        <v>107</v>
      </c>
      <c r="X531" t="s">
        <v>93</v>
      </c>
      <c r="Z531" t="s">
        <v>94</v>
      </c>
      <c r="AB531" s="281">
        <v>1.07224712E-2</v>
      </c>
      <c r="AG531" t="s">
        <v>95</v>
      </c>
      <c r="AX531" t="s">
        <v>108</v>
      </c>
      <c r="AY531" t="s">
        <v>109</v>
      </c>
      <c r="AZ531" t="s">
        <v>586</v>
      </c>
      <c r="BC531">
        <v>3.1300000000000001E-2</v>
      </c>
      <c r="BH531" t="s">
        <v>99</v>
      </c>
      <c r="BO531" t="s">
        <v>111</v>
      </c>
      <c r="CD531" t="s">
        <v>112</v>
      </c>
      <c r="CE531">
        <v>180287</v>
      </c>
      <c r="CF531" t="s">
        <v>113</v>
      </c>
      <c r="CG531" t="s">
        <v>114</v>
      </c>
      <c r="CH531">
        <v>2004</v>
      </c>
    </row>
    <row r="532" spans="1:86" hidden="1" x14ac:dyDescent="0.25">
      <c r="A532">
        <v>330541</v>
      </c>
      <c r="B532" t="s">
        <v>86</v>
      </c>
      <c r="D532" t="s">
        <v>115</v>
      </c>
      <c r="F532">
        <v>98.4</v>
      </c>
      <c r="K532" t="s">
        <v>90</v>
      </c>
      <c r="L532" t="s">
        <v>90</v>
      </c>
      <c r="M532" t="s">
        <v>90</v>
      </c>
      <c r="V532" t="s">
        <v>91</v>
      </c>
      <c r="W532" t="s">
        <v>92</v>
      </c>
      <c r="X532" t="s">
        <v>93</v>
      </c>
      <c r="Y532">
        <v>5</v>
      </c>
      <c r="Z532" t="s">
        <v>94</v>
      </c>
      <c r="AB532">
        <v>5.0000000000000001E-3</v>
      </c>
      <c r="AG532" t="s">
        <v>95</v>
      </c>
      <c r="AX532" t="s">
        <v>144</v>
      </c>
      <c r="AY532" t="s">
        <v>438</v>
      </c>
      <c r="AZ532" t="s">
        <v>586</v>
      </c>
      <c r="BA532" t="s">
        <v>179</v>
      </c>
      <c r="BC532">
        <v>0.125</v>
      </c>
      <c r="BH532" t="s">
        <v>99</v>
      </c>
      <c r="BO532" t="s">
        <v>111</v>
      </c>
      <c r="CD532" t="s">
        <v>518</v>
      </c>
      <c r="CE532">
        <v>120541</v>
      </c>
      <c r="CF532" t="s">
        <v>519</v>
      </c>
      <c r="CG532" t="s">
        <v>520</v>
      </c>
      <c r="CH532">
        <v>2010</v>
      </c>
    </row>
    <row r="533" spans="1:86" hidden="1" x14ac:dyDescent="0.25">
      <c r="A533">
        <v>330541</v>
      </c>
      <c r="B533" t="s">
        <v>86</v>
      </c>
      <c r="D533" t="s">
        <v>115</v>
      </c>
      <c r="K533" t="s">
        <v>295</v>
      </c>
      <c r="L533" t="s">
        <v>212</v>
      </c>
      <c r="M533" t="s">
        <v>90</v>
      </c>
      <c r="V533" t="s">
        <v>91</v>
      </c>
      <c r="W533" t="s">
        <v>107</v>
      </c>
      <c r="X533" t="s">
        <v>93</v>
      </c>
      <c r="Z533" t="s">
        <v>137</v>
      </c>
      <c r="AB533">
        <v>1.2999999999999999E-3</v>
      </c>
      <c r="AG533" t="s">
        <v>95</v>
      </c>
      <c r="AX533" t="s">
        <v>108</v>
      </c>
      <c r="AY533" t="s">
        <v>160</v>
      </c>
      <c r="AZ533" t="s">
        <v>586</v>
      </c>
      <c r="BC533">
        <v>4</v>
      </c>
      <c r="BH533" t="s">
        <v>99</v>
      </c>
      <c r="BO533" t="s">
        <v>111</v>
      </c>
      <c r="CD533" t="s">
        <v>296</v>
      </c>
      <c r="CE533">
        <v>18453</v>
      </c>
      <c r="CF533" t="s">
        <v>297</v>
      </c>
      <c r="CG533" t="s">
        <v>298</v>
      </c>
      <c r="CH533">
        <v>1996</v>
      </c>
    </row>
    <row r="534" spans="1:86" hidden="1" x14ac:dyDescent="0.25">
      <c r="A534">
        <v>330541</v>
      </c>
      <c r="B534" t="s">
        <v>86</v>
      </c>
      <c r="D534" t="s">
        <v>115</v>
      </c>
      <c r="F534">
        <v>98.4</v>
      </c>
      <c r="K534" t="s">
        <v>90</v>
      </c>
      <c r="L534" t="s">
        <v>90</v>
      </c>
      <c r="M534" t="s">
        <v>90</v>
      </c>
      <c r="V534" t="s">
        <v>91</v>
      </c>
      <c r="W534" t="s">
        <v>92</v>
      </c>
      <c r="X534" t="s">
        <v>93</v>
      </c>
      <c r="Y534">
        <v>5</v>
      </c>
      <c r="Z534" t="s">
        <v>94</v>
      </c>
      <c r="AB534">
        <v>1.25E-3</v>
      </c>
      <c r="AG534" t="s">
        <v>95</v>
      </c>
      <c r="AX534" t="s">
        <v>144</v>
      </c>
      <c r="AY534" t="s">
        <v>438</v>
      </c>
      <c r="AZ534" t="s">
        <v>586</v>
      </c>
      <c r="BA534" t="s">
        <v>179</v>
      </c>
      <c r="BC534">
        <v>0.125</v>
      </c>
      <c r="BH534" t="s">
        <v>99</v>
      </c>
      <c r="BO534" t="s">
        <v>111</v>
      </c>
      <c r="CD534" t="s">
        <v>518</v>
      </c>
      <c r="CE534">
        <v>120541</v>
      </c>
      <c r="CF534" t="s">
        <v>519</v>
      </c>
      <c r="CG534" t="s">
        <v>520</v>
      </c>
      <c r="CH534">
        <v>2010</v>
      </c>
    </row>
    <row r="535" spans="1:86" hidden="1" x14ac:dyDescent="0.25">
      <c r="A535">
        <v>330541</v>
      </c>
      <c r="B535" t="s">
        <v>86</v>
      </c>
      <c r="D535" t="s">
        <v>115</v>
      </c>
      <c r="K535" t="s">
        <v>180</v>
      </c>
      <c r="L535" t="s">
        <v>117</v>
      </c>
      <c r="M535" t="s">
        <v>90</v>
      </c>
      <c r="N535" t="s">
        <v>118</v>
      </c>
      <c r="V535" t="s">
        <v>91</v>
      </c>
      <c r="W535" t="s">
        <v>92</v>
      </c>
      <c r="X535" t="s">
        <v>93</v>
      </c>
      <c r="Y535">
        <v>2</v>
      </c>
      <c r="Z535" t="s">
        <v>137</v>
      </c>
      <c r="AB535">
        <v>5.0000000000000001E-3</v>
      </c>
      <c r="AG535" t="s">
        <v>95</v>
      </c>
      <c r="AX535" t="s">
        <v>523</v>
      </c>
      <c r="AY535" t="s">
        <v>523</v>
      </c>
      <c r="AZ535" t="s">
        <v>586</v>
      </c>
      <c r="BE535">
        <v>13</v>
      </c>
      <c r="BG535">
        <v>17</v>
      </c>
      <c r="BH535" t="s">
        <v>99</v>
      </c>
      <c r="BO535" t="s">
        <v>111</v>
      </c>
      <c r="CD535" t="s">
        <v>504</v>
      </c>
      <c r="CE535">
        <v>184288</v>
      </c>
      <c r="CF535" t="s">
        <v>505</v>
      </c>
      <c r="CG535" t="s">
        <v>506</v>
      </c>
      <c r="CH535">
        <v>2020</v>
      </c>
    </row>
    <row r="536" spans="1:86" hidden="1" x14ac:dyDescent="0.25">
      <c r="A536">
        <v>330541</v>
      </c>
      <c r="B536" t="s">
        <v>86</v>
      </c>
      <c r="C536" t="s">
        <v>104</v>
      </c>
      <c r="D536" t="s">
        <v>105</v>
      </c>
      <c r="E536" t="s">
        <v>106</v>
      </c>
      <c r="F536">
        <v>95</v>
      </c>
      <c r="K536" t="s">
        <v>90</v>
      </c>
      <c r="L536" t="s">
        <v>90</v>
      </c>
      <c r="M536" t="s">
        <v>90</v>
      </c>
      <c r="V536" t="s">
        <v>91</v>
      </c>
      <c r="W536" t="s">
        <v>107</v>
      </c>
      <c r="X536" t="s">
        <v>93</v>
      </c>
      <c r="Z536" t="s">
        <v>94</v>
      </c>
      <c r="AB536" s="281">
        <v>1.0722471200000001E-3</v>
      </c>
      <c r="AG536" t="s">
        <v>95</v>
      </c>
      <c r="AX536" t="s">
        <v>108</v>
      </c>
      <c r="AY536" t="s">
        <v>109</v>
      </c>
      <c r="AZ536" t="s">
        <v>586</v>
      </c>
      <c r="BC536">
        <v>3.1300000000000001E-2</v>
      </c>
      <c r="BH536" t="s">
        <v>99</v>
      </c>
      <c r="BO536" t="s">
        <v>111</v>
      </c>
      <c r="CD536" t="s">
        <v>112</v>
      </c>
      <c r="CE536">
        <v>180287</v>
      </c>
      <c r="CF536" t="s">
        <v>113</v>
      </c>
      <c r="CG536" t="s">
        <v>114</v>
      </c>
      <c r="CH536">
        <v>2004</v>
      </c>
    </row>
    <row r="537" spans="1:86" hidden="1" x14ac:dyDescent="0.25">
      <c r="A537">
        <v>330541</v>
      </c>
      <c r="B537" t="s">
        <v>86</v>
      </c>
      <c r="C537" t="s">
        <v>158</v>
      </c>
      <c r="D537" t="s">
        <v>115</v>
      </c>
      <c r="K537" t="s">
        <v>173</v>
      </c>
      <c r="L537" t="s">
        <v>117</v>
      </c>
      <c r="M537" t="s">
        <v>90</v>
      </c>
      <c r="N537" t="s">
        <v>118</v>
      </c>
      <c r="V537" t="s">
        <v>91</v>
      </c>
      <c r="W537" t="s">
        <v>107</v>
      </c>
      <c r="X537" t="s">
        <v>93</v>
      </c>
      <c r="Y537">
        <v>2</v>
      </c>
      <c r="Z537" t="s">
        <v>94</v>
      </c>
      <c r="AB537">
        <v>3.7295551999999999E-3</v>
      </c>
      <c r="AG537" t="s">
        <v>95</v>
      </c>
      <c r="AX537" t="s">
        <v>201</v>
      </c>
      <c r="AY537" t="s">
        <v>534</v>
      </c>
      <c r="AZ537" t="s">
        <v>586</v>
      </c>
      <c r="BA537" t="s">
        <v>497</v>
      </c>
      <c r="BC537">
        <v>3</v>
      </c>
      <c r="BH537" t="s">
        <v>99</v>
      </c>
      <c r="BO537" t="s">
        <v>111</v>
      </c>
      <c r="CD537" t="s">
        <v>161</v>
      </c>
      <c r="CE537">
        <v>112735</v>
      </c>
      <c r="CF537" t="s">
        <v>162</v>
      </c>
      <c r="CG537" t="s">
        <v>163</v>
      </c>
      <c r="CH537">
        <v>2008</v>
      </c>
    </row>
    <row r="538" spans="1:86" hidden="1" x14ac:dyDescent="0.25">
      <c r="A538">
        <v>330541</v>
      </c>
      <c r="B538" t="s">
        <v>86</v>
      </c>
      <c r="C538" t="s">
        <v>158</v>
      </c>
      <c r="D538" t="s">
        <v>115</v>
      </c>
      <c r="K538" t="s">
        <v>173</v>
      </c>
      <c r="L538" t="s">
        <v>117</v>
      </c>
      <c r="M538" t="s">
        <v>90</v>
      </c>
      <c r="N538" t="s">
        <v>118</v>
      </c>
      <c r="V538" t="s">
        <v>91</v>
      </c>
      <c r="W538" t="s">
        <v>107</v>
      </c>
      <c r="X538" t="s">
        <v>93</v>
      </c>
      <c r="Y538">
        <v>2</v>
      </c>
      <c r="Z538" t="s">
        <v>94</v>
      </c>
      <c r="AB538">
        <v>3.7295551999999999E-3</v>
      </c>
      <c r="AG538" t="s">
        <v>95</v>
      </c>
      <c r="AX538" t="s">
        <v>201</v>
      </c>
      <c r="AY538" t="s">
        <v>120</v>
      </c>
      <c r="AZ538" t="s">
        <v>586</v>
      </c>
      <c r="BA538" t="s">
        <v>497</v>
      </c>
      <c r="BC538">
        <v>3</v>
      </c>
      <c r="BH538" t="s">
        <v>99</v>
      </c>
      <c r="BO538" t="s">
        <v>111</v>
      </c>
      <c r="CD538" t="s">
        <v>161</v>
      </c>
      <c r="CE538">
        <v>112735</v>
      </c>
      <c r="CF538" t="s">
        <v>162</v>
      </c>
      <c r="CG538" t="s">
        <v>163</v>
      </c>
      <c r="CH538">
        <v>2008</v>
      </c>
    </row>
    <row r="539" spans="1:86" hidden="1" x14ac:dyDescent="0.25">
      <c r="A539">
        <v>330541</v>
      </c>
      <c r="B539" t="s">
        <v>86</v>
      </c>
      <c r="D539" t="s">
        <v>115</v>
      </c>
      <c r="E539" t="s">
        <v>106</v>
      </c>
      <c r="F539">
        <v>98</v>
      </c>
      <c r="K539" t="s">
        <v>177</v>
      </c>
      <c r="L539" t="s">
        <v>178</v>
      </c>
      <c r="M539" t="s">
        <v>90</v>
      </c>
      <c r="V539" t="s">
        <v>91</v>
      </c>
      <c r="W539" t="s">
        <v>107</v>
      </c>
      <c r="X539" t="s">
        <v>93</v>
      </c>
      <c r="Y539" t="s">
        <v>327</v>
      </c>
      <c r="Z539" t="s">
        <v>94</v>
      </c>
      <c r="AB539">
        <v>10</v>
      </c>
      <c r="AG539" t="s">
        <v>95</v>
      </c>
      <c r="AX539" t="s">
        <v>108</v>
      </c>
      <c r="AY539" t="s">
        <v>150</v>
      </c>
      <c r="AZ539" t="s">
        <v>586</v>
      </c>
      <c r="BC539">
        <v>1</v>
      </c>
      <c r="BH539" t="s">
        <v>99</v>
      </c>
      <c r="BO539" t="s">
        <v>111</v>
      </c>
      <c r="CD539" t="s">
        <v>328</v>
      </c>
      <c r="CE539">
        <v>110086</v>
      </c>
      <c r="CF539" t="s">
        <v>329</v>
      </c>
      <c r="CG539" t="s">
        <v>330</v>
      </c>
      <c r="CH539">
        <v>2008</v>
      </c>
    </row>
    <row r="540" spans="1:86" hidden="1" x14ac:dyDescent="0.25">
      <c r="A540">
        <v>330541</v>
      </c>
      <c r="B540" t="s">
        <v>86</v>
      </c>
      <c r="D540" t="s">
        <v>115</v>
      </c>
      <c r="K540" t="s">
        <v>270</v>
      </c>
      <c r="L540" t="s">
        <v>271</v>
      </c>
      <c r="M540" t="s">
        <v>90</v>
      </c>
      <c r="V540" t="s">
        <v>272</v>
      </c>
      <c r="W540" t="s">
        <v>107</v>
      </c>
      <c r="X540" t="s">
        <v>93</v>
      </c>
      <c r="Z540" t="s">
        <v>137</v>
      </c>
      <c r="AB540">
        <v>2.3309720000000002E-3</v>
      </c>
      <c r="AG540" t="s">
        <v>95</v>
      </c>
      <c r="AX540" t="s">
        <v>144</v>
      </c>
      <c r="AY540" t="s">
        <v>109</v>
      </c>
      <c r="AZ540" t="s">
        <v>586</v>
      </c>
      <c r="BC540">
        <v>0.13539999999999999</v>
      </c>
      <c r="BH540" t="s">
        <v>99</v>
      </c>
      <c r="BO540" t="s">
        <v>111</v>
      </c>
      <c r="CD540" t="s">
        <v>273</v>
      </c>
      <c r="CE540">
        <v>175899</v>
      </c>
      <c r="CF540" t="s">
        <v>274</v>
      </c>
      <c r="CG540" t="s">
        <v>275</v>
      </c>
      <c r="CH540">
        <v>2012</v>
      </c>
    </row>
    <row r="541" spans="1:86" hidden="1" x14ac:dyDescent="0.25">
      <c r="A541">
        <v>330541</v>
      </c>
      <c r="B541" t="s">
        <v>86</v>
      </c>
      <c r="C541" t="s">
        <v>104</v>
      </c>
      <c r="D541" t="s">
        <v>105</v>
      </c>
      <c r="E541" t="s">
        <v>106</v>
      </c>
      <c r="F541">
        <v>95</v>
      </c>
      <c r="K541" t="s">
        <v>90</v>
      </c>
      <c r="L541" t="s">
        <v>90</v>
      </c>
      <c r="M541" t="s">
        <v>90</v>
      </c>
      <c r="V541" t="s">
        <v>91</v>
      </c>
      <c r="W541" t="s">
        <v>107</v>
      </c>
      <c r="X541" t="s">
        <v>93</v>
      </c>
      <c r="Z541" t="s">
        <v>94</v>
      </c>
      <c r="AB541" s="281">
        <v>2.3309720000000002E-3</v>
      </c>
      <c r="AG541" t="s">
        <v>95</v>
      </c>
      <c r="AX541" t="s">
        <v>108</v>
      </c>
      <c r="AY541" t="s">
        <v>109</v>
      </c>
      <c r="AZ541" t="s">
        <v>586</v>
      </c>
      <c r="BC541">
        <v>3.1300000000000001E-2</v>
      </c>
      <c r="BH541" t="s">
        <v>99</v>
      </c>
      <c r="BO541" t="s">
        <v>111</v>
      </c>
      <c r="CD541" t="s">
        <v>112</v>
      </c>
      <c r="CE541">
        <v>180287</v>
      </c>
      <c r="CF541" t="s">
        <v>113</v>
      </c>
      <c r="CG541" t="s">
        <v>114</v>
      </c>
      <c r="CH541">
        <v>2004</v>
      </c>
    </row>
    <row r="542" spans="1:86" hidden="1" x14ac:dyDescent="0.25">
      <c r="A542">
        <v>330541</v>
      </c>
      <c r="B542" t="s">
        <v>86</v>
      </c>
      <c r="D542" t="s">
        <v>115</v>
      </c>
      <c r="E542" t="s">
        <v>106</v>
      </c>
      <c r="F542">
        <v>99</v>
      </c>
      <c r="K542" t="s">
        <v>316</v>
      </c>
      <c r="L542" t="s">
        <v>317</v>
      </c>
      <c r="M542" t="s">
        <v>90</v>
      </c>
      <c r="V542" t="s">
        <v>91</v>
      </c>
      <c r="W542" t="s">
        <v>92</v>
      </c>
      <c r="X542" t="s">
        <v>93</v>
      </c>
      <c r="Y542">
        <v>5</v>
      </c>
      <c r="Z542" t="s">
        <v>94</v>
      </c>
      <c r="AB542">
        <v>4.9999999999999998E-7</v>
      </c>
      <c r="AG542" t="s">
        <v>95</v>
      </c>
      <c r="AX542" t="s">
        <v>196</v>
      </c>
      <c r="AY542" t="s">
        <v>318</v>
      </c>
      <c r="AZ542" t="s">
        <v>586</v>
      </c>
      <c r="BC542">
        <v>14</v>
      </c>
      <c r="BH542" t="s">
        <v>99</v>
      </c>
      <c r="BO542" t="s">
        <v>111</v>
      </c>
      <c r="CD542" t="s">
        <v>319</v>
      </c>
      <c r="CE542">
        <v>102064</v>
      </c>
      <c r="CF542" t="s">
        <v>320</v>
      </c>
      <c r="CG542" t="s">
        <v>321</v>
      </c>
      <c r="CH542">
        <v>2006</v>
      </c>
    </row>
    <row r="543" spans="1:86" hidden="1" x14ac:dyDescent="0.25">
      <c r="A543">
        <v>330541</v>
      </c>
      <c r="B543" t="s">
        <v>86</v>
      </c>
      <c r="C543" t="s">
        <v>104</v>
      </c>
      <c r="D543" t="s">
        <v>105</v>
      </c>
      <c r="E543" t="s">
        <v>106</v>
      </c>
      <c r="F543">
        <v>95</v>
      </c>
      <c r="K543" t="s">
        <v>90</v>
      </c>
      <c r="L543" t="s">
        <v>90</v>
      </c>
      <c r="M543" t="s">
        <v>90</v>
      </c>
      <c r="V543" t="s">
        <v>91</v>
      </c>
      <c r="W543" t="s">
        <v>107</v>
      </c>
      <c r="X543" t="s">
        <v>93</v>
      </c>
      <c r="Z543" t="s">
        <v>94</v>
      </c>
      <c r="AB543" s="281">
        <v>1.0722471200000001E-3</v>
      </c>
      <c r="AG543" t="s">
        <v>95</v>
      </c>
      <c r="AX543" t="s">
        <v>108</v>
      </c>
      <c r="AY543" t="s">
        <v>109</v>
      </c>
      <c r="AZ543" t="s">
        <v>586</v>
      </c>
      <c r="BC543">
        <v>3.1300000000000001E-2</v>
      </c>
      <c r="BH543" t="s">
        <v>99</v>
      </c>
      <c r="BO543" t="s">
        <v>111</v>
      </c>
      <c r="CD543" t="s">
        <v>112</v>
      </c>
      <c r="CE543">
        <v>180287</v>
      </c>
      <c r="CF543" t="s">
        <v>113</v>
      </c>
      <c r="CG543" t="s">
        <v>114</v>
      </c>
      <c r="CH543">
        <v>2004</v>
      </c>
    </row>
    <row r="544" spans="1:86" hidden="1" x14ac:dyDescent="0.25">
      <c r="A544">
        <v>330541</v>
      </c>
      <c r="B544" t="s">
        <v>86</v>
      </c>
      <c r="D544" t="s">
        <v>115</v>
      </c>
      <c r="F544">
        <v>98.4</v>
      </c>
      <c r="K544" t="s">
        <v>90</v>
      </c>
      <c r="L544" t="s">
        <v>90</v>
      </c>
      <c r="M544" t="s">
        <v>90</v>
      </c>
      <c r="V544" t="s">
        <v>491</v>
      </c>
      <c r="W544" t="s">
        <v>92</v>
      </c>
      <c r="X544" t="s">
        <v>492</v>
      </c>
      <c r="Y544">
        <v>2</v>
      </c>
      <c r="Z544" t="s">
        <v>94</v>
      </c>
      <c r="AB544" s="281">
        <v>5.0000000000000001E-3</v>
      </c>
      <c r="AG544" t="s">
        <v>95</v>
      </c>
      <c r="AX544" t="s">
        <v>108</v>
      </c>
      <c r="AY544" t="s">
        <v>524</v>
      </c>
      <c r="AZ544" t="s">
        <v>586</v>
      </c>
      <c r="BB544" t="s">
        <v>106</v>
      </c>
      <c r="BC544">
        <v>19</v>
      </c>
      <c r="BH544" t="s">
        <v>99</v>
      </c>
      <c r="BO544" t="s">
        <v>111</v>
      </c>
      <c r="CD544" t="s">
        <v>493</v>
      </c>
      <c r="CE544">
        <v>165274</v>
      </c>
      <c r="CF544" t="s">
        <v>494</v>
      </c>
      <c r="CG544" t="s">
        <v>495</v>
      </c>
      <c r="CH544">
        <v>2012</v>
      </c>
    </row>
    <row r="545" spans="1:86" hidden="1" x14ac:dyDescent="0.25">
      <c r="A545">
        <v>330541</v>
      </c>
      <c r="B545" t="s">
        <v>86</v>
      </c>
      <c r="D545" t="s">
        <v>115</v>
      </c>
      <c r="F545">
        <v>98.4</v>
      </c>
      <c r="K545" t="s">
        <v>90</v>
      </c>
      <c r="L545" t="s">
        <v>90</v>
      </c>
      <c r="M545" t="s">
        <v>90</v>
      </c>
      <c r="V545" t="s">
        <v>491</v>
      </c>
      <c r="W545" t="s">
        <v>92</v>
      </c>
      <c r="X545" t="s">
        <v>492</v>
      </c>
      <c r="Y545">
        <v>2</v>
      </c>
      <c r="Z545" t="s">
        <v>94</v>
      </c>
      <c r="AB545" s="281">
        <v>5.0000000000000001E-3</v>
      </c>
      <c r="AG545" t="s">
        <v>95</v>
      </c>
      <c r="AX545" t="s">
        <v>108</v>
      </c>
      <c r="AY545" t="s">
        <v>525</v>
      </c>
      <c r="AZ545" t="s">
        <v>586</v>
      </c>
      <c r="BB545" t="s">
        <v>106</v>
      </c>
      <c r="BC545">
        <v>26</v>
      </c>
      <c r="BH545" t="s">
        <v>99</v>
      </c>
      <c r="BO545" t="s">
        <v>111</v>
      </c>
      <c r="CD545" t="s">
        <v>493</v>
      </c>
      <c r="CE545">
        <v>165274</v>
      </c>
      <c r="CF545" t="s">
        <v>494</v>
      </c>
      <c r="CG545" t="s">
        <v>495</v>
      </c>
      <c r="CH545">
        <v>2012</v>
      </c>
    </row>
    <row r="546" spans="1:86" hidden="1" x14ac:dyDescent="0.25">
      <c r="A546">
        <v>330541</v>
      </c>
      <c r="B546" t="s">
        <v>86</v>
      </c>
      <c r="D546" t="s">
        <v>115</v>
      </c>
      <c r="F546">
        <v>98.4</v>
      </c>
      <c r="K546" t="s">
        <v>90</v>
      </c>
      <c r="L546" t="s">
        <v>90</v>
      </c>
      <c r="M546" t="s">
        <v>90</v>
      </c>
      <c r="V546" t="s">
        <v>491</v>
      </c>
      <c r="W546" t="s">
        <v>92</v>
      </c>
      <c r="X546" t="s">
        <v>492</v>
      </c>
      <c r="Y546">
        <v>2</v>
      </c>
      <c r="Z546" t="s">
        <v>94</v>
      </c>
      <c r="AB546">
        <v>5.0000000000000001E-3</v>
      </c>
      <c r="AG546" t="s">
        <v>95</v>
      </c>
      <c r="AX546" t="s">
        <v>144</v>
      </c>
      <c r="AY546" t="s">
        <v>109</v>
      </c>
      <c r="AZ546" t="s">
        <v>586</v>
      </c>
      <c r="BC546">
        <v>173</v>
      </c>
      <c r="BH546" t="s">
        <v>99</v>
      </c>
      <c r="BO546" t="s">
        <v>111</v>
      </c>
      <c r="CD546" t="s">
        <v>493</v>
      </c>
      <c r="CE546">
        <v>165274</v>
      </c>
      <c r="CF546" t="s">
        <v>494</v>
      </c>
      <c r="CG546" t="s">
        <v>495</v>
      </c>
      <c r="CH546">
        <v>2012</v>
      </c>
    </row>
    <row r="547" spans="1:86" hidden="1" x14ac:dyDescent="0.25">
      <c r="A547">
        <v>330541</v>
      </c>
      <c r="B547" t="s">
        <v>86</v>
      </c>
      <c r="D547" t="s">
        <v>115</v>
      </c>
      <c r="F547">
        <v>98.4</v>
      </c>
      <c r="K547" t="s">
        <v>90</v>
      </c>
      <c r="L547" t="s">
        <v>90</v>
      </c>
      <c r="M547" t="s">
        <v>90</v>
      </c>
      <c r="V547" t="s">
        <v>491</v>
      </c>
      <c r="W547" t="s">
        <v>92</v>
      </c>
      <c r="X547" t="s">
        <v>492</v>
      </c>
      <c r="Y547">
        <v>2</v>
      </c>
      <c r="Z547" t="s">
        <v>94</v>
      </c>
      <c r="AB547">
        <v>5.0000000000000001E-3</v>
      </c>
      <c r="AG547" t="s">
        <v>95</v>
      </c>
      <c r="AX547" t="s">
        <v>144</v>
      </c>
      <c r="AY547" t="s">
        <v>109</v>
      </c>
      <c r="AZ547" t="s">
        <v>586</v>
      </c>
      <c r="BC547">
        <v>166</v>
      </c>
      <c r="BH547" t="s">
        <v>99</v>
      </c>
      <c r="BO547" t="s">
        <v>111</v>
      </c>
      <c r="CD547" t="s">
        <v>493</v>
      </c>
      <c r="CE547">
        <v>165274</v>
      </c>
      <c r="CF547" t="s">
        <v>494</v>
      </c>
      <c r="CG547" t="s">
        <v>495</v>
      </c>
      <c r="CH547">
        <v>2012</v>
      </c>
    </row>
    <row r="548" spans="1:86" hidden="1" x14ac:dyDescent="0.25">
      <c r="A548">
        <v>330541</v>
      </c>
      <c r="B548" t="s">
        <v>86</v>
      </c>
      <c r="D548" t="s">
        <v>115</v>
      </c>
      <c r="F548">
        <v>98.4</v>
      </c>
      <c r="K548" t="s">
        <v>90</v>
      </c>
      <c r="L548" t="s">
        <v>90</v>
      </c>
      <c r="M548" t="s">
        <v>90</v>
      </c>
      <c r="V548" t="s">
        <v>91</v>
      </c>
      <c r="W548" t="s">
        <v>92</v>
      </c>
      <c r="X548" t="s">
        <v>93</v>
      </c>
      <c r="Y548">
        <v>5</v>
      </c>
      <c r="Z548" t="s">
        <v>94</v>
      </c>
      <c r="AB548">
        <v>1.25E-3</v>
      </c>
      <c r="AG548" t="s">
        <v>95</v>
      </c>
      <c r="AX548" t="s">
        <v>144</v>
      </c>
      <c r="AY548" t="s">
        <v>438</v>
      </c>
      <c r="AZ548" t="s">
        <v>586</v>
      </c>
      <c r="BA548" t="s">
        <v>179</v>
      </c>
      <c r="BC548">
        <v>0.125</v>
      </c>
      <c r="BH548" t="s">
        <v>99</v>
      </c>
      <c r="BO548" t="s">
        <v>111</v>
      </c>
      <c r="CD548" t="s">
        <v>518</v>
      </c>
      <c r="CE548">
        <v>120541</v>
      </c>
      <c r="CF548" t="s">
        <v>519</v>
      </c>
      <c r="CG548" t="s">
        <v>520</v>
      </c>
      <c r="CH548">
        <v>2010</v>
      </c>
    </row>
    <row r="549" spans="1:86" hidden="1" x14ac:dyDescent="0.25">
      <c r="A549">
        <v>330541</v>
      </c>
      <c r="B549" t="s">
        <v>86</v>
      </c>
      <c r="D549" t="s">
        <v>115</v>
      </c>
      <c r="F549">
        <v>80</v>
      </c>
      <c r="K549" t="s">
        <v>442</v>
      </c>
      <c r="L549" t="s">
        <v>89</v>
      </c>
      <c r="M549" t="s">
        <v>90</v>
      </c>
      <c r="P549">
        <v>1</v>
      </c>
      <c r="U549" t="s">
        <v>219</v>
      </c>
      <c r="V549" t="s">
        <v>91</v>
      </c>
      <c r="W549" t="s">
        <v>92</v>
      </c>
      <c r="X549" t="s">
        <v>93</v>
      </c>
      <c r="Y549">
        <v>13</v>
      </c>
      <c r="Z549" t="s">
        <v>94</v>
      </c>
      <c r="AB549">
        <v>6.9929160000000001</v>
      </c>
      <c r="AG549" t="s">
        <v>95</v>
      </c>
      <c r="AX549" t="s">
        <v>523</v>
      </c>
      <c r="AY549" t="s">
        <v>523</v>
      </c>
      <c r="AZ549" t="s">
        <v>586</v>
      </c>
      <c r="BC549">
        <v>7</v>
      </c>
      <c r="BH549" t="s">
        <v>99</v>
      </c>
      <c r="BO549" t="s">
        <v>111</v>
      </c>
      <c r="CD549" t="s">
        <v>443</v>
      </c>
      <c r="CE549">
        <v>61203</v>
      </c>
      <c r="CF549" t="s">
        <v>444</v>
      </c>
      <c r="CG549" t="s">
        <v>445</v>
      </c>
      <c r="CH549">
        <v>1983</v>
      </c>
    </row>
    <row r="550" spans="1:86" hidden="1" x14ac:dyDescent="0.25">
      <c r="A550">
        <v>330541</v>
      </c>
      <c r="B550" t="s">
        <v>86</v>
      </c>
      <c r="D550" t="s">
        <v>115</v>
      </c>
      <c r="K550" t="s">
        <v>484</v>
      </c>
      <c r="L550" t="s">
        <v>143</v>
      </c>
      <c r="M550" t="s">
        <v>90</v>
      </c>
      <c r="N550" t="s">
        <v>118</v>
      </c>
      <c r="V550" t="s">
        <v>91</v>
      </c>
      <c r="W550" t="s">
        <v>92</v>
      </c>
      <c r="X550" t="s">
        <v>93</v>
      </c>
      <c r="Y550">
        <v>2</v>
      </c>
      <c r="Z550" t="s">
        <v>137</v>
      </c>
      <c r="AB550">
        <v>1.165486</v>
      </c>
      <c r="AG550" t="s">
        <v>95</v>
      </c>
      <c r="AX550" t="s">
        <v>201</v>
      </c>
      <c r="AY550" t="s">
        <v>605</v>
      </c>
      <c r="AZ550" t="s">
        <v>586</v>
      </c>
      <c r="BC550">
        <v>0.25</v>
      </c>
      <c r="BH550" t="s">
        <v>99</v>
      </c>
      <c r="BO550" t="s">
        <v>111</v>
      </c>
      <c r="CD550" t="s">
        <v>487</v>
      </c>
      <c r="CE550">
        <v>167045</v>
      </c>
      <c r="CF550" t="s">
        <v>488</v>
      </c>
      <c r="CG550" t="s">
        <v>489</v>
      </c>
      <c r="CH550">
        <v>2010</v>
      </c>
    </row>
    <row r="551" spans="1:86" hidden="1" x14ac:dyDescent="0.25">
      <c r="A551">
        <v>330541</v>
      </c>
      <c r="B551" t="s">
        <v>86</v>
      </c>
      <c r="D551" t="s">
        <v>115</v>
      </c>
      <c r="K551" t="s">
        <v>484</v>
      </c>
      <c r="L551" t="s">
        <v>143</v>
      </c>
      <c r="M551" t="s">
        <v>90</v>
      </c>
      <c r="N551" t="s">
        <v>118</v>
      </c>
      <c r="V551" t="s">
        <v>91</v>
      </c>
      <c r="W551" t="s">
        <v>92</v>
      </c>
      <c r="X551" t="s">
        <v>93</v>
      </c>
      <c r="Y551">
        <v>2</v>
      </c>
      <c r="Z551" t="s">
        <v>137</v>
      </c>
      <c r="AB551">
        <v>1.165486</v>
      </c>
      <c r="AG551" t="s">
        <v>95</v>
      </c>
      <c r="AX551" t="s">
        <v>282</v>
      </c>
      <c r="AY551" t="s">
        <v>593</v>
      </c>
      <c r="AZ551" t="s">
        <v>586</v>
      </c>
      <c r="BC551">
        <v>0.25</v>
      </c>
      <c r="BH551" t="s">
        <v>99</v>
      </c>
      <c r="BO551" t="s">
        <v>111</v>
      </c>
      <c r="CD551" t="s">
        <v>487</v>
      </c>
      <c r="CE551">
        <v>167045</v>
      </c>
      <c r="CF551" t="s">
        <v>488</v>
      </c>
      <c r="CG551" t="s">
        <v>489</v>
      </c>
      <c r="CH551">
        <v>2010</v>
      </c>
    </row>
    <row r="552" spans="1:86" hidden="1" x14ac:dyDescent="0.25">
      <c r="A552">
        <v>330541</v>
      </c>
      <c r="B552" t="s">
        <v>86</v>
      </c>
      <c r="D552" t="s">
        <v>115</v>
      </c>
      <c r="K552" t="s">
        <v>484</v>
      </c>
      <c r="L552" t="s">
        <v>143</v>
      </c>
      <c r="M552" t="s">
        <v>90</v>
      </c>
      <c r="N552" t="s">
        <v>118</v>
      </c>
      <c r="V552" t="s">
        <v>91</v>
      </c>
      <c r="W552" t="s">
        <v>92</v>
      </c>
      <c r="X552" t="s">
        <v>93</v>
      </c>
      <c r="Y552">
        <v>2</v>
      </c>
      <c r="Z552" t="s">
        <v>137</v>
      </c>
      <c r="AB552">
        <v>1.165486</v>
      </c>
      <c r="AG552" t="s">
        <v>95</v>
      </c>
      <c r="AX552" t="s">
        <v>282</v>
      </c>
      <c r="AY552" t="s">
        <v>606</v>
      </c>
      <c r="AZ552" t="s">
        <v>586</v>
      </c>
      <c r="BC552">
        <v>0.5</v>
      </c>
      <c r="BH552" t="s">
        <v>99</v>
      </c>
      <c r="BO552" t="s">
        <v>111</v>
      </c>
      <c r="CD552" t="s">
        <v>487</v>
      </c>
      <c r="CE552">
        <v>167045</v>
      </c>
      <c r="CF552" t="s">
        <v>488</v>
      </c>
      <c r="CG552" t="s">
        <v>489</v>
      </c>
      <c r="CH552">
        <v>2010</v>
      </c>
    </row>
    <row r="553" spans="1:86" hidden="1" x14ac:dyDescent="0.25">
      <c r="A553">
        <v>330541</v>
      </c>
      <c r="B553" t="s">
        <v>86</v>
      </c>
      <c r="D553" t="s">
        <v>115</v>
      </c>
      <c r="K553" t="s">
        <v>484</v>
      </c>
      <c r="L553" t="s">
        <v>143</v>
      </c>
      <c r="M553" t="s">
        <v>90</v>
      </c>
      <c r="N553" t="s">
        <v>118</v>
      </c>
      <c r="V553" t="s">
        <v>91</v>
      </c>
      <c r="W553" t="s">
        <v>92</v>
      </c>
      <c r="X553" t="s">
        <v>93</v>
      </c>
      <c r="Y553">
        <v>2</v>
      </c>
      <c r="Z553" t="s">
        <v>137</v>
      </c>
      <c r="AB553">
        <v>1.165486</v>
      </c>
      <c r="AG553" t="s">
        <v>95</v>
      </c>
      <c r="AX553" t="s">
        <v>282</v>
      </c>
      <c r="AY553" t="s">
        <v>607</v>
      </c>
      <c r="AZ553" t="s">
        <v>586</v>
      </c>
      <c r="BC553">
        <v>0.25</v>
      </c>
      <c r="BH553" t="s">
        <v>99</v>
      </c>
      <c r="BO553" t="s">
        <v>111</v>
      </c>
      <c r="CD553" t="s">
        <v>487</v>
      </c>
      <c r="CE553">
        <v>167045</v>
      </c>
      <c r="CF553" t="s">
        <v>488</v>
      </c>
      <c r="CG553" t="s">
        <v>489</v>
      </c>
      <c r="CH553">
        <v>2010</v>
      </c>
    </row>
    <row r="554" spans="1:86" hidden="1" x14ac:dyDescent="0.25">
      <c r="A554">
        <v>330541</v>
      </c>
      <c r="B554" t="s">
        <v>86</v>
      </c>
      <c r="D554" t="s">
        <v>115</v>
      </c>
      <c r="K554" t="s">
        <v>484</v>
      </c>
      <c r="L554" t="s">
        <v>143</v>
      </c>
      <c r="M554" t="s">
        <v>90</v>
      </c>
      <c r="N554" t="s">
        <v>118</v>
      </c>
      <c r="V554" t="s">
        <v>91</v>
      </c>
      <c r="W554" t="s">
        <v>92</v>
      </c>
      <c r="X554" t="s">
        <v>93</v>
      </c>
      <c r="Y554">
        <v>2</v>
      </c>
      <c r="Z554" t="s">
        <v>137</v>
      </c>
      <c r="AB554">
        <v>1.165486</v>
      </c>
      <c r="AG554" t="s">
        <v>95</v>
      </c>
      <c r="AX554" t="s">
        <v>282</v>
      </c>
      <c r="AY554" t="s">
        <v>607</v>
      </c>
      <c r="AZ554" t="s">
        <v>586</v>
      </c>
      <c r="BC554">
        <v>1</v>
      </c>
      <c r="BH554" t="s">
        <v>99</v>
      </c>
      <c r="BO554" t="s">
        <v>111</v>
      </c>
      <c r="CD554" t="s">
        <v>487</v>
      </c>
      <c r="CE554">
        <v>167045</v>
      </c>
      <c r="CF554" t="s">
        <v>488</v>
      </c>
      <c r="CG554" t="s">
        <v>489</v>
      </c>
      <c r="CH554">
        <v>2010</v>
      </c>
    </row>
    <row r="555" spans="1:86" hidden="1" x14ac:dyDescent="0.25">
      <c r="A555">
        <v>330541</v>
      </c>
      <c r="B555" t="s">
        <v>86</v>
      </c>
      <c r="D555" t="s">
        <v>115</v>
      </c>
      <c r="K555" t="s">
        <v>484</v>
      </c>
      <c r="L555" t="s">
        <v>143</v>
      </c>
      <c r="M555" t="s">
        <v>90</v>
      </c>
      <c r="N555" t="s">
        <v>118</v>
      </c>
      <c r="V555" t="s">
        <v>91</v>
      </c>
      <c r="W555" t="s">
        <v>92</v>
      </c>
      <c r="X555" t="s">
        <v>93</v>
      </c>
      <c r="Y555">
        <v>2</v>
      </c>
      <c r="Z555" t="s">
        <v>137</v>
      </c>
      <c r="AB555">
        <v>1.165486</v>
      </c>
      <c r="AG555" t="s">
        <v>95</v>
      </c>
      <c r="AX555" t="s">
        <v>282</v>
      </c>
      <c r="AY555" t="s">
        <v>606</v>
      </c>
      <c r="AZ555" t="s">
        <v>586</v>
      </c>
      <c r="BC555">
        <v>0.25</v>
      </c>
      <c r="BH555" t="s">
        <v>99</v>
      </c>
      <c r="BO555" t="s">
        <v>111</v>
      </c>
      <c r="CD555" t="s">
        <v>487</v>
      </c>
      <c r="CE555">
        <v>167045</v>
      </c>
      <c r="CF555" t="s">
        <v>488</v>
      </c>
      <c r="CG555" t="s">
        <v>489</v>
      </c>
      <c r="CH555">
        <v>2010</v>
      </c>
    </row>
    <row r="556" spans="1:86" hidden="1" x14ac:dyDescent="0.25">
      <c r="A556">
        <v>330541</v>
      </c>
      <c r="B556" t="s">
        <v>86</v>
      </c>
      <c r="D556" t="s">
        <v>115</v>
      </c>
      <c r="K556" t="s">
        <v>484</v>
      </c>
      <c r="L556" t="s">
        <v>143</v>
      </c>
      <c r="M556" t="s">
        <v>90</v>
      </c>
      <c r="N556" t="s">
        <v>118</v>
      </c>
      <c r="V556" t="s">
        <v>91</v>
      </c>
      <c r="W556" t="s">
        <v>92</v>
      </c>
      <c r="X556" t="s">
        <v>93</v>
      </c>
      <c r="Y556">
        <v>2</v>
      </c>
      <c r="Z556" t="s">
        <v>137</v>
      </c>
      <c r="AB556">
        <v>1.165486</v>
      </c>
      <c r="AG556" t="s">
        <v>95</v>
      </c>
      <c r="AX556" t="s">
        <v>201</v>
      </c>
      <c r="AY556" t="s">
        <v>605</v>
      </c>
      <c r="AZ556" t="s">
        <v>586</v>
      </c>
      <c r="BC556">
        <v>1</v>
      </c>
      <c r="BH556" t="s">
        <v>99</v>
      </c>
      <c r="BO556" t="s">
        <v>111</v>
      </c>
      <c r="CD556" t="s">
        <v>487</v>
      </c>
      <c r="CE556">
        <v>167045</v>
      </c>
      <c r="CF556" t="s">
        <v>488</v>
      </c>
      <c r="CG556" t="s">
        <v>489</v>
      </c>
      <c r="CH556">
        <v>2010</v>
      </c>
    </row>
    <row r="557" spans="1:86" hidden="1" x14ac:dyDescent="0.25">
      <c r="A557">
        <v>330541</v>
      </c>
      <c r="B557" t="s">
        <v>86</v>
      </c>
      <c r="D557" t="s">
        <v>115</v>
      </c>
      <c r="K557" t="s">
        <v>180</v>
      </c>
      <c r="L557" t="s">
        <v>117</v>
      </c>
      <c r="M557" t="s">
        <v>90</v>
      </c>
      <c r="N557" t="s">
        <v>118</v>
      </c>
      <c r="V557" t="s">
        <v>91</v>
      </c>
      <c r="W557" t="s">
        <v>92</v>
      </c>
      <c r="X557" t="s">
        <v>93</v>
      </c>
      <c r="Y557">
        <v>2</v>
      </c>
      <c r="Z557" t="s">
        <v>137</v>
      </c>
      <c r="AB557">
        <v>5.0000000000000001E-3</v>
      </c>
      <c r="AG557" t="s">
        <v>95</v>
      </c>
      <c r="AX557" t="s">
        <v>108</v>
      </c>
      <c r="AY557" t="s">
        <v>160</v>
      </c>
      <c r="AZ557" t="s">
        <v>586</v>
      </c>
      <c r="BC557">
        <v>14</v>
      </c>
      <c r="BH557" t="s">
        <v>99</v>
      </c>
      <c r="BO557" t="s">
        <v>111</v>
      </c>
      <c r="CD557" t="s">
        <v>504</v>
      </c>
      <c r="CE557">
        <v>184288</v>
      </c>
      <c r="CF557" t="s">
        <v>505</v>
      </c>
      <c r="CG557" t="s">
        <v>506</v>
      </c>
      <c r="CH557">
        <v>2020</v>
      </c>
    </row>
    <row r="558" spans="1:86" hidden="1" x14ac:dyDescent="0.25">
      <c r="A558">
        <v>330541</v>
      </c>
      <c r="B558" t="s">
        <v>86</v>
      </c>
      <c r="D558" t="s">
        <v>115</v>
      </c>
      <c r="K558" t="s">
        <v>180</v>
      </c>
      <c r="L558" t="s">
        <v>117</v>
      </c>
      <c r="M558" t="s">
        <v>90</v>
      </c>
      <c r="N558" t="s">
        <v>118</v>
      </c>
      <c r="V558" t="s">
        <v>91</v>
      </c>
      <c r="W558" t="s">
        <v>92</v>
      </c>
      <c r="X558" t="s">
        <v>93</v>
      </c>
      <c r="Y558">
        <v>2</v>
      </c>
      <c r="Z558" t="s">
        <v>137</v>
      </c>
      <c r="AB558">
        <v>5.0000000000000001E-3</v>
      </c>
      <c r="AG558" t="s">
        <v>95</v>
      </c>
      <c r="AX558" t="s">
        <v>108</v>
      </c>
      <c r="AY558" t="s">
        <v>160</v>
      </c>
      <c r="AZ558" t="s">
        <v>586</v>
      </c>
      <c r="BC558">
        <v>14</v>
      </c>
      <c r="BH558" t="s">
        <v>99</v>
      </c>
      <c r="BO558" t="s">
        <v>111</v>
      </c>
      <c r="CD558" t="s">
        <v>504</v>
      </c>
      <c r="CE558">
        <v>184288</v>
      </c>
      <c r="CF558" t="s">
        <v>505</v>
      </c>
      <c r="CG558" t="s">
        <v>506</v>
      </c>
      <c r="CH558">
        <v>2020</v>
      </c>
    </row>
    <row r="559" spans="1:86" hidden="1" x14ac:dyDescent="0.25">
      <c r="A559">
        <v>330541</v>
      </c>
      <c r="B559" t="s">
        <v>86</v>
      </c>
      <c r="D559" t="s">
        <v>115</v>
      </c>
      <c r="K559" t="s">
        <v>180</v>
      </c>
      <c r="L559" t="s">
        <v>117</v>
      </c>
      <c r="M559" t="s">
        <v>90</v>
      </c>
      <c r="N559" t="s">
        <v>118</v>
      </c>
      <c r="V559" t="s">
        <v>91</v>
      </c>
      <c r="W559" t="s">
        <v>92</v>
      </c>
      <c r="X559" t="s">
        <v>93</v>
      </c>
      <c r="Y559">
        <v>2</v>
      </c>
      <c r="Z559" t="s">
        <v>137</v>
      </c>
      <c r="AB559">
        <v>5.0000000000000001E-3</v>
      </c>
      <c r="AG559" t="s">
        <v>95</v>
      </c>
      <c r="AX559" t="s">
        <v>523</v>
      </c>
      <c r="AY559" t="s">
        <v>523</v>
      </c>
      <c r="AZ559" t="s">
        <v>586</v>
      </c>
      <c r="BC559">
        <v>14</v>
      </c>
      <c r="BH559" t="s">
        <v>99</v>
      </c>
      <c r="BO559" t="s">
        <v>111</v>
      </c>
      <c r="CD559" t="s">
        <v>504</v>
      </c>
      <c r="CE559">
        <v>184288</v>
      </c>
      <c r="CF559" t="s">
        <v>505</v>
      </c>
      <c r="CG559" t="s">
        <v>506</v>
      </c>
      <c r="CH559">
        <v>2020</v>
      </c>
    </row>
    <row r="560" spans="1:86" hidden="1" x14ac:dyDescent="0.25">
      <c r="A560">
        <v>330541</v>
      </c>
      <c r="B560" t="s">
        <v>86</v>
      </c>
      <c r="D560" t="s">
        <v>115</v>
      </c>
      <c r="K560" t="s">
        <v>180</v>
      </c>
      <c r="L560" t="s">
        <v>117</v>
      </c>
      <c r="M560" t="s">
        <v>90</v>
      </c>
      <c r="N560" t="s">
        <v>118</v>
      </c>
      <c r="V560" t="s">
        <v>91</v>
      </c>
      <c r="W560" t="s">
        <v>92</v>
      </c>
      <c r="X560" t="s">
        <v>93</v>
      </c>
      <c r="Y560">
        <v>2</v>
      </c>
      <c r="Z560" t="s">
        <v>137</v>
      </c>
      <c r="AB560">
        <v>5.0000000000000001E-3</v>
      </c>
      <c r="AG560" t="s">
        <v>95</v>
      </c>
      <c r="AX560" t="s">
        <v>108</v>
      </c>
      <c r="AY560" t="s">
        <v>150</v>
      </c>
      <c r="AZ560" t="s">
        <v>586</v>
      </c>
      <c r="BC560">
        <v>14</v>
      </c>
      <c r="BH560" t="s">
        <v>99</v>
      </c>
      <c r="BO560" t="s">
        <v>111</v>
      </c>
      <c r="CD560" t="s">
        <v>504</v>
      </c>
      <c r="CE560">
        <v>184288</v>
      </c>
      <c r="CF560" t="s">
        <v>505</v>
      </c>
      <c r="CG560" t="s">
        <v>506</v>
      </c>
      <c r="CH560">
        <v>2020</v>
      </c>
    </row>
    <row r="561" spans="1:86" hidden="1" x14ac:dyDescent="0.25">
      <c r="A561">
        <v>330541</v>
      </c>
      <c r="B561" t="s">
        <v>86</v>
      </c>
      <c r="D561" t="s">
        <v>115</v>
      </c>
      <c r="F561">
        <v>98.4</v>
      </c>
      <c r="K561" t="s">
        <v>90</v>
      </c>
      <c r="L561" t="s">
        <v>90</v>
      </c>
      <c r="M561" t="s">
        <v>90</v>
      </c>
      <c r="V561" t="s">
        <v>491</v>
      </c>
      <c r="W561" t="s">
        <v>92</v>
      </c>
      <c r="X561" t="s">
        <v>492</v>
      </c>
      <c r="Y561">
        <v>2</v>
      </c>
      <c r="Z561" t="s">
        <v>94</v>
      </c>
      <c r="AB561" s="281">
        <v>5.0000000000000001E-3</v>
      </c>
      <c r="AG561" t="s">
        <v>95</v>
      </c>
      <c r="AX561" t="s">
        <v>108</v>
      </c>
      <c r="AY561" t="s">
        <v>150</v>
      </c>
      <c r="AZ561" t="s">
        <v>586</v>
      </c>
      <c r="BB561" t="s">
        <v>106</v>
      </c>
      <c r="BC561">
        <v>40</v>
      </c>
      <c r="BH561" t="s">
        <v>99</v>
      </c>
      <c r="BO561" t="s">
        <v>111</v>
      </c>
      <c r="CD561" t="s">
        <v>493</v>
      </c>
      <c r="CE561">
        <v>165274</v>
      </c>
      <c r="CF561" t="s">
        <v>494</v>
      </c>
      <c r="CG561" t="s">
        <v>495</v>
      </c>
      <c r="CH561">
        <v>2012</v>
      </c>
    </row>
    <row r="562" spans="1:86" hidden="1" x14ac:dyDescent="0.25">
      <c r="A562">
        <v>330541</v>
      </c>
      <c r="B562" t="s">
        <v>86</v>
      </c>
      <c r="D562" t="s">
        <v>115</v>
      </c>
      <c r="K562" t="s">
        <v>90</v>
      </c>
      <c r="L562" t="s">
        <v>90</v>
      </c>
      <c r="M562" t="s">
        <v>90</v>
      </c>
      <c r="V562" t="s">
        <v>91</v>
      </c>
      <c r="W562" t="s">
        <v>107</v>
      </c>
      <c r="X562" t="s">
        <v>93</v>
      </c>
      <c r="Y562">
        <v>6</v>
      </c>
      <c r="Z562" t="s">
        <v>137</v>
      </c>
      <c r="AA562" t="s">
        <v>234</v>
      </c>
      <c r="AB562">
        <v>2.9999999999999997E-4</v>
      </c>
      <c r="AG562" t="s">
        <v>95</v>
      </c>
      <c r="AX562" t="s">
        <v>201</v>
      </c>
      <c r="AY562" t="s">
        <v>202</v>
      </c>
      <c r="AZ562" t="s">
        <v>586</v>
      </c>
      <c r="BC562">
        <v>0.41670000000000001</v>
      </c>
      <c r="BH562" t="s">
        <v>99</v>
      </c>
      <c r="BO562" t="s">
        <v>111</v>
      </c>
      <c r="CD562" t="s">
        <v>204</v>
      </c>
      <c r="CE562">
        <v>75334</v>
      </c>
      <c r="CF562" t="s">
        <v>205</v>
      </c>
      <c r="CG562" t="s">
        <v>206</v>
      </c>
      <c r="CH562">
        <v>2003</v>
      </c>
    </row>
    <row r="563" spans="1:86" hidden="1" x14ac:dyDescent="0.25">
      <c r="A563">
        <v>330541</v>
      </c>
      <c r="B563" t="s">
        <v>86</v>
      </c>
      <c r="C563" t="s">
        <v>104</v>
      </c>
      <c r="D563" t="s">
        <v>115</v>
      </c>
      <c r="K563" t="s">
        <v>310</v>
      </c>
      <c r="L563" t="s">
        <v>280</v>
      </c>
      <c r="M563" t="s">
        <v>90</v>
      </c>
      <c r="R563">
        <v>14</v>
      </c>
      <c r="T563">
        <v>28</v>
      </c>
      <c r="U563" t="s">
        <v>99</v>
      </c>
      <c r="V563" t="s">
        <v>91</v>
      </c>
      <c r="W563" t="s">
        <v>92</v>
      </c>
      <c r="X563" t="s">
        <v>93</v>
      </c>
      <c r="Z563" t="s">
        <v>94</v>
      </c>
      <c r="AB563" s="281">
        <v>1E-4</v>
      </c>
      <c r="AG563" t="s">
        <v>95</v>
      </c>
      <c r="AX563" t="s">
        <v>108</v>
      </c>
      <c r="AY563" t="s">
        <v>109</v>
      </c>
      <c r="AZ563" t="s">
        <v>586</v>
      </c>
      <c r="BC563">
        <v>1.3899999999999999E-2</v>
      </c>
      <c r="BH563" t="s">
        <v>99</v>
      </c>
      <c r="BO563" t="s">
        <v>111</v>
      </c>
      <c r="CD563" t="s">
        <v>225</v>
      </c>
      <c r="CE563">
        <v>83755</v>
      </c>
      <c r="CF563" t="s">
        <v>226</v>
      </c>
      <c r="CG563" t="s">
        <v>227</v>
      </c>
      <c r="CH563">
        <v>2005</v>
      </c>
    </row>
    <row r="564" spans="1:86" hidden="1" x14ac:dyDescent="0.25">
      <c r="A564">
        <v>330541</v>
      </c>
      <c r="B564" t="s">
        <v>86</v>
      </c>
      <c r="D564" t="s">
        <v>115</v>
      </c>
      <c r="K564" t="s">
        <v>484</v>
      </c>
      <c r="L564" t="s">
        <v>143</v>
      </c>
      <c r="M564" t="s">
        <v>90</v>
      </c>
      <c r="N564" t="s">
        <v>118</v>
      </c>
      <c r="V564" t="s">
        <v>91</v>
      </c>
      <c r="W564" t="s">
        <v>92</v>
      </c>
      <c r="X564" t="s">
        <v>93</v>
      </c>
      <c r="Y564">
        <v>2</v>
      </c>
      <c r="Z564" t="s">
        <v>137</v>
      </c>
      <c r="AB564">
        <v>1.165486</v>
      </c>
      <c r="AG564" t="s">
        <v>95</v>
      </c>
      <c r="AX564" t="s">
        <v>282</v>
      </c>
      <c r="AY564" t="s">
        <v>606</v>
      </c>
      <c r="AZ564" t="s">
        <v>586</v>
      </c>
      <c r="BC564">
        <v>1</v>
      </c>
      <c r="BH564" t="s">
        <v>99</v>
      </c>
      <c r="BO564" t="s">
        <v>111</v>
      </c>
      <c r="CD564" t="s">
        <v>487</v>
      </c>
      <c r="CE564">
        <v>167045</v>
      </c>
      <c r="CF564" t="s">
        <v>488</v>
      </c>
      <c r="CG564" t="s">
        <v>489</v>
      </c>
      <c r="CH564">
        <v>2010</v>
      </c>
    </row>
    <row r="565" spans="1:86" hidden="1" x14ac:dyDescent="0.25">
      <c r="A565">
        <v>330541</v>
      </c>
      <c r="B565" t="s">
        <v>86</v>
      </c>
      <c r="D565" t="s">
        <v>115</v>
      </c>
      <c r="K565" t="s">
        <v>484</v>
      </c>
      <c r="L565" t="s">
        <v>143</v>
      </c>
      <c r="M565" t="s">
        <v>90</v>
      </c>
      <c r="N565" t="s">
        <v>118</v>
      </c>
      <c r="V565" t="s">
        <v>91</v>
      </c>
      <c r="W565" t="s">
        <v>92</v>
      </c>
      <c r="X565" t="s">
        <v>93</v>
      </c>
      <c r="Y565">
        <v>2</v>
      </c>
      <c r="Z565" t="s">
        <v>137</v>
      </c>
      <c r="AB565">
        <v>1.165486</v>
      </c>
      <c r="AG565" t="s">
        <v>95</v>
      </c>
      <c r="AX565" t="s">
        <v>282</v>
      </c>
      <c r="AY565" t="s">
        <v>607</v>
      </c>
      <c r="AZ565" t="s">
        <v>586</v>
      </c>
      <c r="BC565">
        <v>0.5</v>
      </c>
      <c r="BH565" t="s">
        <v>99</v>
      </c>
      <c r="BO565" t="s">
        <v>111</v>
      </c>
      <c r="CD565" t="s">
        <v>487</v>
      </c>
      <c r="CE565">
        <v>167045</v>
      </c>
      <c r="CF565" t="s">
        <v>488</v>
      </c>
      <c r="CG565" t="s">
        <v>489</v>
      </c>
      <c r="CH565">
        <v>2010</v>
      </c>
    </row>
    <row r="566" spans="1:86" hidden="1" x14ac:dyDescent="0.25">
      <c r="A566">
        <v>330541</v>
      </c>
      <c r="B566" t="s">
        <v>86</v>
      </c>
      <c r="D566" t="s">
        <v>115</v>
      </c>
      <c r="K566" t="s">
        <v>484</v>
      </c>
      <c r="L566" t="s">
        <v>143</v>
      </c>
      <c r="M566" t="s">
        <v>90</v>
      </c>
      <c r="N566" t="s">
        <v>118</v>
      </c>
      <c r="V566" t="s">
        <v>91</v>
      </c>
      <c r="W566" t="s">
        <v>92</v>
      </c>
      <c r="X566" t="s">
        <v>93</v>
      </c>
      <c r="Y566">
        <v>2</v>
      </c>
      <c r="Z566" t="s">
        <v>137</v>
      </c>
      <c r="AB566">
        <v>1.165486</v>
      </c>
      <c r="AG566" t="s">
        <v>95</v>
      </c>
      <c r="AX566" t="s">
        <v>201</v>
      </c>
      <c r="AY566" t="s">
        <v>605</v>
      </c>
      <c r="AZ566" t="s">
        <v>586</v>
      </c>
      <c r="BC566">
        <v>0.5</v>
      </c>
      <c r="BH566" t="s">
        <v>99</v>
      </c>
      <c r="BO566" t="s">
        <v>111</v>
      </c>
      <c r="CD566" t="s">
        <v>487</v>
      </c>
      <c r="CE566">
        <v>167045</v>
      </c>
      <c r="CF566" t="s">
        <v>488</v>
      </c>
      <c r="CG566" t="s">
        <v>489</v>
      </c>
      <c r="CH566">
        <v>2010</v>
      </c>
    </row>
    <row r="567" spans="1:86" hidden="1" x14ac:dyDescent="0.25">
      <c r="A567">
        <v>330541</v>
      </c>
      <c r="B567" t="s">
        <v>86</v>
      </c>
      <c r="D567" t="s">
        <v>115</v>
      </c>
      <c r="K567" t="s">
        <v>484</v>
      </c>
      <c r="L567" t="s">
        <v>143</v>
      </c>
      <c r="M567" t="s">
        <v>90</v>
      </c>
      <c r="N567" t="s">
        <v>118</v>
      </c>
      <c r="V567" t="s">
        <v>91</v>
      </c>
      <c r="W567" t="s">
        <v>92</v>
      </c>
      <c r="X567" t="s">
        <v>93</v>
      </c>
      <c r="Y567">
        <v>2</v>
      </c>
      <c r="Z567" t="s">
        <v>137</v>
      </c>
      <c r="AB567">
        <v>1.165486</v>
      </c>
      <c r="AG567" t="s">
        <v>95</v>
      </c>
      <c r="AX567" t="s">
        <v>282</v>
      </c>
      <c r="AY567" t="s">
        <v>593</v>
      </c>
      <c r="AZ567" t="s">
        <v>586</v>
      </c>
      <c r="BC567">
        <v>1</v>
      </c>
      <c r="BH567" t="s">
        <v>99</v>
      </c>
      <c r="BO567" t="s">
        <v>111</v>
      </c>
      <c r="CD567" t="s">
        <v>487</v>
      </c>
      <c r="CE567">
        <v>167045</v>
      </c>
      <c r="CF567" t="s">
        <v>488</v>
      </c>
      <c r="CG567" t="s">
        <v>489</v>
      </c>
      <c r="CH567">
        <v>2010</v>
      </c>
    </row>
    <row r="568" spans="1:86" hidden="1" x14ac:dyDescent="0.25">
      <c r="A568">
        <v>330541</v>
      </c>
      <c r="B568" t="s">
        <v>86</v>
      </c>
      <c r="D568" t="s">
        <v>115</v>
      </c>
      <c r="K568" t="s">
        <v>484</v>
      </c>
      <c r="L568" t="s">
        <v>143</v>
      </c>
      <c r="M568" t="s">
        <v>90</v>
      </c>
      <c r="N568" t="s">
        <v>118</v>
      </c>
      <c r="V568" t="s">
        <v>91</v>
      </c>
      <c r="W568" t="s">
        <v>92</v>
      </c>
      <c r="X568" t="s">
        <v>93</v>
      </c>
      <c r="Y568">
        <v>2</v>
      </c>
      <c r="Z568" t="s">
        <v>137</v>
      </c>
      <c r="AB568">
        <v>1.165486</v>
      </c>
      <c r="AG568" t="s">
        <v>95</v>
      </c>
      <c r="AX568" t="s">
        <v>282</v>
      </c>
      <c r="AY568" t="s">
        <v>593</v>
      </c>
      <c r="AZ568" t="s">
        <v>586</v>
      </c>
      <c r="BC568">
        <v>0.5</v>
      </c>
      <c r="BH568" t="s">
        <v>99</v>
      </c>
      <c r="BO568" t="s">
        <v>111</v>
      </c>
      <c r="CD568" t="s">
        <v>487</v>
      </c>
      <c r="CE568">
        <v>167045</v>
      </c>
      <c r="CF568" t="s">
        <v>488</v>
      </c>
      <c r="CG568" t="s">
        <v>489</v>
      </c>
      <c r="CH568">
        <v>2010</v>
      </c>
    </row>
    <row r="569" spans="1:86" hidden="1" x14ac:dyDescent="0.25">
      <c r="A569">
        <v>330541</v>
      </c>
      <c r="B569" t="s">
        <v>86</v>
      </c>
      <c r="D569" t="s">
        <v>115</v>
      </c>
      <c r="K569" t="s">
        <v>142</v>
      </c>
      <c r="L569" t="s">
        <v>143</v>
      </c>
      <c r="M569" t="s">
        <v>90</v>
      </c>
      <c r="N569" t="s">
        <v>118</v>
      </c>
      <c r="V569" t="s">
        <v>91</v>
      </c>
      <c r="W569" t="s">
        <v>92</v>
      </c>
      <c r="X569" t="s">
        <v>93</v>
      </c>
      <c r="Z569" t="s">
        <v>137</v>
      </c>
      <c r="AB569">
        <v>2.330972</v>
      </c>
      <c r="AG569" t="s">
        <v>95</v>
      </c>
      <c r="AX569" t="s">
        <v>201</v>
      </c>
      <c r="AY569" t="s">
        <v>608</v>
      </c>
      <c r="AZ569" t="s">
        <v>609</v>
      </c>
      <c r="BC569">
        <v>8.3299999999999999E-2</v>
      </c>
      <c r="BH569" t="s">
        <v>99</v>
      </c>
      <c r="BO569" t="s">
        <v>111</v>
      </c>
      <c r="CD569" t="s">
        <v>610</v>
      </c>
      <c r="CE569">
        <v>173082</v>
      </c>
      <c r="CF569" t="s">
        <v>611</v>
      </c>
      <c r="CG569" t="s">
        <v>612</v>
      </c>
      <c r="CH569">
        <v>2012</v>
      </c>
    </row>
    <row r="570" spans="1:86" hidden="1" x14ac:dyDescent="0.25">
      <c r="A570">
        <v>330541</v>
      </c>
      <c r="B570" t="s">
        <v>86</v>
      </c>
      <c r="C570" t="s">
        <v>560</v>
      </c>
      <c r="D570" t="s">
        <v>87</v>
      </c>
      <c r="F570">
        <v>98</v>
      </c>
      <c r="K570" t="s">
        <v>391</v>
      </c>
      <c r="L570" t="s">
        <v>178</v>
      </c>
      <c r="M570" t="s">
        <v>90</v>
      </c>
      <c r="V570" t="s">
        <v>561</v>
      </c>
      <c r="W570" t="s">
        <v>107</v>
      </c>
      <c r="X570" t="s">
        <v>559</v>
      </c>
      <c r="Y570">
        <v>3</v>
      </c>
      <c r="Z570" t="s">
        <v>94</v>
      </c>
      <c r="AB570">
        <v>8.8000000000000005E-3</v>
      </c>
      <c r="AG570" t="s">
        <v>95</v>
      </c>
      <c r="AX570" t="s">
        <v>108</v>
      </c>
      <c r="AY570" t="s">
        <v>150</v>
      </c>
      <c r="AZ570" t="s">
        <v>609</v>
      </c>
      <c r="BC570">
        <v>53</v>
      </c>
      <c r="BH570" t="s">
        <v>99</v>
      </c>
      <c r="BO570" t="s">
        <v>111</v>
      </c>
      <c r="CD570" t="s">
        <v>562</v>
      </c>
      <c r="CE570">
        <v>102076</v>
      </c>
      <c r="CF570" t="s">
        <v>563</v>
      </c>
      <c r="CG570" t="s">
        <v>564</v>
      </c>
      <c r="CH570">
        <v>2007</v>
      </c>
    </row>
    <row r="571" spans="1:86" hidden="1" x14ac:dyDescent="0.25">
      <c r="A571">
        <v>330541</v>
      </c>
      <c r="B571" t="s">
        <v>86</v>
      </c>
      <c r="D571" t="s">
        <v>87</v>
      </c>
      <c r="K571" t="s">
        <v>581</v>
      </c>
      <c r="L571" t="s">
        <v>212</v>
      </c>
      <c r="M571" t="s">
        <v>90</v>
      </c>
      <c r="V571" t="s">
        <v>91</v>
      </c>
      <c r="W571" t="s">
        <v>107</v>
      </c>
      <c r="Y571">
        <v>5</v>
      </c>
      <c r="Z571" t="s">
        <v>94</v>
      </c>
      <c r="AB571">
        <v>4.9199999999999999E-3</v>
      </c>
      <c r="AG571" t="s">
        <v>95</v>
      </c>
      <c r="AX571" t="s">
        <v>144</v>
      </c>
      <c r="AY571" t="s">
        <v>109</v>
      </c>
      <c r="AZ571" t="s">
        <v>609</v>
      </c>
      <c r="BC571">
        <v>4.375</v>
      </c>
      <c r="BH571" t="s">
        <v>99</v>
      </c>
      <c r="BO571" t="s">
        <v>111</v>
      </c>
      <c r="CD571" t="s">
        <v>582</v>
      </c>
      <c r="CE571">
        <v>87345</v>
      </c>
      <c r="CF571" t="s">
        <v>583</v>
      </c>
      <c r="CG571" t="s">
        <v>584</v>
      </c>
      <c r="CH571">
        <v>2005</v>
      </c>
    </row>
    <row r="572" spans="1:86" hidden="1" x14ac:dyDescent="0.25">
      <c r="A572">
        <v>330541</v>
      </c>
      <c r="B572" t="s">
        <v>86</v>
      </c>
      <c r="C572" t="s">
        <v>104</v>
      </c>
      <c r="D572" t="s">
        <v>105</v>
      </c>
      <c r="E572" t="s">
        <v>149</v>
      </c>
      <c r="F572">
        <v>99</v>
      </c>
      <c r="K572" t="s">
        <v>130</v>
      </c>
      <c r="L572" t="s">
        <v>117</v>
      </c>
      <c r="M572" t="s">
        <v>90</v>
      </c>
      <c r="V572" t="s">
        <v>91</v>
      </c>
      <c r="W572" t="s">
        <v>92</v>
      </c>
      <c r="X572" t="s">
        <v>93</v>
      </c>
      <c r="Y572">
        <v>5</v>
      </c>
      <c r="Z572" t="s">
        <v>94</v>
      </c>
      <c r="AB572">
        <v>0.5</v>
      </c>
      <c r="AG572" t="s">
        <v>95</v>
      </c>
      <c r="AX572" t="s">
        <v>108</v>
      </c>
      <c r="AY572" t="s">
        <v>150</v>
      </c>
      <c r="AZ572" t="s">
        <v>609</v>
      </c>
      <c r="BC572">
        <v>2</v>
      </c>
      <c r="BH572" t="s">
        <v>99</v>
      </c>
      <c r="BO572" t="s">
        <v>111</v>
      </c>
      <c r="CD572" t="s">
        <v>151</v>
      </c>
      <c r="CE572">
        <v>174505</v>
      </c>
      <c r="CF572" t="s">
        <v>152</v>
      </c>
      <c r="CG572" t="s">
        <v>153</v>
      </c>
      <c r="CH572">
        <v>2016</v>
      </c>
    </row>
    <row r="573" spans="1:86" hidden="1" x14ac:dyDescent="0.25">
      <c r="A573">
        <v>330541</v>
      </c>
      <c r="B573" t="s">
        <v>86</v>
      </c>
      <c r="C573" t="s">
        <v>104</v>
      </c>
      <c r="D573" t="s">
        <v>105</v>
      </c>
      <c r="E573" t="s">
        <v>149</v>
      </c>
      <c r="F573">
        <v>99</v>
      </c>
      <c r="K573" t="s">
        <v>180</v>
      </c>
      <c r="L573" t="s">
        <v>117</v>
      </c>
      <c r="M573" t="s">
        <v>90</v>
      </c>
      <c r="V573" t="s">
        <v>91</v>
      </c>
      <c r="W573" t="s">
        <v>92</v>
      </c>
      <c r="X573" t="s">
        <v>93</v>
      </c>
      <c r="Y573">
        <v>5</v>
      </c>
      <c r="Z573" t="s">
        <v>94</v>
      </c>
      <c r="AB573">
        <v>0.05</v>
      </c>
      <c r="AG573" t="s">
        <v>95</v>
      </c>
      <c r="AX573" t="s">
        <v>108</v>
      </c>
      <c r="AY573" t="s">
        <v>150</v>
      </c>
      <c r="AZ573" t="s">
        <v>609</v>
      </c>
      <c r="BC573">
        <v>2</v>
      </c>
      <c r="BH573" t="s">
        <v>99</v>
      </c>
      <c r="BO573" t="s">
        <v>111</v>
      </c>
      <c r="CD573" t="s">
        <v>151</v>
      </c>
      <c r="CE573">
        <v>174505</v>
      </c>
      <c r="CF573" t="s">
        <v>152</v>
      </c>
      <c r="CG573" t="s">
        <v>153</v>
      </c>
      <c r="CH573">
        <v>2016</v>
      </c>
    </row>
    <row r="574" spans="1:86" hidden="1" x14ac:dyDescent="0.25">
      <c r="A574">
        <v>330541</v>
      </c>
      <c r="B574" t="s">
        <v>86</v>
      </c>
      <c r="C574" t="s">
        <v>104</v>
      </c>
      <c r="D574" t="s">
        <v>105</v>
      </c>
      <c r="E574" t="s">
        <v>149</v>
      </c>
      <c r="F574">
        <v>99</v>
      </c>
      <c r="K574" t="s">
        <v>181</v>
      </c>
      <c r="L574" t="s">
        <v>117</v>
      </c>
      <c r="M574" t="s">
        <v>90</v>
      </c>
      <c r="V574" t="s">
        <v>91</v>
      </c>
      <c r="W574" t="s">
        <v>92</v>
      </c>
      <c r="X574" t="s">
        <v>93</v>
      </c>
      <c r="Y574">
        <v>5</v>
      </c>
      <c r="Z574" t="s">
        <v>94</v>
      </c>
      <c r="AB574">
        <v>0.2</v>
      </c>
      <c r="AG574" t="s">
        <v>95</v>
      </c>
      <c r="AX574" t="s">
        <v>108</v>
      </c>
      <c r="AY574" t="s">
        <v>150</v>
      </c>
      <c r="AZ574" t="s">
        <v>609</v>
      </c>
      <c r="BC574">
        <v>2</v>
      </c>
      <c r="BH574" t="s">
        <v>99</v>
      </c>
      <c r="BO574" t="s">
        <v>111</v>
      </c>
      <c r="CD574" t="s">
        <v>151</v>
      </c>
      <c r="CE574">
        <v>174505</v>
      </c>
      <c r="CF574" t="s">
        <v>152</v>
      </c>
      <c r="CG574" t="s">
        <v>153</v>
      </c>
      <c r="CH574">
        <v>2016</v>
      </c>
    </row>
    <row r="575" spans="1:86" hidden="1" x14ac:dyDescent="0.25">
      <c r="A575">
        <v>330541</v>
      </c>
      <c r="B575" t="s">
        <v>86</v>
      </c>
      <c r="D575" t="s">
        <v>115</v>
      </c>
      <c r="K575" t="s">
        <v>142</v>
      </c>
      <c r="L575" t="s">
        <v>143</v>
      </c>
      <c r="M575" t="s">
        <v>90</v>
      </c>
      <c r="N575" t="s">
        <v>118</v>
      </c>
      <c r="V575" t="s">
        <v>91</v>
      </c>
      <c r="W575" t="s">
        <v>92</v>
      </c>
      <c r="X575" t="s">
        <v>93</v>
      </c>
      <c r="Z575" t="s">
        <v>137</v>
      </c>
      <c r="AB575">
        <v>2.330972</v>
      </c>
      <c r="AG575" t="s">
        <v>95</v>
      </c>
      <c r="AX575" t="s">
        <v>108</v>
      </c>
      <c r="AY575" t="s">
        <v>120</v>
      </c>
      <c r="AZ575" t="s">
        <v>609</v>
      </c>
      <c r="BC575">
        <v>8.3299999999999999E-2</v>
      </c>
      <c r="BH575" t="s">
        <v>99</v>
      </c>
      <c r="BO575" t="s">
        <v>111</v>
      </c>
      <c r="CD575" t="s">
        <v>610</v>
      </c>
      <c r="CE575">
        <v>173082</v>
      </c>
      <c r="CF575" t="s">
        <v>611</v>
      </c>
      <c r="CG575" t="s">
        <v>612</v>
      </c>
      <c r="CH575">
        <v>2012</v>
      </c>
    </row>
    <row r="576" spans="1:86" hidden="1" x14ac:dyDescent="0.25">
      <c r="A576">
        <v>330541</v>
      </c>
      <c r="B576" t="s">
        <v>86</v>
      </c>
      <c r="C576" t="s">
        <v>104</v>
      </c>
      <c r="D576" t="s">
        <v>105</v>
      </c>
      <c r="E576" t="s">
        <v>149</v>
      </c>
      <c r="F576">
        <v>99</v>
      </c>
      <c r="K576" t="s">
        <v>613</v>
      </c>
      <c r="L576" t="s">
        <v>614</v>
      </c>
      <c r="M576" t="s">
        <v>90</v>
      </c>
      <c r="V576" t="s">
        <v>91</v>
      </c>
      <c r="W576" t="s">
        <v>92</v>
      </c>
      <c r="X576" t="s">
        <v>93</v>
      </c>
      <c r="Y576">
        <v>5</v>
      </c>
      <c r="Z576" t="s">
        <v>94</v>
      </c>
      <c r="AB576">
        <v>0.5</v>
      </c>
      <c r="AG576" t="s">
        <v>95</v>
      </c>
      <c r="AX576" t="s">
        <v>108</v>
      </c>
      <c r="AY576" t="s">
        <v>150</v>
      </c>
      <c r="AZ576" t="s">
        <v>609</v>
      </c>
      <c r="BC576">
        <v>2</v>
      </c>
      <c r="BH576" t="s">
        <v>99</v>
      </c>
      <c r="BO576" t="s">
        <v>111</v>
      </c>
      <c r="CD576" t="s">
        <v>151</v>
      </c>
      <c r="CE576">
        <v>174505</v>
      </c>
      <c r="CF576" t="s">
        <v>152</v>
      </c>
      <c r="CG576" t="s">
        <v>153</v>
      </c>
      <c r="CH576">
        <v>2016</v>
      </c>
    </row>
    <row r="577" spans="1:86" hidden="1" x14ac:dyDescent="0.25">
      <c r="A577">
        <v>330541</v>
      </c>
      <c r="B577" t="s">
        <v>86</v>
      </c>
      <c r="D577" t="s">
        <v>115</v>
      </c>
      <c r="K577" t="s">
        <v>142</v>
      </c>
      <c r="L577" t="s">
        <v>143</v>
      </c>
      <c r="M577" t="s">
        <v>90</v>
      </c>
      <c r="N577" t="s">
        <v>118</v>
      </c>
      <c r="V577" t="s">
        <v>91</v>
      </c>
      <c r="W577" t="s">
        <v>92</v>
      </c>
      <c r="X577" t="s">
        <v>93</v>
      </c>
      <c r="Z577" t="s">
        <v>137</v>
      </c>
      <c r="AB577">
        <v>2.330972</v>
      </c>
      <c r="AG577" t="s">
        <v>95</v>
      </c>
      <c r="AX577" t="s">
        <v>108</v>
      </c>
      <c r="AY577" t="s">
        <v>109</v>
      </c>
      <c r="AZ577" t="s">
        <v>609</v>
      </c>
      <c r="BC577">
        <v>8.3299999999999999E-2</v>
      </c>
      <c r="BH577" t="s">
        <v>99</v>
      </c>
      <c r="BO577" t="s">
        <v>111</v>
      </c>
      <c r="CD577" t="s">
        <v>610</v>
      </c>
      <c r="CE577">
        <v>173082</v>
      </c>
      <c r="CF577" t="s">
        <v>611</v>
      </c>
      <c r="CG577" t="s">
        <v>612</v>
      </c>
      <c r="CH577">
        <v>2012</v>
      </c>
    </row>
    <row r="578" spans="1:86" hidden="1" x14ac:dyDescent="0.25">
      <c r="A578">
        <v>330541</v>
      </c>
      <c r="B578" t="s">
        <v>86</v>
      </c>
      <c r="D578" t="s">
        <v>115</v>
      </c>
      <c r="K578" t="s">
        <v>142</v>
      </c>
      <c r="L578" t="s">
        <v>143</v>
      </c>
      <c r="M578" t="s">
        <v>90</v>
      </c>
      <c r="N578" t="s">
        <v>118</v>
      </c>
      <c r="V578" t="s">
        <v>91</v>
      </c>
      <c r="W578" t="s">
        <v>92</v>
      </c>
      <c r="X578" t="s">
        <v>93</v>
      </c>
      <c r="Z578" t="s">
        <v>137</v>
      </c>
      <c r="AB578">
        <v>2.330972</v>
      </c>
      <c r="AG578" t="s">
        <v>95</v>
      </c>
      <c r="AX578" t="s">
        <v>201</v>
      </c>
      <c r="AY578" t="s">
        <v>490</v>
      </c>
      <c r="AZ578" t="s">
        <v>609</v>
      </c>
      <c r="BC578">
        <v>8.3299999999999999E-2</v>
      </c>
      <c r="BH578" t="s">
        <v>99</v>
      </c>
      <c r="BO578" t="s">
        <v>111</v>
      </c>
      <c r="CD578" t="s">
        <v>610</v>
      </c>
      <c r="CE578">
        <v>173082</v>
      </c>
      <c r="CF578" t="s">
        <v>611</v>
      </c>
      <c r="CG578" t="s">
        <v>612</v>
      </c>
      <c r="CH578">
        <v>2012</v>
      </c>
    </row>
    <row r="579" spans="1:86" hidden="1" x14ac:dyDescent="0.25">
      <c r="A579">
        <v>330541</v>
      </c>
      <c r="B579" t="s">
        <v>86</v>
      </c>
      <c r="D579" t="s">
        <v>115</v>
      </c>
      <c r="K579" t="s">
        <v>142</v>
      </c>
      <c r="L579" t="s">
        <v>143</v>
      </c>
      <c r="M579" t="s">
        <v>90</v>
      </c>
      <c r="N579" t="s">
        <v>118</v>
      </c>
      <c r="V579" t="s">
        <v>91</v>
      </c>
      <c r="W579" t="s">
        <v>92</v>
      </c>
      <c r="X579" t="s">
        <v>93</v>
      </c>
      <c r="Z579" t="s">
        <v>137</v>
      </c>
      <c r="AB579">
        <v>2.330972</v>
      </c>
      <c r="AG579" t="s">
        <v>95</v>
      </c>
      <c r="AX579" t="s">
        <v>282</v>
      </c>
      <c r="AY579" t="s">
        <v>485</v>
      </c>
      <c r="AZ579" t="s">
        <v>609</v>
      </c>
      <c r="BC579">
        <v>8.3299999999999999E-2</v>
      </c>
      <c r="BH579" t="s">
        <v>99</v>
      </c>
      <c r="BO579" t="s">
        <v>111</v>
      </c>
      <c r="CD579" t="s">
        <v>610</v>
      </c>
      <c r="CE579">
        <v>173082</v>
      </c>
      <c r="CF579" t="s">
        <v>611</v>
      </c>
      <c r="CG579" t="s">
        <v>612</v>
      </c>
      <c r="CH579">
        <v>2012</v>
      </c>
    </row>
    <row r="580" spans="1:86" hidden="1" x14ac:dyDescent="0.25">
      <c r="A580">
        <v>330541</v>
      </c>
      <c r="B580" t="s">
        <v>86</v>
      </c>
      <c r="D580" t="s">
        <v>115</v>
      </c>
      <c r="K580" t="s">
        <v>142</v>
      </c>
      <c r="L580" t="s">
        <v>143</v>
      </c>
      <c r="M580" t="s">
        <v>90</v>
      </c>
      <c r="N580" t="s">
        <v>118</v>
      </c>
      <c r="V580" t="s">
        <v>91</v>
      </c>
      <c r="W580" t="s">
        <v>92</v>
      </c>
      <c r="X580" t="s">
        <v>93</v>
      </c>
      <c r="Z580" t="s">
        <v>137</v>
      </c>
      <c r="AB580">
        <v>2.330972</v>
      </c>
      <c r="AG580" t="s">
        <v>95</v>
      </c>
      <c r="AX580" t="s">
        <v>615</v>
      </c>
      <c r="AY580" t="s">
        <v>616</v>
      </c>
      <c r="AZ580" t="s">
        <v>609</v>
      </c>
      <c r="BC580">
        <v>8.3299999999999999E-2</v>
      </c>
      <c r="BH580" t="s">
        <v>99</v>
      </c>
      <c r="BO580" t="s">
        <v>111</v>
      </c>
      <c r="CD580" t="s">
        <v>610</v>
      </c>
      <c r="CE580">
        <v>173082</v>
      </c>
      <c r="CF580" t="s">
        <v>611</v>
      </c>
      <c r="CG580" t="s">
        <v>612</v>
      </c>
      <c r="CH580">
        <v>2012</v>
      </c>
    </row>
    <row r="581" spans="1:86" hidden="1" x14ac:dyDescent="0.25">
      <c r="A581">
        <v>330541</v>
      </c>
      <c r="B581" t="s">
        <v>86</v>
      </c>
      <c r="D581" t="s">
        <v>115</v>
      </c>
      <c r="K581" t="s">
        <v>142</v>
      </c>
      <c r="L581" t="s">
        <v>143</v>
      </c>
      <c r="M581" t="s">
        <v>90</v>
      </c>
      <c r="N581" t="s">
        <v>118</v>
      </c>
      <c r="V581" t="s">
        <v>91</v>
      </c>
      <c r="W581" t="s">
        <v>92</v>
      </c>
      <c r="X581" t="s">
        <v>93</v>
      </c>
      <c r="Z581" t="s">
        <v>137</v>
      </c>
      <c r="AB581">
        <v>2.330972</v>
      </c>
      <c r="AG581" t="s">
        <v>95</v>
      </c>
      <c r="AX581" t="s">
        <v>108</v>
      </c>
      <c r="AY581" t="s">
        <v>109</v>
      </c>
      <c r="AZ581" t="s">
        <v>609</v>
      </c>
      <c r="BC581">
        <v>8.3299999999999999E-2</v>
      </c>
      <c r="BH581" t="s">
        <v>99</v>
      </c>
      <c r="BO581" t="s">
        <v>111</v>
      </c>
      <c r="CD581" t="s">
        <v>610</v>
      </c>
      <c r="CE581">
        <v>173082</v>
      </c>
      <c r="CF581" t="s">
        <v>611</v>
      </c>
      <c r="CG581" t="s">
        <v>612</v>
      </c>
      <c r="CH581">
        <v>2012</v>
      </c>
    </row>
    <row r="582" spans="1:86" hidden="1" x14ac:dyDescent="0.25">
      <c r="A582">
        <v>330541</v>
      </c>
      <c r="B582" t="s">
        <v>86</v>
      </c>
      <c r="D582" t="s">
        <v>115</v>
      </c>
      <c r="K582" t="s">
        <v>142</v>
      </c>
      <c r="L582" t="s">
        <v>143</v>
      </c>
      <c r="M582" t="s">
        <v>90</v>
      </c>
      <c r="N582" t="s">
        <v>118</v>
      </c>
      <c r="V582" t="s">
        <v>91</v>
      </c>
      <c r="W582" t="s">
        <v>92</v>
      </c>
      <c r="X582" t="s">
        <v>93</v>
      </c>
      <c r="Z582" t="s">
        <v>137</v>
      </c>
      <c r="AB582">
        <v>2.330972</v>
      </c>
      <c r="AG582" t="s">
        <v>95</v>
      </c>
      <c r="AX582" t="s">
        <v>108</v>
      </c>
      <c r="AY582" t="s">
        <v>109</v>
      </c>
      <c r="AZ582" t="s">
        <v>609</v>
      </c>
      <c r="BC582">
        <v>8.3299999999999999E-2</v>
      </c>
      <c r="BH582" t="s">
        <v>99</v>
      </c>
      <c r="BO582" t="s">
        <v>111</v>
      </c>
      <c r="CD582" t="s">
        <v>610</v>
      </c>
      <c r="CE582">
        <v>173082</v>
      </c>
      <c r="CF582" t="s">
        <v>611</v>
      </c>
      <c r="CG582" t="s">
        <v>612</v>
      </c>
      <c r="CH582">
        <v>2012</v>
      </c>
    </row>
    <row r="583" spans="1:86" hidden="1" x14ac:dyDescent="0.25">
      <c r="A583">
        <v>330541</v>
      </c>
      <c r="B583" t="s">
        <v>86</v>
      </c>
      <c r="D583" t="s">
        <v>115</v>
      </c>
      <c r="K583" t="s">
        <v>142</v>
      </c>
      <c r="L583" t="s">
        <v>143</v>
      </c>
      <c r="M583" t="s">
        <v>90</v>
      </c>
      <c r="N583" t="s">
        <v>118</v>
      </c>
      <c r="V583" t="s">
        <v>91</v>
      </c>
      <c r="W583" t="s">
        <v>92</v>
      </c>
      <c r="X583" t="s">
        <v>93</v>
      </c>
      <c r="Z583" t="s">
        <v>137</v>
      </c>
      <c r="AB583">
        <v>2.330972</v>
      </c>
      <c r="AG583" t="s">
        <v>95</v>
      </c>
      <c r="AX583" t="s">
        <v>108</v>
      </c>
      <c r="AY583" t="s">
        <v>617</v>
      </c>
      <c r="AZ583" t="s">
        <v>609</v>
      </c>
      <c r="BC583">
        <v>8.3299999999999999E-2</v>
      </c>
      <c r="BH583" t="s">
        <v>99</v>
      </c>
      <c r="BO583" t="s">
        <v>111</v>
      </c>
      <c r="CD583" t="s">
        <v>610</v>
      </c>
      <c r="CE583">
        <v>173082</v>
      </c>
      <c r="CF583" t="s">
        <v>611</v>
      </c>
      <c r="CG583" t="s">
        <v>612</v>
      </c>
      <c r="CH583">
        <v>2012</v>
      </c>
    </row>
    <row r="584" spans="1:86" hidden="1" x14ac:dyDescent="0.25">
      <c r="A584">
        <v>330541</v>
      </c>
      <c r="B584" t="s">
        <v>86</v>
      </c>
      <c r="D584" t="s">
        <v>115</v>
      </c>
      <c r="K584" t="s">
        <v>618</v>
      </c>
      <c r="L584" t="s">
        <v>619</v>
      </c>
      <c r="M584" t="s">
        <v>90</v>
      </c>
      <c r="N584" t="s">
        <v>118</v>
      </c>
      <c r="V584" t="s">
        <v>91</v>
      </c>
      <c r="W584" t="s">
        <v>92</v>
      </c>
      <c r="X584" t="s">
        <v>93</v>
      </c>
      <c r="Z584" t="s">
        <v>137</v>
      </c>
      <c r="AB584">
        <v>2.330972</v>
      </c>
      <c r="AG584" t="s">
        <v>95</v>
      </c>
      <c r="AX584" t="s">
        <v>108</v>
      </c>
      <c r="AY584" t="s">
        <v>109</v>
      </c>
      <c r="AZ584" t="s">
        <v>609</v>
      </c>
      <c r="BC584">
        <v>8.3299999999999999E-2</v>
      </c>
      <c r="BH584" t="s">
        <v>99</v>
      </c>
      <c r="BO584" t="s">
        <v>111</v>
      </c>
      <c r="CD584" t="s">
        <v>610</v>
      </c>
      <c r="CE584">
        <v>173082</v>
      </c>
      <c r="CF584" t="s">
        <v>611</v>
      </c>
      <c r="CG584" t="s">
        <v>612</v>
      </c>
      <c r="CH584">
        <v>2012</v>
      </c>
    </row>
    <row r="585" spans="1:86" hidden="1" x14ac:dyDescent="0.25">
      <c r="A585">
        <v>330541</v>
      </c>
      <c r="B585" t="s">
        <v>86</v>
      </c>
      <c r="D585" t="s">
        <v>115</v>
      </c>
      <c r="K585" t="s">
        <v>618</v>
      </c>
      <c r="L585" t="s">
        <v>619</v>
      </c>
      <c r="M585" t="s">
        <v>90</v>
      </c>
      <c r="N585" t="s">
        <v>118</v>
      </c>
      <c r="V585" t="s">
        <v>91</v>
      </c>
      <c r="W585" t="s">
        <v>92</v>
      </c>
      <c r="X585" t="s">
        <v>93</v>
      </c>
      <c r="Z585" t="s">
        <v>137</v>
      </c>
      <c r="AB585">
        <v>2.330972</v>
      </c>
      <c r="AG585" t="s">
        <v>95</v>
      </c>
      <c r="AX585" t="s">
        <v>201</v>
      </c>
      <c r="AY585" t="s">
        <v>608</v>
      </c>
      <c r="AZ585" t="s">
        <v>609</v>
      </c>
      <c r="BC585">
        <v>8.3299999999999999E-2</v>
      </c>
      <c r="BH585" t="s">
        <v>99</v>
      </c>
      <c r="BO585" t="s">
        <v>111</v>
      </c>
      <c r="CD585" t="s">
        <v>610</v>
      </c>
      <c r="CE585">
        <v>173082</v>
      </c>
      <c r="CF585" t="s">
        <v>611</v>
      </c>
      <c r="CG585" t="s">
        <v>612</v>
      </c>
      <c r="CH585">
        <v>2012</v>
      </c>
    </row>
    <row r="586" spans="1:86" hidden="1" x14ac:dyDescent="0.25">
      <c r="A586">
        <v>330541</v>
      </c>
      <c r="B586" t="s">
        <v>86</v>
      </c>
      <c r="C586" t="s">
        <v>560</v>
      </c>
      <c r="D586" t="s">
        <v>87</v>
      </c>
      <c r="F586">
        <v>98</v>
      </c>
      <c r="K586" t="s">
        <v>391</v>
      </c>
      <c r="L586" t="s">
        <v>178</v>
      </c>
      <c r="M586" t="s">
        <v>90</v>
      </c>
      <c r="V586" t="s">
        <v>561</v>
      </c>
      <c r="W586" t="s">
        <v>107</v>
      </c>
      <c r="X586" t="s">
        <v>559</v>
      </c>
      <c r="Y586">
        <v>3</v>
      </c>
      <c r="Z586" t="s">
        <v>94</v>
      </c>
      <c r="AB586">
        <v>8.8000000000000005E-3</v>
      </c>
      <c r="AG586" t="s">
        <v>95</v>
      </c>
      <c r="AX586" t="s">
        <v>108</v>
      </c>
      <c r="AY586" t="s">
        <v>150</v>
      </c>
      <c r="AZ586" t="s">
        <v>609</v>
      </c>
      <c r="BC586">
        <v>90</v>
      </c>
      <c r="BH586" t="s">
        <v>99</v>
      </c>
      <c r="BO586" t="s">
        <v>111</v>
      </c>
      <c r="CD586" t="s">
        <v>562</v>
      </c>
      <c r="CE586">
        <v>102076</v>
      </c>
      <c r="CF586" t="s">
        <v>563</v>
      </c>
      <c r="CG586" t="s">
        <v>564</v>
      </c>
      <c r="CH586">
        <v>2007</v>
      </c>
    </row>
    <row r="587" spans="1:86" hidden="1" x14ac:dyDescent="0.25">
      <c r="A587">
        <v>330541</v>
      </c>
      <c r="B587" t="s">
        <v>86</v>
      </c>
      <c r="C587" t="s">
        <v>620</v>
      </c>
      <c r="D587" t="s">
        <v>115</v>
      </c>
      <c r="K587" t="s">
        <v>621</v>
      </c>
      <c r="L587" t="s">
        <v>143</v>
      </c>
      <c r="M587" t="s">
        <v>90</v>
      </c>
      <c r="V587" t="s">
        <v>91</v>
      </c>
      <c r="W587" t="s">
        <v>92</v>
      </c>
      <c r="X587" t="s">
        <v>93</v>
      </c>
      <c r="Y587">
        <v>2</v>
      </c>
      <c r="Z587" t="s">
        <v>94</v>
      </c>
      <c r="AB587">
        <v>200</v>
      </c>
      <c r="AG587" t="s">
        <v>95</v>
      </c>
      <c r="AX587" t="s">
        <v>615</v>
      </c>
      <c r="AY587" t="s">
        <v>622</v>
      </c>
      <c r="AZ587" t="s">
        <v>609</v>
      </c>
      <c r="BC587">
        <v>1.3899999999999999E-2</v>
      </c>
      <c r="BH587" t="s">
        <v>99</v>
      </c>
      <c r="BO587" t="s">
        <v>111</v>
      </c>
      <c r="CD587" t="s">
        <v>623</v>
      </c>
      <c r="CE587">
        <v>89877</v>
      </c>
      <c r="CF587" t="s">
        <v>624</v>
      </c>
      <c r="CG587" t="s">
        <v>625</v>
      </c>
      <c r="CH587">
        <v>1999</v>
      </c>
    </row>
    <row r="588" spans="1:86" hidden="1" x14ac:dyDescent="0.25">
      <c r="A588">
        <v>330541</v>
      </c>
      <c r="B588" t="s">
        <v>86</v>
      </c>
      <c r="C588" t="s">
        <v>560</v>
      </c>
      <c r="D588" t="s">
        <v>87</v>
      </c>
      <c r="F588">
        <v>98</v>
      </c>
      <c r="K588" t="s">
        <v>391</v>
      </c>
      <c r="L588" t="s">
        <v>178</v>
      </c>
      <c r="M588" t="s">
        <v>90</v>
      </c>
      <c r="V588" t="s">
        <v>561</v>
      </c>
      <c r="W588" t="s">
        <v>107</v>
      </c>
      <c r="X588" t="s">
        <v>559</v>
      </c>
      <c r="Y588">
        <v>3</v>
      </c>
      <c r="Z588" t="s">
        <v>94</v>
      </c>
      <c r="AB588">
        <v>9.1E-4</v>
      </c>
      <c r="AG588" t="s">
        <v>95</v>
      </c>
      <c r="AX588" t="s">
        <v>108</v>
      </c>
      <c r="AY588" t="s">
        <v>150</v>
      </c>
      <c r="AZ588" t="s">
        <v>609</v>
      </c>
      <c r="BC588">
        <v>67</v>
      </c>
      <c r="BH588" t="s">
        <v>99</v>
      </c>
      <c r="BO588" t="s">
        <v>111</v>
      </c>
      <c r="CD588" t="s">
        <v>562</v>
      </c>
      <c r="CE588">
        <v>102076</v>
      </c>
      <c r="CF588" t="s">
        <v>563</v>
      </c>
      <c r="CG588" t="s">
        <v>564</v>
      </c>
      <c r="CH588">
        <v>2007</v>
      </c>
    </row>
    <row r="589" spans="1:86" hidden="1" x14ac:dyDescent="0.25">
      <c r="A589">
        <v>330541</v>
      </c>
      <c r="B589" t="s">
        <v>86</v>
      </c>
      <c r="D589" t="s">
        <v>115</v>
      </c>
      <c r="K589" t="s">
        <v>576</v>
      </c>
      <c r="L589" t="s">
        <v>577</v>
      </c>
      <c r="M589" t="s">
        <v>90</v>
      </c>
      <c r="V589" t="s">
        <v>507</v>
      </c>
      <c r="W589" t="s">
        <v>107</v>
      </c>
      <c r="X589" t="s">
        <v>93</v>
      </c>
      <c r="Y589">
        <v>6</v>
      </c>
      <c r="Z589" t="s">
        <v>137</v>
      </c>
      <c r="AB589">
        <v>1E-3</v>
      </c>
      <c r="AG589" t="s">
        <v>95</v>
      </c>
      <c r="AX589" t="s">
        <v>108</v>
      </c>
      <c r="AY589" t="s">
        <v>150</v>
      </c>
      <c r="AZ589" t="s">
        <v>609</v>
      </c>
      <c r="BC589">
        <v>4</v>
      </c>
      <c r="BH589" t="s">
        <v>99</v>
      </c>
      <c r="BO589" t="s">
        <v>111</v>
      </c>
      <c r="CD589" t="s">
        <v>578</v>
      </c>
      <c r="CE589">
        <v>85949</v>
      </c>
      <c r="CF589" t="s">
        <v>579</v>
      </c>
      <c r="CG589" t="s">
        <v>580</v>
      </c>
      <c r="CH589">
        <v>2005</v>
      </c>
    </row>
    <row r="590" spans="1:86" hidden="1" x14ac:dyDescent="0.25">
      <c r="A590">
        <v>330541</v>
      </c>
      <c r="B590" t="s">
        <v>86</v>
      </c>
      <c r="D590" t="s">
        <v>115</v>
      </c>
      <c r="K590" t="s">
        <v>618</v>
      </c>
      <c r="L590" t="s">
        <v>619</v>
      </c>
      <c r="M590" t="s">
        <v>90</v>
      </c>
      <c r="N590" t="s">
        <v>118</v>
      </c>
      <c r="V590" t="s">
        <v>91</v>
      </c>
      <c r="W590" t="s">
        <v>92</v>
      </c>
      <c r="X590" t="s">
        <v>93</v>
      </c>
      <c r="Z590" t="s">
        <v>137</v>
      </c>
      <c r="AB590">
        <v>2.330972</v>
      </c>
      <c r="AG590" t="s">
        <v>95</v>
      </c>
      <c r="AX590" t="s">
        <v>201</v>
      </c>
      <c r="AY590" t="s">
        <v>490</v>
      </c>
      <c r="AZ590" t="s">
        <v>609</v>
      </c>
      <c r="BC590">
        <v>8.3299999999999999E-2</v>
      </c>
      <c r="BH590" t="s">
        <v>99</v>
      </c>
      <c r="BO590" t="s">
        <v>111</v>
      </c>
      <c r="CD590" t="s">
        <v>610</v>
      </c>
      <c r="CE590">
        <v>173082</v>
      </c>
      <c r="CF590" t="s">
        <v>611</v>
      </c>
      <c r="CG590" t="s">
        <v>612</v>
      </c>
      <c r="CH590">
        <v>2012</v>
      </c>
    </row>
    <row r="591" spans="1:86" hidden="1" x14ac:dyDescent="0.25">
      <c r="A591">
        <v>330541</v>
      </c>
      <c r="B591" t="s">
        <v>86</v>
      </c>
      <c r="D591" t="s">
        <v>115</v>
      </c>
      <c r="K591" t="s">
        <v>618</v>
      </c>
      <c r="L591" t="s">
        <v>619</v>
      </c>
      <c r="M591" t="s">
        <v>90</v>
      </c>
      <c r="N591" t="s">
        <v>118</v>
      </c>
      <c r="V591" t="s">
        <v>91</v>
      </c>
      <c r="W591" t="s">
        <v>92</v>
      </c>
      <c r="X591" t="s">
        <v>93</v>
      </c>
      <c r="Z591" t="s">
        <v>137</v>
      </c>
      <c r="AB591">
        <v>2.330972</v>
      </c>
      <c r="AG591" t="s">
        <v>95</v>
      </c>
      <c r="AX591" t="s">
        <v>108</v>
      </c>
      <c r="AY591" t="s">
        <v>109</v>
      </c>
      <c r="AZ591" t="s">
        <v>609</v>
      </c>
      <c r="BC591">
        <v>8.3299999999999999E-2</v>
      </c>
      <c r="BH591" t="s">
        <v>99</v>
      </c>
      <c r="BO591" t="s">
        <v>111</v>
      </c>
      <c r="CD591" t="s">
        <v>610</v>
      </c>
      <c r="CE591">
        <v>173082</v>
      </c>
      <c r="CF591" t="s">
        <v>611</v>
      </c>
      <c r="CG591" t="s">
        <v>612</v>
      </c>
      <c r="CH591">
        <v>2012</v>
      </c>
    </row>
    <row r="592" spans="1:86" hidden="1" x14ac:dyDescent="0.25">
      <c r="A592">
        <v>330541</v>
      </c>
      <c r="B592" t="s">
        <v>86</v>
      </c>
      <c r="D592" t="s">
        <v>115</v>
      </c>
      <c r="K592" t="s">
        <v>618</v>
      </c>
      <c r="L592" t="s">
        <v>619</v>
      </c>
      <c r="M592" t="s">
        <v>90</v>
      </c>
      <c r="N592" t="s">
        <v>118</v>
      </c>
      <c r="V592" t="s">
        <v>91</v>
      </c>
      <c r="W592" t="s">
        <v>92</v>
      </c>
      <c r="X592" t="s">
        <v>93</v>
      </c>
      <c r="Z592" t="s">
        <v>137</v>
      </c>
      <c r="AB592">
        <v>2.330972</v>
      </c>
      <c r="AG592" t="s">
        <v>95</v>
      </c>
      <c r="AX592" t="s">
        <v>108</v>
      </c>
      <c r="AY592" t="s">
        <v>617</v>
      </c>
      <c r="AZ592" t="s">
        <v>609</v>
      </c>
      <c r="BC592">
        <v>8.3299999999999999E-2</v>
      </c>
      <c r="BH592" t="s">
        <v>99</v>
      </c>
      <c r="BO592" t="s">
        <v>111</v>
      </c>
      <c r="CD592" t="s">
        <v>610</v>
      </c>
      <c r="CE592">
        <v>173082</v>
      </c>
      <c r="CF592" t="s">
        <v>611</v>
      </c>
      <c r="CG592" t="s">
        <v>612</v>
      </c>
      <c r="CH592">
        <v>2012</v>
      </c>
    </row>
    <row r="593" spans="1:86" hidden="1" x14ac:dyDescent="0.25">
      <c r="A593">
        <v>330541</v>
      </c>
      <c r="B593" t="s">
        <v>86</v>
      </c>
      <c r="D593" t="s">
        <v>115</v>
      </c>
      <c r="K593" t="s">
        <v>618</v>
      </c>
      <c r="L593" t="s">
        <v>619</v>
      </c>
      <c r="M593" t="s">
        <v>90</v>
      </c>
      <c r="N593" t="s">
        <v>118</v>
      </c>
      <c r="V593" t="s">
        <v>91</v>
      </c>
      <c r="W593" t="s">
        <v>92</v>
      </c>
      <c r="X593" t="s">
        <v>93</v>
      </c>
      <c r="Z593" t="s">
        <v>137</v>
      </c>
      <c r="AB593">
        <v>2.330972</v>
      </c>
      <c r="AG593" t="s">
        <v>95</v>
      </c>
      <c r="AX593" t="s">
        <v>108</v>
      </c>
      <c r="AY593" t="s">
        <v>109</v>
      </c>
      <c r="AZ593" t="s">
        <v>609</v>
      </c>
      <c r="BC593">
        <v>8.3299999999999999E-2</v>
      </c>
      <c r="BH593" t="s">
        <v>99</v>
      </c>
      <c r="BO593" t="s">
        <v>111</v>
      </c>
      <c r="CD593" t="s">
        <v>610</v>
      </c>
      <c r="CE593">
        <v>173082</v>
      </c>
      <c r="CF593" t="s">
        <v>611</v>
      </c>
      <c r="CG593" t="s">
        <v>612</v>
      </c>
      <c r="CH593">
        <v>2012</v>
      </c>
    </row>
    <row r="594" spans="1:86" hidden="1" x14ac:dyDescent="0.25">
      <c r="A594">
        <v>330541</v>
      </c>
      <c r="B594" t="s">
        <v>86</v>
      </c>
      <c r="D594" t="s">
        <v>115</v>
      </c>
      <c r="K594" t="s">
        <v>618</v>
      </c>
      <c r="L594" t="s">
        <v>619</v>
      </c>
      <c r="M594" t="s">
        <v>90</v>
      </c>
      <c r="N594" t="s">
        <v>118</v>
      </c>
      <c r="V594" t="s">
        <v>91</v>
      </c>
      <c r="W594" t="s">
        <v>92</v>
      </c>
      <c r="X594" t="s">
        <v>93</v>
      </c>
      <c r="Z594" t="s">
        <v>137</v>
      </c>
      <c r="AB594">
        <v>2.330972</v>
      </c>
      <c r="AG594" t="s">
        <v>95</v>
      </c>
      <c r="AX594" t="s">
        <v>108</v>
      </c>
      <c r="AY594" t="s">
        <v>120</v>
      </c>
      <c r="AZ594" t="s">
        <v>609</v>
      </c>
      <c r="BC594">
        <v>8.3299999999999999E-2</v>
      </c>
      <c r="BH594" t="s">
        <v>99</v>
      </c>
      <c r="BO594" t="s">
        <v>111</v>
      </c>
      <c r="CD594" t="s">
        <v>610</v>
      </c>
      <c r="CE594">
        <v>173082</v>
      </c>
      <c r="CF594" t="s">
        <v>611</v>
      </c>
      <c r="CG594" t="s">
        <v>612</v>
      </c>
      <c r="CH594">
        <v>2012</v>
      </c>
    </row>
    <row r="595" spans="1:86" hidden="1" x14ac:dyDescent="0.25">
      <c r="A595">
        <v>330541</v>
      </c>
      <c r="B595" t="s">
        <v>86</v>
      </c>
      <c r="D595" t="s">
        <v>115</v>
      </c>
      <c r="K595" t="s">
        <v>618</v>
      </c>
      <c r="L595" t="s">
        <v>619</v>
      </c>
      <c r="M595" t="s">
        <v>90</v>
      </c>
      <c r="N595" t="s">
        <v>118</v>
      </c>
      <c r="V595" t="s">
        <v>91</v>
      </c>
      <c r="W595" t="s">
        <v>92</v>
      </c>
      <c r="X595" t="s">
        <v>93</v>
      </c>
      <c r="Z595" t="s">
        <v>137</v>
      </c>
      <c r="AB595">
        <v>2.330972</v>
      </c>
      <c r="AG595" t="s">
        <v>95</v>
      </c>
      <c r="AX595" t="s">
        <v>282</v>
      </c>
      <c r="AY595" t="s">
        <v>485</v>
      </c>
      <c r="AZ595" t="s">
        <v>609</v>
      </c>
      <c r="BC595">
        <v>8.3299999999999999E-2</v>
      </c>
      <c r="BH595" t="s">
        <v>99</v>
      </c>
      <c r="BO595" t="s">
        <v>111</v>
      </c>
      <c r="CD595" t="s">
        <v>610</v>
      </c>
      <c r="CE595">
        <v>173082</v>
      </c>
      <c r="CF595" t="s">
        <v>611</v>
      </c>
      <c r="CG595" t="s">
        <v>612</v>
      </c>
      <c r="CH595">
        <v>2012</v>
      </c>
    </row>
    <row r="596" spans="1:86" hidden="1" x14ac:dyDescent="0.25">
      <c r="A596">
        <v>330541</v>
      </c>
      <c r="B596" t="s">
        <v>86</v>
      </c>
      <c r="D596" t="s">
        <v>115</v>
      </c>
      <c r="K596" t="s">
        <v>618</v>
      </c>
      <c r="L596" t="s">
        <v>619</v>
      </c>
      <c r="M596" t="s">
        <v>90</v>
      </c>
      <c r="N596" t="s">
        <v>118</v>
      </c>
      <c r="V596" t="s">
        <v>91</v>
      </c>
      <c r="W596" t="s">
        <v>92</v>
      </c>
      <c r="X596" t="s">
        <v>93</v>
      </c>
      <c r="Z596" t="s">
        <v>137</v>
      </c>
      <c r="AB596">
        <v>2.330972</v>
      </c>
      <c r="AG596" t="s">
        <v>95</v>
      </c>
      <c r="AX596" t="s">
        <v>615</v>
      </c>
      <c r="AY596" t="s">
        <v>616</v>
      </c>
      <c r="AZ596" t="s">
        <v>609</v>
      </c>
      <c r="BC596">
        <v>8.3299999999999999E-2</v>
      </c>
      <c r="BH596" t="s">
        <v>99</v>
      </c>
      <c r="BO596" t="s">
        <v>111</v>
      </c>
      <c r="CD596" t="s">
        <v>610</v>
      </c>
      <c r="CE596">
        <v>173082</v>
      </c>
      <c r="CF596" t="s">
        <v>611</v>
      </c>
      <c r="CG596" t="s">
        <v>612</v>
      </c>
      <c r="CH596">
        <v>2012</v>
      </c>
    </row>
    <row r="597" spans="1:86" hidden="1" x14ac:dyDescent="0.25">
      <c r="A597">
        <v>330541</v>
      </c>
      <c r="B597" t="s">
        <v>86</v>
      </c>
      <c r="D597" t="s">
        <v>115</v>
      </c>
      <c r="K597" t="s">
        <v>90</v>
      </c>
      <c r="L597" t="s">
        <v>90</v>
      </c>
      <c r="M597" t="s">
        <v>90</v>
      </c>
      <c r="V597" t="s">
        <v>91</v>
      </c>
      <c r="W597" t="s">
        <v>107</v>
      </c>
      <c r="X597" t="s">
        <v>93</v>
      </c>
      <c r="Y597">
        <v>6</v>
      </c>
      <c r="Z597" t="s">
        <v>137</v>
      </c>
      <c r="AB597">
        <v>5.0000000000000001E-4</v>
      </c>
      <c r="AG597" t="s">
        <v>95</v>
      </c>
      <c r="AX597" t="s">
        <v>108</v>
      </c>
      <c r="AY597" t="s">
        <v>109</v>
      </c>
      <c r="AZ597" t="s">
        <v>609</v>
      </c>
      <c r="BC597">
        <v>0.33329999999999999</v>
      </c>
      <c r="BH597" t="s">
        <v>99</v>
      </c>
      <c r="BO597" t="s">
        <v>111</v>
      </c>
      <c r="CD597" t="s">
        <v>556</v>
      </c>
      <c r="CE597">
        <v>71903</v>
      </c>
      <c r="CF597" t="s">
        <v>557</v>
      </c>
      <c r="CG597" t="s">
        <v>558</v>
      </c>
      <c r="CH597">
        <v>2003</v>
      </c>
    </row>
    <row r="598" spans="1:86" x14ac:dyDescent="0.25">
      <c r="A598">
        <v>330541</v>
      </c>
      <c r="B598" t="s">
        <v>86</v>
      </c>
      <c r="F598">
        <v>96.8</v>
      </c>
      <c r="K598" t="s">
        <v>224</v>
      </c>
      <c r="L598" t="s">
        <v>89</v>
      </c>
      <c r="M598" t="s">
        <v>90</v>
      </c>
      <c r="V598" t="s">
        <v>91</v>
      </c>
      <c r="W598" t="s">
        <v>92</v>
      </c>
      <c r="X598" t="s">
        <v>93</v>
      </c>
      <c r="Z598" t="s">
        <v>94</v>
      </c>
      <c r="AB598">
        <v>4.4000000000000002E-4</v>
      </c>
      <c r="AG598" t="s">
        <v>95</v>
      </c>
      <c r="AX598" t="s">
        <v>108</v>
      </c>
      <c r="AY598" t="s">
        <v>150</v>
      </c>
      <c r="AZ598" t="s">
        <v>609</v>
      </c>
      <c r="BC598">
        <v>4</v>
      </c>
      <c r="BH598" t="s">
        <v>99</v>
      </c>
      <c r="BO598" t="s">
        <v>111</v>
      </c>
      <c r="CD598" t="s">
        <v>366</v>
      </c>
      <c r="CE598">
        <v>344</v>
      </c>
      <c r="CF598" t="s">
        <v>367</v>
      </c>
      <c r="CG598" t="s">
        <v>368</v>
      </c>
      <c r="CH598">
        <v>1992</v>
      </c>
    </row>
    <row r="599" spans="1:86" hidden="1" x14ac:dyDescent="0.25">
      <c r="A599">
        <v>330541</v>
      </c>
      <c r="B599" t="s">
        <v>86</v>
      </c>
      <c r="D599" t="s">
        <v>115</v>
      </c>
      <c r="K599" t="s">
        <v>238</v>
      </c>
      <c r="L599" t="s">
        <v>89</v>
      </c>
      <c r="M599" t="s">
        <v>90</v>
      </c>
      <c r="W599" t="s">
        <v>92</v>
      </c>
      <c r="X599" t="s">
        <v>93</v>
      </c>
      <c r="Z599" t="s">
        <v>137</v>
      </c>
      <c r="AB599"/>
      <c r="AD599">
        <v>47</v>
      </c>
      <c r="AF599">
        <v>120</v>
      </c>
      <c r="AG599" t="s">
        <v>95</v>
      </c>
      <c r="AX599" t="s">
        <v>523</v>
      </c>
      <c r="AY599" t="s">
        <v>523</v>
      </c>
      <c r="AZ599" t="s">
        <v>626</v>
      </c>
      <c r="BH599" t="s">
        <v>627</v>
      </c>
      <c r="BO599" t="s">
        <v>111</v>
      </c>
      <c r="CD599" t="s">
        <v>628</v>
      </c>
      <c r="CE599">
        <v>9377</v>
      </c>
      <c r="CF599" t="s">
        <v>629</v>
      </c>
      <c r="CG599" t="s">
        <v>630</v>
      </c>
      <c r="CH599">
        <v>1971</v>
      </c>
    </row>
    <row r="600" spans="1:86" hidden="1" x14ac:dyDescent="0.25">
      <c r="A600">
        <v>330541</v>
      </c>
      <c r="B600" t="s">
        <v>86</v>
      </c>
      <c r="D600" t="s">
        <v>115</v>
      </c>
      <c r="F600">
        <v>80</v>
      </c>
      <c r="K600" t="s">
        <v>631</v>
      </c>
      <c r="L600" t="s">
        <v>143</v>
      </c>
      <c r="M600" t="s">
        <v>90</v>
      </c>
      <c r="V600" t="s">
        <v>91</v>
      </c>
      <c r="W600" t="s">
        <v>92</v>
      </c>
      <c r="X600" t="s">
        <v>93</v>
      </c>
      <c r="Z600" t="s">
        <v>137</v>
      </c>
      <c r="AB600">
        <v>10</v>
      </c>
      <c r="AG600" t="s">
        <v>95</v>
      </c>
      <c r="AX600" t="s">
        <v>523</v>
      </c>
      <c r="AY600" t="s">
        <v>523</v>
      </c>
      <c r="AZ600" t="s">
        <v>626</v>
      </c>
      <c r="BC600">
        <v>14</v>
      </c>
      <c r="BH600" t="s">
        <v>99</v>
      </c>
      <c r="BO600" t="s">
        <v>111</v>
      </c>
      <c r="CD600" t="s">
        <v>632</v>
      </c>
      <c r="CE600">
        <v>10887</v>
      </c>
      <c r="CF600" t="s">
        <v>633</v>
      </c>
      <c r="CG600" t="s">
        <v>634</v>
      </c>
      <c r="CH600">
        <v>1984</v>
      </c>
    </row>
    <row r="601" spans="1:86" hidden="1" x14ac:dyDescent="0.25">
      <c r="A601">
        <v>330541</v>
      </c>
      <c r="B601" t="s">
        <v>86</v>
      </c>
      <c r="D601" t="s">
        <v>115</v>
      </c>
      <c r="K601" t="s">
        <v>369</v>
      </c>
      <c r="L601" t="s">
        <v>370</v>
      </c>
      <c r="M601" t="s">
        <v>90</v>
      </c>
      <c r="V601" t="s">
        <v>91</v>
      </c>
      <c r="W601" t="s">
        <v>107</v>
      </c>
      <c r="X601" t="s">
        <v>93</v>
      </c>
      <c r="Z601" t="s">
        <v>94</v>
      </c>
      <c r="AB601">
        <v>2.0000000000000002E-5</v>
      </c>
      <c r="AG601" t="s">
        <v>95</v>
      </c>
      <c r="AX601" t="s">
        <v>523</v>
      </c>
      <c r="AY601" t="s">
        <v>523</v>
      </c>
      <c r="AZ601" t="s">
        <v>626</v>
      </c>
      <c r="BC601">
        <v>10</v>
      </c>
      <c r="BH601" t="s">
        <v>99</v>
      </c>
      <c r="BO601" t="s">
        <v>111</v>
      </c>
      <c r="CD601" t="s">
        <v>635</v>
      </c>
      <c r="CE601">
        <v>8039</v>
      </c>
      <c r="CF601" t="s">
        <v>636</v>
      </c>
      <c r="CG601" t="s">
        <v>637</v>
      </c>
      <c r="CH601">
        <v>1962</v>
      </c>
    </row>
    <row r="602" spans="1:86" hidden="1" x14ac:dyDescent="0.25">
      <c r="A602">
        <v>330541</v>
      </c>
      <c r="B602" t="s">
        <v>86</v>
      </c>
      <c r="D602" t="s">
        <v>115</v>
      </c>
      <c r="K602" t="s">
        <v>638</v>
      </c>
      <c r="L602" t="s">
        <v>89</v>
      </c>
      <c r="M602" t="s">
        <v>90</v>
      </c>
      <c r="N602" t="s">
        <v>118</v>
      </c>
      <c r="V602" t="s">
        <v>91</v>
      </c>
      <c r="W602" t="s">
        <v>107</v>
      </c>
      <c r="X602" t="s">
        <v>93</v>
      </c>
      <c r="Z602" t="s">
        <v>137</v>
      </c>
      <c r="AB602">
        <v>23.309719999999999</v>
      </c>
      <c r="AG602" t="s">
        <v>95</v>
      </c>
      <c r="AX602" t="s">
        <v>523</v>
      </c>
      <c r="AY602" t="s">
        <v>523</v>
      </c>
      <c r="AZ602" t="s">
        <v>626</v>
      </c>
      <c r="BC602">
        <v>2</v>
      </c>
      <c r="BH602" t="s">
        <v>99</v>
      </c>
      <c r="BO602" t="s">
        <v>111</v>
      </c>
      <c r="CD602" t="s">
        <v>639</v>
      </c>
      <c r="CE602">
        <v>13100</v>
      </c>
      <c r="CF602" t="s">
        <v>640</v>
      </c>
      <c r="CG602" t="s">
        <v>641</v>
      </c>
      <c r="CH602">
        <v>1988</v>
      </c>
    </row>
    <row r="603" spans="1:86" hidden="1" x14ac:dyDescent="0.25">
      <c r="A603">
        <v>330541</v>
      </c>
      <c r="B603" t="s">
        <v>86</v>
      </c>
      <c r="D603" t="s">
        <v>115</v>
      </c>
      <c r="K603" t="s">
        <v>238</v>
      </c>
      <c r="L603" t="s">
        <v>89</v>
      </c>
      <c r="M603" t="s">
        <v>90</v>
      </c>
      <c r="V603" t="s">
        <v>91</v>
      </c>
      <c r="W603" t="s">
        <v>107</v>
      </c>
      <c r="X603" t="s">
        <v>93</v>
      </c>
      <c r="Z603" t="s">
        <v>94</v>
      </c>
      <c r="AB603">
        <v>0.4</v>
      </c>
      <c r="AG603" t="s">
        <v>95</v>
      </c>
      <c r="AX603" t="s">
        <v>523</v>
      </c>
      <c r="AY603" t="s">
        <v>523</v>
      </c>
      <c r="AZ603" t="s">
        <v>626</v>
      </c>
      <c r="BC603">
        <v>10</v>
      </c>
      <c r="BH603" t="s">
        <v>99</v>
      </c>
      <c r="BO603" t="s">
        <v>111</v>
      </c>
      <c r="CD603" t="s">
        <v>635</v>
      </c>
      <c r="CE603">
        <v>8039</v>
      </c>
      <c r="CF603" t="s">
        <v>636</v>
      </c>
      <c r="CG603" t="s">
        <v>637</v>
      </c>
      <c r="CH603">
        <v>1962</v>
      </c>
    </row>
    <row r="604" spans="1:86" hidden="1" x14ac:dyDescent="0.25">
      <c r="A604">
        <v>330541</v>
      </c>
      <c r="B604" t="s">
        <v>86</v>
      </c>
      <c r="D604" t="s">
        <v>115</v>
      </c>
      <c r="K604" t="s">
        <v>371</v>
      </c>
      <c r="L604" t="s">
        <v>89</v>
      </c>
      <c r="M604" t="s">
        <v>90</v>
      </c>
      <c r="V604" t="s">
        <v>91</v>
      </c>
      <c r="W604" t="s">
        <v>92</v>
      </c>
      <c r="X604" t="s">
        <v>93</v>
      </c>
      <c r="Z604" t="s">
        <v>137</v>
      </c>
      <c r="AB604">
        <v>2</v>
      </c>
      <c r="AG604" t="s">
        <v>95</v>
      </c>
      <c r="AX604" t="s">
        <v>523</v>
      </c>
      <c r="AY604" t="s">
        <v>523</v>
      </c>
      <c r="AZ604" t="s">
        <v>626</v>
      </c>
      <c r="BB604" t="s">
        <v>234</v>
      </c>
      <c r="BC604">
        <v>1</v>
      </c>
      <c r="BH604" t="s">
        <v>99</v>
      </c>
      <c r="BO604" t="s">
        <v>111</v>
      </c>
      <c r="CD604" t="s">
        <v>642</v>
      </c>
      <c r="CE604">
        <v>8134</v>
      </c>
      <c r="CF604" t="s">
        <v>643</v>
      </c>
      <c r="CG604" t="s">
        <v>644</v>
      </c>
      <c r="CH604">
        <v>1975</v>
      </c>
    </row>
    <row r="605" spans="1:86" hidden="1" x14ac:dyDescent="0.25">
      <c r="A605">
        <v>330541</v>
      </c>
      <c r="B605" t="s">
        <v>86</v>
      </c>
      <c r="D605" t="s">
        <v>115</v>
      </c>
      <c r="K605" t="s">
        <v>218</v>
      </c>
      <c r="L605" t="s">
        <v>89</v>
      </c>
      <c r="M605" t="s">
        <v>90</v>
      </c>
      <c r="V605" t="s">
        <v>91</v>
      </c>
      <c r="W605" t="s">
        <v>92</v>
      </c>
      <c r="X605" t="s">
        <v>93</v>
      </c>
      <c r="Z605" t="s">
        <v>137</v>
      </c>
      <c r="AB605">
        <v>2</v>
      </c>
      <c r="AG605" t="s">
        <v>95</v>
      </c>
      <c r="AX605" t="s">
        <v>523</v>
      </c>
      <c r="AY605" t="s">
        <v>523</v>
      </c>
      <c r="AZ605" t="s">
        <v>626</v>
      </c>
      <c r="BB605" t="s">
        <v>234</v>
      </c>
      <c r="BC605">
        <v>1</v>
      </c>
      <c r="BH605" t="s">
        <v>99</v>
      </c>
      <c r="BO605" t="s">
        <v>111</v>
      </c>
      <c r="CD605" t="s">
        <v>642</v>
      </c>
      <c r="CE605">
        <v>8134</v>
      </c>
      <c r="CF605" t="s">
        <v>643</v>
      </c>
      <c r="CG605" t="s">
        <v>644</v>
      </c>
      <c r="CH605">
        <v>1975</v>
      </c>
    </row>
    <row r="606" spans="1:86" hidden="1" x14ac:dyDescent="0.25">
      <c r="A606">
        <v>330541</v>
      </c>
      <c r="B606" t="s">
        <v>86</v>
      </c>
      <c r="D606" t="s">
        <v>115</v>
      </c>
      <c r="K606" t="s">
        <v>645</v>
      </c>
      <c r="L606" t="s">
        <v>89</v>
      </c>
      <c r="M606" t="s">
        <v>90</v>
      </c>
      <c r="N606" t="s">
        <v>118</v>
      </c>
      <c r="V606" t="s">
        <v>91</v>
      </c>
      <c r="W606" t="s">
        <v>107</v>
      </c>
      <c r="X606" t="s">
        <v>93</v>
      </c>
      <c r="Z606" t="s">
        <v>137</v>
      </c>
      <c r="AB606">
        <v>0.01</v>
      </c>
      <c r="AG606" t="s">
        <v>95</v>
      </c>
      <c r="AX606" t="s">
        <v>201</v>
      </c>
      <c r="AY606" t="s">
        <v>646</v>
      </c>
      <c r="BC606">
        <v>7</v>
      </c>
      <c r="BH606" t="s">
        <v>99</v>
      </c>
      <c r="BO606" t="s">
        <v>111</v>
      </c>
      <c r="CD606" t="s">
        <v>647</v>
      </c>
      <c r="CE606">
        <v>9446</v>
      </c>
      <c r="CF606" t="s">
        <v>648</v>
      </c>
      <c r="CG606" t="s">
        <v>649</v>
      </c>
      <c r="CH606">
        <v>1971</v>
      </c>
    </row>
    <row r="607" spans="1:86" hidden="1" x14ac:dyDescent="0.25">
      <c r="A607">
        <v>330541</v>
      </c>
      <c r="B607" t="s">
        <v>86</v>
      </c>
      <c r="C607" t="s">
        <v>158</v>
      </c>
      <c r="D607" t="s">
        <v>115</v>
      </c>
      <c r="K607" t="s">
        <v>650</v>
      </c>
      <c r="L607" t="s">
        <v>89</v>
      </c>
      <c r="M607" t="s">
        <v>90</v>
      </c>
      <c r="P607">
        <v>3</v>
      </c>
      <c r="U607" t="s">
        <v>219</v>
      </c>
      <c r="V607" t="s">
        <v>91</v>
      </c>
      <c r="W607" t="s">
        <v>220</v>
      </c>
      <c r="X607" t="s">
        <v>93</v>
      </c>
      <c r="Y607">
        <v>11</v>
      </c>
      <c r="Z607" t="s">
        <v>94</v>
      </c>
      <c r="AB607"/>
      <c r="AD607">
        <v>0.01</v>
      </c>
      <c r="AF607">
        <v>10</v>
      </c>
      <c r="AG607" t="s">
        <v>95</v>
      </c>
      <c r="AX607" t="s">
        <v>108</v>
      </c>
      <c r="AY607" t="s">
        <v>160</v>
      </c>
      <c r="BE607">
        <v>5</v>
      </c>
      <c r="BG607">
        <v>30</v>
      </c>
      <c r="BH607" t="s">
        <v>99</v>
      </c>
      <c r="BO607" t="s">
        <v>111</v>
      </c>
      <c r="CD607" t="s">
        <v>221</v>
      </c>
      <c r="CE607">
        <v>4871</v>
      </c>
      <c r="CF607" t="s">
        <v>222</v>
      </c>
      <c r="CG607" t="s">
        <v>223</v>
      </c>
      <c r="CH607">
        <v>1975</v>
      </c>
    </row>
    <row r="608" spans="1:86" hidden="1" x14ac:dyDescent="0.25">
      <c r="A608">
        <v>330541</v>
      </c>
      <c r="B608" t="s">
        <v>86</v>
      </c>
      <c r="D608" t="s">
        <v>115</v>
      </c>
      <c r="K608" t="s">
        <v>651</v>
      </c>
      <c r="L608" t="s">
        <v>143</v>
      </c>
      <c r="M608" t="s">
        <v>90</v>
      </c>
      <c r="V608" t="s">
        <v>91</v>
      </c>
      <c r="W608" t="s">
        <v>92</v>
      </c>
      <c r="X608" t="s">
        <v>93</v>
      </c>
      <c r="Z608" t="s">
        <v>137</v>
      </c>
      <c r="AB608">
        <v>5</v>
      </c>
      <c r="AG608" t="s">
        <v>95</v>
      </c>
      <c r="AX608" t="s">
        <v>523</v>
      </c>
      <c r="AY608" t="s">
        <v>523</v>
      </c>
      <c r="BC608">
        <v>15</v>
      </c>
      <c r="BH608" t="s">
        <v>99</v>
      </c>
      <c r="BO608" t="s">
        <v>111</v>
      </c>
      <c r="CD608" t="s">
        <v>652</v>
      </c>
      <c r="CE608">
        <v>9206</v>
      </c>
      <c r="CF608" t="s">
        <v>653</v>
      </c>
      <c r="CG608" t="s">
        <v>654</v>
      </c>
      <c r="CH608">
        <v>1972</v>
      </c>
    </row>
    <row r="609" spans="1:86" hidden="1" x14ac:dyDescent="0.25">
      <c r="A609">
        <v>330541</v>
      </c>
      <c r="B609" t="s">
        <v>86</v>
      </c>
      <c r="D609" t="s">
        <v>115</v>
      </c>
      <c r="F609">
        <v>80</v>
      </c>
      <c r="K609" t="s">
        <v>655</v>
      </c>
      <c r="L609" t="s">
        <v>656</v>
      </c>
      <c r="M609" t="s">
        <v>90</v>
      </c>
      <c r="V609" t="s">
        <v>168</v>
      </c>
      <c r="W609" t="s">
        <v>92</v>
      </c>
      <c r="X609" t="s">
        <v>93</v>
      </c>
      <c r="Y609">
        <v>2</v>
      </c>
      <c r="Z609" t="s">
        <v>137</v>
      </c>
      <c r="AB609">
        <v>10</v>
      </c>
      <c r="AG609" t="s">
        <v>95</v>
      </c>
      <c r="AX609" t="s">
        <v>282</v>
      </c>
      <c r="AY609" t="s">
        <v>283</v>
      </c>
      <c r="BE609">
        <v>0</v>
      </c>
      <c r="BG609">
        <v>28</v>
      </c>
      <c r="BH609" t="s">
        <v>99</v>
      </c>
      <c r="BO609" t="s">
        <v>111</v>
      </c>
      <c r="CD609" t="s">
        <v>657</v>
      </c>
      <c r="CE609">
        <v>18752</v>
      </c>
      <c r="CF609" t="s">
        <v>658</v>
      </c>
      <c r="CG609" t="s">
        <v>659</v>
      </c>
      <c r="CH609">
        <v>1988</v>
      </c>
    </row>
    <row r="610" spans="1:86" hidden="1" x14ac:dyDescent="0.25">
      <c r="A610">
        <v>330541</v>
      </c>
      <c r="B610" t="s">
        <v>86</v>
      </c>
      <c r="D610" t="s">
        <v>115</v>
      </c>
      <c r="F610">
        <v>80</v>
      </c>
      <c r="K610" t="s">
        <v>655</v>
      </c>
      <c r="L610" t="s">
        <v>656</v>
      </c>
      <c r="M610" t="s">
        <v>90</v>
      </c>
      <c r="V610" t="s">
        <v>168</v>
      </c>
      <c r="W610" t="s">
        <v>92</v>
      </c>
      <c r="X610" t="s">
        <v>93</v>
      </c>
      <c r="Y610">
        <v>2</v>
      </c>
      <c r="Z610" t="s">
        <v>137</v>
      </c>
      <c r="AB610">
        <v>10</v>
      </c>
      <c r="AG610" t="s">
        <v>95</v>
      </c>
      <c r="AX610" t="s">
        <v>201</v>
      </c>
      <c r="AY610" t="s">
        <v>120</v>
      </c>
      <c r="BE610">
        <v>0</v>
      </c>
      <c r="BG610">
        <v>28</v>
      </c>
      <c r="BH610" t="s">
        <v>99</v>
      </c>
      <c r="BO610" t="s">
        <v>111</v>
      </c>
      <c r="CD610" t="s">
        <v>657</v>
      </c>
      <c r="CE610">
        <v>18752</v>
      </c>
      <c r="CF610" t="s">
        <v>658</v>
      </c>
      <c r="CG610" t="s">
        <v>659</v>
      </c>
      <c r="CH610">
        <v>1988</v>
      </c>
    </row>
    <row r="611" spans="1:86" hidden="1" x14ac:dyDescent="0.25">
      <c r="A611">
        <v>330541</v>
      </c>
      <c r="B611" t="s">
        <v>86</v>
      </c>
      <c r="D611" t="s">
        <v>115</v>
      </c>
      <c r="K611" t="s">
        <v>660</v>
      </c>
      <c r="L611" t="s">
        <v>89</v>
      </c>
      <c r="M611" t="s">
        <v>90</v>
      </c>
      <c r="V611" t="s">
        <v>91</v>
      </c>
      <c r="W611" t="s">
        <v>92</v>
      </c>
      <c r="X611" t="s">
        <v>93</v>
      </c>
      <c r="Z611" t="s">
        <v>137</v>
      </c>
      <c r="AB611">
        <v>2.2999999999999998</v>
      </c>
      <c r="AG611" t="s">
        <v>95</v>
      </c>
      <c r="AX611" t="s">
        <v>144</v>
      </c>
      <c r="AY611" t="s">
        <v>661</v>
      </c>
      <c r="BC611">
        <v>4</v>
      </c>
      <c r="BH611" t="s">
        <v>99</v>
      </c>
      <c r="BO611" t="s">
        <v>111</v>
      </c>
      <c r="CD611" t="s">
        <v>662</v>
      </c>
      <c r="CE611">
        <v>15634</v>
      </c>
      <c r="CF611" t="s">
        <v>663</v>
      </c>
      <c r="CG611" t="s">
        <v>664</v>
      </c>
      <c r="CH611">
        <v>1981</v>
      </c>
    </row>
    <row r="612" spans="1:86" hidden="1" x14ac:dyDescent="0.25">
      <c r="A612">
        <v>330541</v>
      </c>
      <c r="B612" t="s">
        <v>86</v>
      </c>
      <c r="D612" t="s">
        <v>115</v>
      </c>
      <c r="F612">
        <v>80</v>
      </c>
      <c r="K612" t="s">
        <v>90</v>
      </c>
      <c r="L612" t="s">
        <v>90</v>
      </c>
      <c r="M612" t="s">
        <v>90</v>
      </c>
      <c r="V612" t="s">
        <v>491</v>
      </c>
      <c r="W612" t="s">
        <v>92</v>
      </c>
      <c r="X612" t="s">
        <v>492</v>
      </c>
      <c r="Z612" t="s">
        <v>94</v>
      </c>
      <c r="AB612"/>
      <c r="AD612">
        <v>2</v>
      </c>
      <c r="AF612">
        <v>6</v>
      </c>
      <c r="AG612" t="s">
        <v>95</v>
      </c>
      <c r="AX612" t="s">
        <v>108</v>
      </c>
      <c r="AY612" t="s">
        <v>150</v>
      </c>
      <c r="BE612">
        <v>7</v>
      </c>
      <c r="BG612">
        <v>14</v>
      </c>
      <c r="BH612" t="s">
        <v>99</v>
      </c>
      <c r="BO612" t="s">
        <v>111</v>
      </c>
      <c r="CD612" t="s">
        <v>665</v>
      </c>
      <c r="CE612">
        <v>14395</v>
      </c>
      <c r="CF612" t="s">
        <v>666</v>
      </c>
      <c r="CG612" t="s">
        <v>667</v>
      </c>
      <c r="CH612">
        <v>1962</v>
      </c>
    </row>
    <row r="613" spans="1:86" hidden="1" x14ac:dyDescent="0.25">
      <c r="A613">
        <v>330541</v>
      </c>
      <c r="B613" t="s">
        <v>86</v>
      </c>
      <c r="D613" t="s">
        <v>115</v>
      </c>
      <c r="K613" t="s">
        <v>668</v>
      </c>
      <c r="L613" t="s">
        <v>669</v>
      </c>
      <c r="M613" t="s">
        <v>90</v>
      </c>
      <c r="V613" t="s">
        <v>507</v>
      </c>
      <c r="W613" t="s">
        <v>92</v>
      </c>
      <c r="X613" t="s">
        <v>93</v>
      </c>
      <c r="Z613" t="s">
        <v>137</v>
      </c>
      <c r="AB613">
        <v>2.330972</v>
      </c>
      <c r="AG613" t="s">
        <v>95</v>
      </c>
      <c r="AX613" t="s">
        <v>144</v>
      </c>
      <c r="AY613" t="s">
        <v>455</v>
      </c>
      <c r="BE613">
        <v>2.0799999999999999E-2</v>
      </c>
      <c r="BG613">
        <v>10</v>
      </c>
      <c r="BH613" t="s">
        <v>99</v>
      </c>
      <c r="BO613" t="s">
        <v>111</v>
      </c>
      <c r="CD613" t="s">
        <v>670</v>
      </c>
      <c r="CE613">
        <v>10735</v>
      </c>
      <c r="CF613" t="s">
        <v>671</v>
      </c>
      <c r="CG613" t="s">
        <v>672</v>
      </c>
      <c r="CH613">
        <v>1984</v>
      </c>
    </row>
    <row r="614" spans="1:86" hidden="1" x14ac:dyDescent="0.25">
      <c r="A614">
        <v>330541</v>
      </c>
      <c r="B614" t="s">
        <v>86</v>
      </c>
      <c r="D614" t="s">
        <v>115</v>
      </c>
      <c r="K614" t="s">
        <v>369</v>
      </c>
      <c r="L614" t="s">
        <v>370</v>
      </c>
      <c r="M614" t="s">
        <v>90</v>
      </c>
      <c r="N614" t="s">
        <v>118</v>
      </c>
      <c r="V614" t="s">
        <v>91</v>
      </c>
      <c r="W614" t="s">
        <v>107</v>
      </c>
      <c r="X614" t="s">
        <v>93</v>
      </c>
      <c r="Z614" t="s">
        <v>137</v>
      </c>
      <c r="AB614">
        <v>0.01</v>
      </c>
      <c r="AG614" t="s">
        <v>95</v>
      </c>
      <c r="AX614" t="s">
        <v>201</v>
      </c>
      <c r="AY614" t="s">
        <v>646</v>
      </c>
      <c r="BC614">
        <v>7</v>
      </c>
      <c r="BH614" t="s">
        <v>99</v>
      </c>
      <c r="BO614" t="s">
        <v>111</v>
      </c>
      <c r="CD614" t="s">
        <v>647</v>
      </c>
      <c r="CE614">
        <v>9446</v>
      </c>
      <c r="CF614" t="s">
        <v>648</v>
      </c>
      <c r="CG614" t="s">
        <v>649</v>
      </c>
      <c r="CH614">
        <v>1971</v>
      </c>
    </row>
    <row r="615" spans="1:86" hidden="1" x14ac:dyDescent="0.25">
      <c r="A615">
        <v>330541</v>
      </c>
      <c r="B615" t="s">
        <v>86</v>
      </c>
      <c r="D615" t="s">
        <v>115</v>
      </c>
      <c r="K615" t="s">
        <v>673</v>
      </c>
      <c r="L615" t="s">
        <v>143</v>
      </c>
      <c r="M615" t="s">
        <v>90</v>
      </c>
      <c r="V615" t="s">
        <v>91</v>
      </c>
      <c r="W615" t="s">
        <v>92</v>
      </c>
      <c r="X615" t="s">
        <v>93</v>
      </c>
      <c r="Z615" t="s">
        <v>137</v>
      </c>
      <c r="AA615" t="s">
        <v>234</v>
      </c>
      <c r="AB615">
        <v>2</v>
      </c>
      <c r="AG615" t="s">
        <v>674</v>
      </c>
      <c r="AX615" t="s">
        <v>108</v>
      </c>
      <c r="AY615" t="s">
        <v>308</v>
      </c>
      <c r="BC615">
        <v>15</v>
      </c>
      <c r="BH615" t="s">
        <v>99</v>
      </c>
      <c r="BO615" t="s">
        <v>111</v>
      </c>
      <c r="CD615" t="s">
        <v>652</v>
      </c>
      <c r="CE615">
        <v>9444</v>
      </c>
      <c r="CF615" t="s">
        <v>675</v>
      </c>
      <c r="CG615" t="s">
        <v>676</v>
      </c>
      <c r="CH615">
        <v>1971</v>
      </c>
    </row>
    <row r="616" spans="1:86" hidden="1" x14ac:dyDescent="0.25">
      <c r="A616">
        <v>330541</v>
      </c>
      <c r="B616" t="s">
        <v>86</v>
      </c>
      <c r="D616" t="s">
        <v>115</v>
      </c>
      <c r="K616" t="s">
        <v>651</v>
      </c>
      <c r="L616" t="s">
        <v>143</v>
      </c>
      <c r="M616" t="s">
        <v>90</v>
      </c>
      <c r="V616" t="s">
        <v>91</v>
      </c>
      <c r="W616" t="s">
        <v>92</v>
      </c>
      <c r="X616" t="s">
        <v>93</v>
      </c>
      <c r="Z616" t="s">
        <v>137</v>
      </c>
      <c r="AB616">
        <v>10</v>
      </c>
      <c r="AG616" t="s">
        <v>95</v>
      </c>
      <c r="AX616" t="s">
        <v>523</v>
      </c>
      <c r="AY616" t="s">
        <v>523</v>
      </c>
      <c r="BC616">
        <v>15</v>
      </c>
      <c r="BH616" t="s">
        <v>99</v>
      </c>
      <c r="BO616" t="s">
        <v>111</v>
      </c>
      <c r="CD616" t="s">
        <v>652</v>
      </c>
      <c r="CE616">
        <v>9206</v>
      </c>
      <c r="CF616" t="s">
        <v>653</v>
      </c>
      <c r="CG616" t="s">
        <v>654</v>
      </c>
      <c r="CH616">
        <v>1972</v>
      </c>
    </row>
    <row r="617" spans="1:86" hidden="1" x14ac:dyDescent="0.25">
      <c r="A617">
        <v>330541</v>
      </c>
      <c r="B617" t="s">
        <v>86</v>
      </c>
      <c r="D617" t="s">
        <v>115</v>
      </c>
      <c r="K617" t="s">
        <v>677</v>
      </c>
      <c r="L617" t="s">
        <v>89</v>
      </c>
      <c r="M617" t="s">
        <v>90</v>
      </c>
      <c r="W617" t="s">
        <v>107</v>
      </c>
      <c r="X617" t="s">
        <v>93</v>
      </c>
      <c r="Z617" t="s">
        <v>137</v>
      </c>
      <c r="AB617"/>
      <c r="AD617">
        <v>2.3309719999999999E-4</v>
      </c>
      <c r="AF617">
        <v>0.2330972</v>
      </c>
      <c r="AG617" t="s">
        <v>95</v>
      </c>
      <c r="AX617" t="s">
        <v>144</v>
      </c>
      <c r="AY617" t="s">
        <v>109</v>
      </c>
      <c r="BE617">
        <v>4</v>
      </c>
      <c r="BG617">
        <v>7</v>
      </c>
      <c r="BH617" t="s">
        <v>99</v>
      </c>
      <c r="BO617" t="s">
        <v>111</v>
      </c>
      <c r="CD617" t="s">
        <v>678</v>
      </c>
      <c r="CE617">
        <v>20539</v>
      </c>
      <c r="CF617" t="s">
        <v>679</v>
      </c>
      <c r="CG617" t="s">
        <v>680</v>
      </c>
      <c r="CH617">
        <v>1996</v>
      </c>
    </row>
    <row r="618" spans="1:86" hidden="1" x14ac:dyDescent="0.25">
      <c r="A618">
        <v>330541</v>
      </c>
      <c r="B618" t="s">
        <v>86</v>
      </c>
      <c r="D618" t="s">
        <v>115</v>
      </c>
      <c r="K618" t="s">
        <v>369</v>
      </c>
      <c r="L618" t="s">
        <v>370</v>
      </c>
      <c r="M618" t="s">
        <v>90</v>
      </c>
      <c r="N618" t="s">
        <v>118</v>
      </c>
      <c r="V618" t="s">
        <v>91</v>
      </c>
      <c r="W618" t="s">
        <v>107</v>
      </c>
      <c r="X618" t="s">
        <v>93</v>
      </c>
      <c r="Z618" t="s">
        <v>137</v>
      </c>
      <c r="AB618">
        <v>0.01</v>
      </c>
      <c r="AG618" t="s">
        <v>95</v>
      </c>
      <c r="AX618" t="s">
        <v>201</v>
      </c>
      <c r="AY618" t="s">
        <v>646</v>
      </c>
      <c r="BC618">
        <v>7</v>
      </c>
      <c r="BH618" t="s">
        <v>99</v>
      </c>
      <c r="BO618" t="s">
        <v>111</v>
      </c>
      <c r="CD618" t="s">
        <v>647</v>
      </c>
      <c r="CE618">
        <v>9446</v>
      </c>
      <c r="CF618" t="s">
        <v>648</v>
      </c>
      <c r="CG618" t="s">
        <v>649</v>
      </c>
      <c r="CH618">
        <v>1971</v>
      </c>
    </row>
    <row r="619" spans="1:86" hidden="1" x14ac:dyDescent="0.25">
      <c r="A619">
        <v>330541</v>
      </c>
      <c r="B619" t="s">
        <v>86</v>
      </c>
      <c r="D619" t="s">
        <v>115</v>
      </c>
      <c r="K619" t="s">
        <v>195</v>
      </c>
      <c r="L619" t="s">
        <v>89</v>
      </c>
      <c r="M619" t="s">
        <v>90</v>
      </c>
      <c r="N619" t="s">
        <v>118</v>
      </c>
      <c r="V619" t="s">
        <v>91</v>
      </c>
      <c r="W619" t="s">
        <v>107</v>
      </c>
      <c r="X619" t="s">
        <v>93</v>
      </c>
      <c r="Z619" t="s">
        <v>137</v>
      </c>
      <c r="AB619">
        <v>0.01</v>
      </c>
      <c r="AG619" t="s">
        <v>95</v>
      </c>
      <c r="AX619" t="s">
        <v>108</v>
      </c>
      <c r="AY619" t="s">
        <v>308</v>
      </c>
      <c r="BC619">
        <v>10</v>
      </c>
      <c r="BH619" t="s">
        <v>99</v>
      </c>
      <c r="BO619" t="s">
        <v>111</v>
      </c>
      <c r="CD619" t="s">
        <v>647</v>
      </c>
      <c r="CE619">
        <v>9446</v>
      </c>
      <c r="CF619" t="s">
        <v>648</v>
      </c>
      <c r="CG619" t="s">
        <v>649</v>
      </c>
      <c r="CH619">
        <v>1971</v>
      </c>
    </row>
    <row r="620" spans="1:86" x14ac:dyDescent="0.25">
      <c r="A620">
        <v>330541</v>
      </c>
      <c r="B620" t="s">
        <v>86</v>
      </c>
      <c r="D620" t="s">
        <v>115</v>
      </c>
      <c r="F620">
        <v>98</v>
      </c>
      <c r="K620" t="s">
        <v>224</v>
      </c>
      <c r="L620" t="s">
        <v>89</v>
      </c>
      <c r="M620" t="s">
        <v>90</v>
      </c>
      <c r="N620" t="s">
        <v>118</v>
      </c>
      <c r="V620" t="s">
        <v>91</v>
      </c>
      <c r="W620" t="s">
        <v>92</v>
      </c>
      <c r="X620" t="s">
        <v>93</v>
      </c>
      <c r="Z620" t="s">
        <v>94</v>
      </c>
      <c r="AA620" t="s">
        <v>499</v>
      </c>
      <c r="AB620">
        <v>58.274299999999997</v>
      </c>
      <c r="AG620" t="s">
        <v>95</v>
      </c>
      <c r="AX620" t="s">
        <v>144</v>
      </c>
      <c r="AY620" t="s">
        <v>438</v>
      </c>
      <c r="BB620" t="s">
        <v>499</v>
      </c>
      <c r="BC620">
        <v>5.5599999999999997E-2</v>
      </c>
      <c r="BH620" t="s">
        <v>99</v>
      </c>
      <c r="BO620" t="s">
        <v>111</v>
      </c>
      <c r="CD620" t="s">
        <v>500</v>
      </c>
      <c r="CE620">
        <v>158970</v>
      </c>
      <c r="CF620" t="s">
        <v>501</v>
      </c>
      <c r="CG620" t="s">
        <v>502</v>
      </c>
      <c r="CH620">
        <v>2012</v>
      </c>
    </row>
    <row r="621" spans="1:86" hidden="1" x14ac:dyDescent="0.25">
      <c r="A621">
        <v>330541</v>
      </c>
      <c r="B621" t="s">
        <v>86</v>
      </c>
      <c r="D621" t="s">
        <v>115</v>
      </c>
      <c r="K621" t="s">
        <v>189</v>
      </c>
      <c r="L621" t="s">
        <v>190</v>
      </c>
      <c r="M621" t="s">
        <v>90</v>
      </c>
      <c r="N621" t="s">
        <v>118</v>
      </c>
      <c r="V621" t="s">
        <v>91</v>
      </c>
      <c r="W621" t="s">
        <v>107</v>
      </c>
      <c r="X621" t="s">
        <v>93</v>
      </c>
      <c r="Z621" t="s">
        <v>137</v>
      </c>
      <c r="AB621">
        <v>0.01</v>
      </c>
      <c r="AG621" t="s">
        <v>95</v>
      </c>
      <c r="AX621" t="s">
        <v>201</v>
      </c>
      <c r="AY621" t="s">
        <v>646</v>
      </c>
      <c r="BC621">
        <v>7</v>
      </c>
      <c r="BH621" t="s">
        <v>99</v>
      </c>
      <c r="BO621" t="s">
        <v>111</v>
      </c>
      <c r="CD621" t="s">
        <v>647</v>
      </c>
      <c r="CE621">
        <v>9446</v>
      </c>
      <c r="CF621" t="s">
        <v>648</v>
      </c>
      <c r="CG621" t="s">
        <v>649</v>
      </c>
      <c r="CH621">
        <v>1971</v>
      </c>
    </row>
    <row r="622" spans="1:86" hidden="1" x14ac:dyDescent="0.25">
      <c r="A622">
        <v>330541</v>
      </c>
      <c r="B622" t="s">
        <v>86</v>
      </c>
      <c r="C622" t="s">
        <v>183</v>
      </c>
      <c r="D622" t="s">
        <v>115</v>
      </c>
      <c r="E622" t="s">
        <v>106</v>
      </c>
      <c r="F622">
        <v>98</v>
      </c>
      <c r="K622" t="s">
        <v>218</v>
      </c>
      <c r="L622" t="s">
        <v>89</v>
      </c>
      <c r="M622" t="s">
        <v>90</v>
      </c>
      <c r="V622" t="s">
        <v>91</v>
      </c>
      <c r="W622" t="s">
        <v>92</v>
      </c>
      <c r="X622" t="s">
        <v>93</v>
      </c>
      <c r="Y622">
        <v>5</v>
      </c>
      <c r="Z622" t="s">
        <v>94</v>
      </c>
      <c r="AB622"/>
      <c r="AD622">
        <v>1.1654860000000001E-3</v>
      </c>
      <c r="AF622">
        <v>1.165486</v>
      </c>
      <c r="AG622" t="s">
        <v>95</v>
      </c>
      <c r="AX622" t="s">
        <v>144</v>
      </c>
      <c r="AY622" t="s">
        <v>455</v>
      </c>
      <c r="BC622">
        <v>5.5599999999999997E-2</v>
      </c>
      <c r="BH622" t="s">
        <v>99</v>
      </c>
      <c r="BO622" t="s">
        <v>111</v>
      </c>
      <c r="CD622" t="s">
        <v>508</v>
      </c>
      <c r="CE622">
        <v>19633</v>
      </c>
      <c r="CF622" t="s">
        <v>509</v>
      </c>
      <c r="CG622" t="s">
        <v>510</v>
      </c>
      <c r="CH622">
        <v>1976</v>
      </c>
    </row>
    <row r="623" spans="1:86" hidden="1" x14ac:dyDescent="0.25">
      <c r="A623">
        <v>330541</v>
      </c>
      <c r="B623" t="s">
        <v>86</v>
      </c>
      <c r="C623" t="s">
        <v>183</v>
      </c>
      <c r="D623" t="s">
        <v>115</v>
      </c>
      <c r="E623" t="s">
        <v>106</v>
      </c>
      <c r="F623">
        <v>98</v>
      </c>
      <c r="K623" t="s">
        <v>218</v>
      </c>
      <c r="L623" t="s">
        <v>89</v>
      </c>
      <c r="M623" t="s">
        <v>90</v>
      </c>
      <c r="V623" t="s">
        <v>91</v>
      </c>
      <c r="W623" t="s">
        <v>92</v>
      </c>
      <c r="X623" t="s">
        <v>93</v>
      </c>
      <c r="Y623">
        <v>5</v>
      </c>
      <c r="Z623" t="s">
        <v>94</v>
      </c>
      <c r="AB623"/>
      <c r="AD623">
        <v>1.1654860000000001E-3</v>
      </c>
      <c r="AF623">
        <v>1.165486</v>
      </c>
      <c r="AG623" t="s">
        <v>95</v>
      </c>
      <c r="AX623" t="s">
        <v>144</v>
      </c>
      <c r="AY623" t="s">
        <v>455</v>
      </c>
      <c r="BC623">
        <v>4.1700000000000001E-2</v>
      </c>
      <c r="BH623" t="s">
        <v>99</v>
      </c>
      <c r="BO623" t="s">
        <v>111</v>
      </c>
      <c r="CD623" t="s">
        <v>508</v>
      </c>
      <c r="CE623">
        <v>19633</v>
      </c>
      <c r="CF623" t="s">
        <v>509</v>
      </c>
      <c r="CG623" t="s">
        <v>510</v>
      </c>
      <c r="CH623">
        <v>1976</v>
      </c>
    </row>
    <row r="624" spans="1:86" hidden="1" x14ac:dyDescent="0.25">
      <c r="A624">
        <v>330541</v>
      </c>
      <c r="B624" t="s">
        <v>86</v>
      </c>
      <c r="C624" t="s">
        <v>104</v>
      </c>
      <c r="D624" t="s">
        <v>105</v>
      </c>
      <c r="E624" t="s">
        <v>149</v>
      </c>
      <c r="F624">
        <v>99</v>
      </c>
      <c r="K624" t="s">
        <v>182</v>
      </c>
      <c r="L624" t="s">
        <v>117</v>
      </c>
      <c r="M624" t="s">
        <v>90</v>
      </c>
      <c r="V624" t="s">
        <v>91</v>
      </c>
      <c r="W624" t="s">
        <v>92</v>
      </c>
      <c r="X624" t="s">
        <v>93</v>
      </c>
      <c r="Y624">
        <v>5</v>
      </c>
      <c r="Z624" t="s">
        <v>94</v>
      </c>
      <c r="AB624"/>
      <c r="AD624">
        <v>0.05</v>
      </c>
      <c r="AF624">
        <v>0.5</v>
      </c>
      <c r="AG624" t="s">
        <v>95</v>
      </c>
      <c r="AX624" t="s">
        <v>108</v>
      </c>
      <c r="AY624" t="s">
        <v>150</v>
      </c>
      <c r="BC624">
        <v>2</v>
      </c>
      <c r="BH624" t="s">
        <v>99</v>
      </c>
      <c r="BO624" t="s">
        <v>111</v>
      </c>
      <c r="CD624" t="s">
        <v>151</v>
      </c>
      <c r="CE624">
        <v>174505</v>
      </c>
      <c r="CF624" t="s">
        <v>152</v>
      </c>
      <c r="CG624" t="s">
        <v>153</v>
      </c>
      <c r="CH624">
        <v>2016</v>
      </c>
    </row>
    <row r="625" spans="1:86" hidden="1" x14ac:dyDescent="0.25">
      <c r="A625">
        <v>330541</v>
      </c>
      <c r="B625" t="s">
        <v>86</v>
      </c>
      <c r="D625" t="s">
        <v>115</v>
      </c>
      <c r="K625" t="s">
        <v>90</v>
      </c>
      <c r="L625" t="s">
        <v>90</v>
      </c>
      <c r="M625" t="s">
        <v>90</v>
      </c>
      <c r="V625" t="s">
        <v>91</v>
      </c>
      <c r="W625" t="s">
        <v>107</v>
      </c>
      <c r="X625" t="s">
        <v>93</v>
      </c>
      <c r="Y625">
        <v>4</v>
      </c>
      <c r="Z625" t="s">
        <v>137</v>
      </c>
      <c r="AB625"/>
      <c r="AD625">
        <v>1E-4</v>
      </c>
      <c r="AF625">
        <v>2.9999999999999997E-4</v>
      </c>
      <c r="AG625" t="s">
        <v>95</v>
      </c>
      <c r="AX625" t="s">
        <v>201</v>
      </c>
      <c r="AY625" t="s">
        <v>202</v>
      </c>
      <c r="BC625">
        <v>6.25E-2</v>
      </c>
      <c r="BH625" t="s">
        <v>99</v>
      </c>
      <c r="BO625" t="s">
        <v>111</v>
      </c>
      <c r="CD625" t="s">
        <v>204</v>
      </c>
      <c r="CE625">
        <v>75334</v>
      </c>
      <c r="CF625" t="s">
        <v>205</v>
      </c>
      <c r="CG625" t="s">
        <v>206</v>
      </c>
      <c r="CH625">
        <v>2003</v>
      </c>
    </row>
    <row r="626" spans="1:86" hidden="1" x14ac:dyDescent="0.25">
      <c r="A626">
        <v>330541</v>
      </c>
      <c r="B626" t="s">
        <v>86</v>
      </c>
      <c r="D626" t="s">
        <v>115</v>
      </c>
      <c r="K626" t="s">
        <v>651</v>
      </c>
      <c r="L626" t="s">
        <v>143</v>
      </c>
      <c r="M626" t="s">
        <v>90</v>
      </c>
      <c r="V626" t="s">
        <v>91</v>
      </c>
      <c r="W626" t="s">
        <v>92</v>
      </c>
      <c r="X626" t="s">
        <v>93</v>
      </c>
      <c r="Z626" t="s">
        <v>137</v>
      </c>
      <c r="AB626">
        <v>2000</v>
      </c>
      <c r="AG626" t="s">
        <v>95</v>
      </c>
      <c r="AX626" t="s">
        <v>523</v>
      </c>
      <c r="AY626" t="s">
        <v>523</v>
      </c>
      <c r="BC626">
        <v>15</v>
      </c>
      <c r="BH626" t="s">
        <v>99</v>
      </c>
      <c r="BO626" t="s">
        <v>111</v>
      </c>
      <c r="CD626" t="s">
        <v>652</v>
      </c>
      <c r="CE626">
        <v>9206</v>
      </c>
      <c r="CF626" t="s">
        <v>653</v>
      </c>
      <c r="CG626" t="s">
        <v>654</v>
      </c>
      <c r="CH626">
        <v>1972</v>
      </c>
    </row>
    <row r="627" spans="1:86" hidden="1" x14ac:dyDescent="0.25">
      <c r="A627">
        <v>330541</v>
      </c>
      <c r="B627" t="s">
        <v>86</v>
      </c>
      <c r="D627" t="s">
        <v>115</v>
      </c>
      <c r="K627" t="s">
        <v>651</v>
      </c>
      <c r="L627" t="s">
        <v>143</v>
      </c>
      <c r="M627" t="s">
        <v>90</v>
      </c>
      <c r="V627" t="s">
        <v>91</v>
      </c>
      <c r="W627" t="s">
        <v>92</v>
      </c>
      <c r="X627" t="s">
        <v>93</v>
      </c>
      <c r="Z627" t="s">
        <v>137</v>
      </c>
      <c r="AB627">
        <v>1000</v>
      </c>
      <c r="AG627" t="s">
        <v>95</v>
      </c>
      <c r="AX627" t="s">
        <v>523</v>
      </c>
      <c r="AY627" t="s">
        <v>523</v>
      </c>
      <c r="BC627">
        <v>15</v>
      </c>
      <c r="BH627" t="s">
        <v>99</v>
      </c>
      <c r="BO627" t="s">
        <v>111</v>
      </c>
      <c r="CD627" t="s">
        <v>652</v>
      </c>
      <c r="CE627">
        <v>9206</v>
      </c>
      <c r="CF627" t="s">
        <v>653</v>
      </c>
      <c r="CG627" t="s">
        <v>654</v>
      </c>
      <c r="CH627">
        <v>1972</v>
      </c>
    </row>
    <row r="628" spans="1:86" hidden="1" x14ac:dyDescent="0.25">
      <c r="A628">
        <v>330541</v>
      </c>
      <c r="B628" t="s">
        <v>86</v>
      </c>
      <c r="D628" t="s">
        <v>115</v>
      </c>
      <c r="K628" t="s">
        <v>90</v>
      </c>
      <c r="L628" t="s">
        <v>90</v>
      </c>
      <c r="M628" t="s">
        <v>90</v>
      </c>
      <c r="V628" t="s">
        <v>257</v>
      </c>
      <c r="W628" t="s">
        <v>107</v>
      </c>
      <c r="X628" t="s">
        <v>93</v>
      </c>
      <c r="Y628">
        <v>1</v>
      </c>
      <c r="Z628" t="s">
        <v>137</v>
      </c>
      <c r="AB628">
        <v>1</v>
      </c>
      <c r="AG628" t="s">
        <v>95</v>
      </c>
      <c r="AX628" t="s">
        <v>144</v>
      </c>
      <c r="AY628" t="s">
        <v>681</v>
      </c>
      <c r="BC628">
        <v>0.16669999999999999</v>
      </c>
      <c r="BH628" t="s">
        <v>99</v>
      </c>
      <c r="BO628" t="s">
        <v>111</v>
      </c>
      <c r="CD628" t="s">
        <v>682</v>
      </c>
      <c r="CE628">
        <v>14134</v>
      </c>
      <c r="CF628" t="s">
        <v>683</v>
      </c>
      <c r="CG628" t="s">
        <v>684</v>
      </c>
      <c r="CH628">
        <v>1965</v>
      </c>
    </row>
    <row r="629" spans="1:86" hidden="1" x14ac:dyDescent="0.25">
      <c r="A629">
        <v>330541</v>
      </c>
      <c r="B629" t="s">
        <v>86</v>
      </c>
      <c r="D629" t="s">
        <v>115</v>
      </c>
      <c r="K629" t="s">
        <v>685</v>
      </c>
      <c r="L629" t="s">
        <v>143</v>
      </c>
      <c r="M629" t="s">
        <v>90</v>
      </c>
      <c r="V629" t="s">
        <v>91</v>
      </c>
      <c r="W629" t="s">
        <v>92</v>
      </c>
      <c r="X629" t="s">
        <v>93</v>
      </c>
      <c r="Z629" t="s">
        <v>137</v>
      </c>
      <c r="AB629">
        <v>2000</v>
      </c>
      <c r="AG629" t="s">
        <v>95</v>
      </c>
      <c r="AX629" t="s">
        <v>523</v>
      </c>
      <c r="AY629" t="s">
        <v>523</v>
      </c>
      <c r="BC629">
        <v>15</v>
      </c>
      <c r="BH629" t="s">
        <v>99</v>
      </c>
      <c r="BO629" t="s">
        <v>111</v>
      </c>
      <c r="CD629" t="s">
        <v>652</v>
      </c>
      <c r="CE629">
        <v>9206</v>
      </c>
      <c r="CF629" t="s">
        <v>653</v>
      </c>
      <c r="CG629" t="s">
        <v>654</v>
      </c>
      <c r="CH629">
        <v>1972</v>
      </c>
    </row>
    <row r="630" spans="1:86" hidden="1" x14ac:dyDescent="0.25">
      <c r="A630">
        <v>330541</v>
      </c>
      <c r="B630" t="s">
        <v>86</v>
      </c>
      <c r="D630" t="s">
        <v>115</v>
      </c>
      <c r="K630" t="s">
        <v>686</v>
      </c>
      <c r="L630" t="s">
        <v>190</v>
      </c>
      <c r="M630" t="s">
        <v>90</v>
      </c>
      <c r="N630" t="s">
        <v>118</v>
      </c>
      <c r="V630" t="s">
        <v>91</v>
      </c>
      <c r="W630" t="s">
        <v>107</v>
      </c>
      <c r="X630" t="s">
        <v>93</v>
      </c>
      <c r="Z630" t="s">
        <v>137</v>
      </c>
      <c r="AB630">
        <v>0.01</v>
      </c>
      <c r="AG630" t="s">
        <v>95</v>
      </c>
      <c r="AX630" t="s">
        <v>201</v>
      </c>
      <c r="AY630" t="s">
        <v>311</v>
      </c>
      <c r="BC630">
        <v>7</v>
      </c>
      <c r="BH630" t="s">
        <v>99</v>
      </c>
      <c r="BO630" t="s">
        <v>111</v>
      </c>
      <c r="CD630" t="s">
        <v>647</v>
      </c>
      <c r="CE630">
        <v>9446</v>
      </c>
      <c r="CF630" t="s">
        <v>648</v>
      </c>
      <c r="CG630" t="s">
        <v>649</v>
      </c>
      <c r="CH630">
        <v>1971</v>
      </c>
    </row>
    <row r="631" spans="1:86" hidden="1" x14ac:dyDescent="0.25">
      <c r="A631">
        <v>330541</v>
      </c>
      <c r="B631" t="s">
        <v>86</v>
      </c>
      <c r="D631" t="s">
        <v>115</v>
      </c>
      <c r="K631" t="s">
        <v>687</v>
      </c>
      <c r="L631" t="s">
        <v>688</v>
      </c>
      <c r="M631" t="s">
        <v>90</v>
      </c>
      <c r="W631" t="s">
        <v>107</v>
      </c>
      <c r="X631" t="s">
        <v>93</v>
      </c>
      <c r="Z631" t="s">
        <v>137</v>
      </c>
      <c r="AB631"/>
      <c r="AD631">
        <v>2.3309719999999999E-4</v>
      </c>
      <c r="AF631">
        <v>0.2330972</v>
      </c>
      <c r="AG631" t="s">
        <v>95</v>
      </c>
      <c r="AX631" t="s">
        <v>144</v>
      </c>
      <c r="AY631" t="s">
        <v>109</v>
      </c>
      <c r="BE631">
        <v>4</v>
      </c>
      <c r="BG631">
        <v>7</v>
      </c>
      <c r="BH631" t="s">
        <v>99</v>
      </c>
      <c r="BO631" t="s">
        <v>111</v>
      </c>
      <c r="CD631" t="s">
        <v>678</v>
      </c>
      <c r="CE631">
        <v>20539</v>
      </c>
      <c r="CF631" t="s">
        <v>679</v>
      </c>
      <c r="CG631" t="s">
        <v>680</v>
      </c>
      <c r="CH631">
        <v>1996</v>
      </c>
    </row>
    <row r="632" spans="1:86" hidden="1" x14ac:dyDescent="0.25">
      <c r="A632">
        <v>330541</v>
      </c>
      <c r="B632" t="s">
        <v>86</v>
      </c>
      <c r="D632" t="s">
        <v>115</v>
      </c>
      <c r="K632" t="s">
        <v>686</v>
      </c>
      <c r="L632" t="s">
        <v>190</v>
      </c>
      <c r="M632" t="s">
        <v>90</v>
      </c>
      <c r="N632" t="s">
        <v>118</v>
      </c>
      <c r="V632" t="s">
        <v>91</v>
      </c>
      <c r="W632" t="s">
        <v>107</v>
      </c>
      <c r="X632" t="s">
        <v>93</v>
      </c>
      <c r="Z632" t="s">
        <v>137</v>
      </c>
      <c r="AB632">
        <v>0.01</v>
      </c>
      <c r="AG632" t="s">
        <v>95</v>
      </c>
      <c r="AX632" t="s">
        <v>201</v>
      </c>
      <c r="AY632" t="s">
        <v>646</v>
      </c>
      <c r="BC632">
        <v>7</v>
      </c>
      <c r="BH632" t="s">
        <v>99</v>
      </c>
      <c r="BO632" t="s">
        <v>111</v>
      </c>
      <c r="CD632" t="s">
        <v>647</v>
      </c>
      <c r="CE632">
        <v>9446</v>
      </c>
      <c r="CF632" t="s">
        <v>648</v>
      </c>
      <c r="CG632" t="s">
        <v>649</v>
      </c>
      <c r="CH632">
        <v>1971</v>
      </c>
    </row>
    <row r="633" spans="1:86" hidden="1" x14ac:dyDescent="0.25">
      <c r="A633">
        <v>330541</v>
      </c>
      <c r="B633" t="s">
        <v>86</v>
      </c>
      <c r="D633" t="s">
        <v>115</v>
      </c>
      <c r="K633" t="s">
        <v>90</v>
      </c>
      <c r="L633" t="s">
        <v>90</v>
      </c>
      <c r="M633" t="s">
        <v>90</v>
      </c>
      <c r="V633" t="s">
        <v>491</v>
      </c>
      <c r="W633" t="s">
        <v>92</v>
      </c>
      <c r="X633" t="s">
        <v>559</v>
      </c>
      <c r="Z633" t="s">
        <v>137</v>
      </c>
      <c r="AB633"/>
      <c r="AD633">
        <v>0.05</v>
      </c>
      <c r="AF633">
        <v>1</v>
      </c>
      <c r="AG633" t="s">
        <v>95</v>
      </c>
      <c r="AX633" t="s">
        <v>108</v>
      </c>
      <c r="AY633" t="s">
        <v>120</v>
      </c>
      <c r="BE633">
        <v>0</v>
      </c>
      <c r="BG633">
        <v>18</v>
      </c>
      <c r="BH633" t="s">
        <v>99</v>
      </c>
      <c r="BO633" t="s">
        <v>111</v>
      </c>
      <c r="CD633" t="s">
        <v>689</v>
      </c>
      <c r="CE633">
        <v>63230</v>
      </c>
      <c r="CF633" t="s">
        <v>690</v>
      </c>
      <c r="CG633" t="s">
        <v>691</v>
      </c>
      <c r="CH633">
        <v>1982</v>
      </c>
    </row>
    <row r="634" spans="1:86" hidden="1" x14ac:dyDescent="0.25">
      <c r="A634">
        <v>330541</v>
      </c>
      <c r="B634" t="s">
        <v>86</v>
      </c>
      <c r="D634" t="s">
        <v>115</v>
      </c>
      <c r="K634" t="s">
        <v>195</v>
      </c>
      <c r="L634" t="s">
        <v>89</v>
      </c>
      <c r="M634" t="s">
        <v>90</v>
      </c>
      <c r="N634" t="s">
        <v>118</v>
      </c>
      <c r="V634" t="s">
        <v>91</v>
      </c>
      <c r="W634" t="s">
        <v>107</v>
      </c>
      <c r="X634" t="s">
        <v>93</v>
      </c>
      <c r="Z634" t="s">
        <v>137</v>
      </c>
      <c r="AB634">
        <v>0.01</v>
      </c>
      <c r="AG634" t="s">
        <v>95</v>
      </c>
      <c r="AX634" t="s">
        <v>201</v>
      </c>
      <c r="AY634" t="s">
        <v>311</v>
      </c>
      <c r="BC634">
        <v>7</v>
      </c>
      <c r="BH634" t="s">
        <v>99</v>
      </c>
      <c r="BO634" t="s">
        <v>111</v>
      </c>
      <c r="CD634" t="s">
        <v>647</v>
      </c>
      <c r="CE634">
        <v>9446</v>
      </c>
      <c r="CF634" t="s">
        <v>648</v>
      </c>
      <c r="CG634" t="s">
        <v>649</v>
      </c>
      <c r="CH634">
        <v>1971</v>
      </c>
    </row>
    <row r="635" spans="1:86" hidden="1" x14ac:dyDescent="0.25">
      <c r="A635">
        <v>330541</v>
      </c>
      <c r="B635" t="s">
        <v>86</v>
      </c>
      <c r="D635" t="s">
        <v>115</v>
      </c>
      <c r="K635" t="s">
        <v>195</v>
      </c>
      <c r="L635" t="s">
        <v>89</v>
      </c>
      <c r="M635" t="s">
        <v>90</v>
      </c>
      <c r="N635" t="s">
        <v>118</v>
      </c>
      <c r="V635" t="s">
        <v>91</v>
      </c>
      <c r="W635" t="s">
        <v>107</v>
      </c>
      <c r="X635" t="s">
        <v>93</v>
      </c>
      <c r="Z635" t="s">
        <v>137</v>
      </c>
      <c r="AB635">
        <v>0.01</v>
      </c>
      <c r="AG635" t="s">
        <v>95</v>
      </c>
      <c r="AX635" t="s">
        <v>201</v>
      </c>
      <c r="AY635" t="s">
        <v>311</v>
      </c>
      <c r="BC635">
        <v>7</v>
      </c>
      <c r="BH635" t="s">
        <v>99</v>
      </c>
      <c r="BO635" t="s">
        <v>111</v>
      </c>
      <c r="CD635" t="s">
        <v>647</v>
      </c>
      <c r="CE635">
        <v>9446</v>
      </c>
      <c r="CF635" t="s">
        <v>648</v>
      </c>
      <c r="CG635" t="s">
        <v>649</v>
      </c>
      <c r="CH635">
        <v>1971</v>
      </c>
    </row>
    <row r="636" spans="1:86" hidden="1" x14ac:dyDescent="0.25">
      <c r="A636">
        <v>330541</v>
      </c>
      <c r="B636" t="s">
        <v>86</v>
      </c>
      <c r="D636" t="s">
        <v>115</v>
      </c>
      <c r="K636" t="s">
        <v>651</v>
      </c>
      <c r="L636" t="s">
        <v>143</v>
      </c>
      <c r="M636" t="s">
        <v>90</v>
      </c>
      <c r="V636" t="s">
        <v>91</v>
      </c>
      <c r="W636" t="s">
        <v>92</v>
      </c>
      <c r="X636" t="s">
        <v>93</v>
      </c>
      <c r="Z636" t="s">
        <v>137</v>
      </c>
      <c r="AB636">
        <v>2000</v>
      </c>
      <c r="AG636" t="s">
        <v>95</v>
      </c>
      <c r="AX636" t="s">
        <v>523</v>
      </c>
      <c r="AY636" t="s">
        <v>523</v>
      </c>
      <c r="BC636">
        <v>15</v>
      </c>
      <c r="BH636" t="s">
        <v>99</v>
      </c>
      <c r="BO636" t="s">
        <v>111</v>
      </c>
      <c r="CD636" t="s">
        <v>652</v>
      </c>
      <c r="CE636">
        <v>9206</v>
      </c>
      <c r="CF636" t="s">
        <v>653</v>
      </c>
      <c r="CG636" t="s">
        <v>654</v>
      </c>
      <c r="CH636">
        <v>1972</v>
      </c>
    </row>
    <row r="637" spans="1:86" hidden="1" x14ac:dyDescent="0.25">
      <c r="A637">
        <v>330541</v>
      </c>
      <c r="B637" t="s">
        <v>86</v>
      </c>
      <c r="D637" t="s">
        <v>115</v>
      </c>
      <c r="K637" t="s">
        <v>90</v>
      </c>
      <c r="L637" t="s">
        <v>90</v>
      </c>
      <c r="M637" t="s">
        <v>90</v>
      </c>
      <c r="V637" t="s">
        <v>491</v>
      </c>
      <c r="W637" t="s">
        <v>92</v>
      </c>
      <c r="X637" t="s">
        <v>559</v>
      </c>
      <c r="Z637" t="s">
        <v>137</v>
      </c>
      <c r="AB637"/>
      <c r="AD637">
        <v>0.05</v>
      </c>
      <c r="AF637">
        <v>1</v>
      </c>
      <c r="AG637" t="s">
        <v>95</v>
      </c>
      <c r="AX637" t="s">
        <v>692</v>
      </c>
      <c r="AY637" t="s">
        <v>693</v>
      </c>
      <c r="BE637">
        <v>0</v>
      </c>
      <c r="BG637">
        <v>18</v>
      </c>
      <c r="BH637" t="s">
        <v>99</v>
      </c>
      <c r="BO637" t="s">
        <v>111</v>
      </c>
      <c r="CD637" t="s">
        <v>689</v>
      </c>
      <c r="CE637">
        <v>63230</v>
      </c>
      <c r="CF637" t="s">
        <v>690</v>
      </c>
      <c r="CG637" t="s">
        <v>691</v>
      </c>
      <c r="CH637">
        <v>1982</v>
      </c>
    </row>
    <row r="638" spans="1:86" hidden="1" x14ac:dyDescent="0.25">
      <c r="A638">
        <v>330541</v>
      </c>
      <c r="B638" t="s">
        <v>86</v>
      </c>
      <c r="D638" t="s">
        <v>115</v>
      </c>
      <c r="K638" t="s">
        <v>660</v>
      </c>
      <c r="L638" t="s">
        <v>89</v>
      </c>
      <c r="M638" t="s">
        <v>90</v>
      </c>
      <c r="V638" t="s">
        <v>91</v>
      </c>
      <c r="W638" t="s">
        <v>92</v>
      </c>
      <c r="X638" t="s">
        <v>93</v>
      </c>
      <c r="Z638" t="s">
        <v>137</v>
      </c>
      <c r="AB638">
        <v>2.2999999999999998</v>
      </c>
      <c r="AG638" t="s">
        <v>95</v>
      </c>
      <c r="AX638" t="s">
        <v>144</v>
      </c>
      <c r="AY638" t="s">
        <v>661</v>
      </c>
      <c r="BC638">
        <v>1.5417000000000001</v>
      </c>
      <c r="BH638" t="s">
        <v>99</v>
      </c>
      <c r="BO638" t="s">
        <v>111</v>
      </c>
      <c r="CD638" t="s">
        <v>662</v>
      </c>
      <c r="CE638">
        <v>15634</v>
      </c>
      <c r="CF638" t="s">
        <v>663</v>
      </c>
      <c r="CG638" t="s">
        <v>664</v>
      </c>
      <c r="CH638">
        <v>1981</v>
      </c>
    </row>
    <row r="639" spans="1:86" hidden="1" x14ac:dyDescent="0.25">
      <c r="A639">
        <v>330541</v>
      </c>
      <c r="B639" t="s">
        <v>86</v>
      </c>
      <c r="D639" t="s">
        <v>115</v>
      </c>
      <c r="K639" t="s">
        <v>480</v>
      </c>
      <c r="L639" t="s">
        <v>89</v>
      </c>
      <c r="M639" t="s">
        <v>90</v>
      </c>
      <c r="V639" t="s">
        <v>91</v>
      </c>
      <c r="W639" t="s">
        <v>92</v>
      </c>
      <c r="X639" t="s">
        <v>93</v>
      </c>
      <c r="Z639" t="s">
        <v>94</v>
      </c>
      <c r="AB639">
        <v>0.1</v>
      </c>
      <c r="AG639" t="s">
        <v>95</v>
      </c>
      <c r="AX639" t="s">
        <v>108</v>
      </c>
      <c r="AY639" t="s">
        <v>160</v>
      </c>
      <c r="BE639">
        <v>0</v>
      </c>
      <c r="BF639" t="s">
        <v>234</v>
      </c>
      <c r="BG639">
        <v>8</v>
      </c>
      <c r="BH639" t="s">
        <v>99</v>
      </c>
      <c r="BO639" t="s">
        <v>111</v>
      </c>
      <c r="CD639" t="s">
        <v>477</v>
      </c>
      <c r="CE639">
        <v>60995</v>
      </c>
      <c r="CF639" t="s">
        <v>694</v>
      </c>
      <c r="CG639" t="s">
        <v>695</v>
      </c>
      <c r="CH639">
        <v>1981</v>
      </c>
    </row>
    <row r="640" spans="1:86" hidden="1" x14ac:dyDescent="0.25">
      <c r="A640">
        <v>330541</v>
      </c>
      <c r="B640" t="s">
        <v>86</v>
      </c>
      <c r="D640" t="s">
        <v>115</v>
      </c>
      <c r="K640" t="s">
        <v>696</v>
      </c>
      <c r="L640" t="s">
        <v>143</v>
      </c>
      <c r="M640" t="s">
        <v>90</v>
      </c>
      <c r="V640" t="s">
        <v>91</v>
      </c>
      <c r="W640" t="s">
        <v>92</v>
      </c>
      <c r="X640" t="s">
        <v>93</v>
      </c>
      <c r="Z640" t="s">
        <v>137</v>
      </c>
      <c r="AB640">
        <v>1.6</v>
      </c>
      <c r="AG640" t="s">
        <v>95</v>
      </c>
      <c r="AX640" t="s">
        <v>144</v>
      </c>
      <c r="AY640" t="s">
        <v>109</v>
      </c>
      <c r="BE640">
        <v>4.1700000000000001E-2</v>
      </c>
      <c r="BG640">
        <v>6.25E-2</v>
      </c>
      <c r="BH640" t="s">
        <v>99</v>
      </c>
      <c r="BO640" t="s">
        <v>111</v>
      </c>
      <c r="CD640" t="s">
        <v>697</v>
      </c>
      <c r="CE640">
        <v>7464</v>
      </c>
      <c r="CF640" t="s">
        <v>698</v>
      </c>
      <c r="CG640" t="s">
        <v>699</v>
      </c>
      <c r="CH640">
        <v>1977</v>
      </c>
    </row>
    <row r="641" spans="1:86" hidden="1" x14ac:dyDescent="0.25">
      <c r="A641">
        <v>330541</v>
      </c>
      <c r="B641" t="s">
        <v>86</v>
      </c>
      <c r="D641" t="s">
        <v>115</v>
      </c>
      <c r="K641" t="s">
        <v>142</v>
      </c>
      <c r="L641" t="s">
        <v>143</v>
      </c>
      <c r="M641" t="s">
        <v>90</v>
      </c>
      <c r="V641" t="s">
        <v>91</v>
      </c>
      <c r="W641" t="s">
        <v>92</v>
      </c>
      <c r="X641" t="s">
        <v>93</v>
      </c>
      <c r="Z641" t="s">
        <v>137</v>
      </c>
      <c r="AB641">
        <v>5000</v>
      </c>
      <c r="AG641" t="s">
        <v>95</v>
      </c>
      <c r="AX641" t="s">
        <v>523</v>
      </c>
      <c r="AY641" t="s">
        <v>523</v>
      </c>
      <c r="BC641">
        <v>15</v>
      </c>
      <c r="BH641" t="s">
        <v>99</v>
      </c>
      <c r="BO641" t="s">
        <v>111</v>
      </c>
      <c r="CD641" t="s">
        <v>652</v>
      </c>
      <c r="CE641">
        <v>9206</v>
      </c>
      <c r="CF641" t="s">
        <v>653</v>
      </c>
      <c r="CG641" t="s">
        <v>654</v>
      </c>
      <c r="CH641">
        <v>1972</v>
      </c>
    </row>
    <row r="642" spans="1:86" hidden="1" x14ac:dyDescent="0.25">
      <c r="A642">
        <v>330541</v>
      </c>
      <c r="B642" t="s">
        <v>86</v>
      </c>
      <c r="D642" t="s">
        <v>115</v>
      </c>
      <c r="K642" t="s">
        <v>700</v>
      </c>
      <c r="L642" t="s">
        <v>117</v>
      </c>
      <c r="M642" t="s">
        <v>90</v>
      </c>
      <c r="W642" t="s">
        <v>107</v>
      </c>
      <c r="X642" t="s">
        <v>93</v>
      </c>
      <c r="Z642" t="s">
        <v>137</v>
      </c>
      <c r="AB642"/>
      <c r="AD642">
        <v>2.3309719999999999E-4</v>
      </c>
      <c r="AF642">
        <v>0.2330972</v>
      </c>
      <c r="AG642" t="s">
        <v>95</v>
      </c>
      <c r="AX642" t="s">
        <v>144</v>
      </c>
      <c r="AY642" t="s">
        <v>109</v>
      </c>
      <c r="BE642">
        <v>4</v>
      </c>
      <c r="BG642">
        <v>7</v>
      </c>
      <c r="BH642" t="s">
        <v>99</v>
      </c>
      <c r="BO642" t="s">
        <v>111</v>
      </c>
      <c r="CD642" t="s">
        <v>678</v>
      </c>
      <c r="CE642">
        <v>20539</v>
      </c>
      <c r="CF642" t="s">
        <v>679</v>
      </c>
      <c r="CG642" t="s">
        <v>680</v>
      </c>
      <c r="CH642">
        <v>1996</v>
      </c>
    </row>
    <row r="643" spans="1:86" hidden="1" x14ac:dyDescent="0.25">
      <c r="A643">
        <v>330541</v>
      </c>
      <c r="B643" t="s">
        <v>86</v>
      </c>
      <c r="D643" t="s">
        <v>115</v>
      </c>
      <c r="K643" t="s">
        <v>535</v>
      </c>
      <c r="L643" t="s">
        <v>89</v>
      </c>
      <c r="M643" t="s">
        <v>90</v>
      </c>
      <c r="V643" t="s">
        <v>91</v>
      </c>
      <c r="W643" t="s">
        <v>92</v>
      </c>
      <c r="X643" t="s">
        <v>93</v>
      </c>
      <c r="Y643">
        <v>2</v>
      </c>
      <c r="Z643" t="s">
        <v>137</v>
      </c>
      <c r="AB643">
        <v>2.330972</v>
      </c>
      <c r="AG643" t="s">
        <v>95</v>
      </c>
      <c r="AX643" t="s">
        <v>108</v>
      </c>
      <c r="AY643" t="s">
        <v>150</v>
      </c>
      <c r="BE643">
        <v>1</v>
      </c>
      <c r="BG643">
        <v>5</v>
      </c>
      <c r="BH643" t="s">
        <v>99</v>
      </c>
      <c r="BO643" t="s">
        <v>111</v>
      </c>
      <c r="CD643" t="s">
        <v>536</v>
      </c>
      <c r="CE643">
        <v>150127</v>
      </c>
      <c r="CF643" t="s">
        <v>537</v>
      </c>
      <c r="CG643" t="s">
        <v>538</v>
      </c>
      <c r="CH643">
        <v>2009</v>
      </c>
    </row>
    <row r="644" spans="1:86" hidden="1" x14ac:dyDescent="0.25">
      <c r="A644">
        <v>330541</v>
      </c>
      <c r="B644" t="s">
        <v>86</v>
      </c>
      <c r="K644" t="s">
        <v>701</v>
      </c>
      <c r="L644" t="s">
        <v>317</v>
      </c>
      <c r="M644" t="s">
        <v>90</v>
      </c>
      <c r="W644" t="s">
        <v>92</v>
      </c>
      <c r="X644" t="s">
        <v>93</v>
      </c>
      <c r="Z644" t="s">
        <v>137</v>
      </c>
      <c r="AB644"/>
      <c r="AD644">
        <v>10</v>
      </c>
      <c r="AF644">
        <v>100</v>
      </c>
      <c r="AG644" t="s">
        <v>95</v>
      </c>
      <c r="AX644" t="s">
        <v>615</v>
      </c>
      <c r="AY644" t="s">
        <v>702</v>
      </c>
      <c r="BA644" t="s">
        <v>703</v>
      </c>
      <c r="BE644">
        <v>0.125</v>
      </c>
      <c r="BG644">
        <v>3</v>
      </c>
      <c r="BH644" t="s">
        <v>99</v>
      </c>
      <c r="BO644" t="s">
        <v>111</v>
      </c>
      <c r="CD644" t="s">
        <v>704</v>
      </c>
      <c r="CE644">
        <v>14181</v>
      </c>
      <c r="CF644" t="s">
        <v>705</v>
      </c>
      <c r="CG644" t="s">
        <v>706</v>
      </c>
      <c r="CH644">
        <v>1987</v>
      </c>
    </row>
    <row r="645" spans="1:86" hidden="1" x14ac:dyDescent="0.25">
      <c r="A645">
        <v>330541</v>
      </c>
      <c r="B645" t="s">
        <v>86</v>
      </c>
      <c r="D645" t="s">
        <v>115</v>
      </c>
      <c r="F645">
        <v>98</v>
      </c>
      <c r="K645" t="s">
        <v>446</v>
      </c>
      <c r="L645" t="s">
        <v>143</v>
      </c>
      <c r="M645" t="s">
        <v>90</v>
      </c>
      <c r="N645" t="s">
        <v>118</v>
      </c>
      <c r="P645">
        <v>6</v>
      </c>
      <c r="U645" t="s">
        <v>99</v>
      </c>
      <c r="V645" t="s">
        <v>91</v>
      </c>
      <c r="W645" t="s">
        <v>92</v>
      </c>
      <c r="X645" t="s">
        <v>93</v>
      </c>
      <c r="Z645" t="s">
        <v>94</v>
      </c>
      <c r="AB645"/>
      <c r="AD645">
        <v>0</v>
      </c>
      <c r="AF645">
        <v>100</v>
      </c>
      <c r="AG645" t="s">
        <v>95</v>
      </c>
      <c r="AX645" t="s">
        <v>707</v>
      </c>
      <c r="AY645" t="s">
        <v>708</v>
      </c>
      <c r="BC645">
        <v>12</v>
      </c>
      <c r="BH645" t="s">
        <v>99</v>
      </c>
      <c r="BO645" t="s">
        <v>111</v>
      </c>
      <c r="CD645" t="s">
        <v>447</v>
      </c>
      <c r="CE645">
        <v>153873</v>
      </c>
      <c r="CF645" t="s">
        <v>448</v>
      </c>
      <c r="CG645" t="s">
        <v>449</v>
      </c>
      <c r="CH645">
        <v>2011</v>
      </c>
    </row>
    <row r="646" spans="1:86" hidden="1" x14ac:dyDescent="0.25">
      <c r="A646">
        <v>330541</v>
      </c>
      <c r="B646" t="s">
        <v>86</v>
      </c>
      <c r="D646" t="s">
        <v>115</v>
      </c>
      <c r="F646">
        <v>97.7</v>
      </c>
      <c r="K646" t="s">
        <v>239</v>
      </c>
      <c r="L646" t="s">
        <v>89</v>
      </c>
      <c r="M646" t="s">
        <v>90</v>
      </c>
      <c r="N646" t="s">
        <v>118</v>
      </c>
      <c r="V646" t="s">
        <v>168</v>
      </c>
      <c r="W646" t="s">
        <v>92</v>
      </c>
      <c r="X646" t="s">
        <v>93</v>
      </c>
      <c r="Y646">
        <v>1</v>
      </c>
      <c r="Z646" t="s">
        <v>94</v>
      </c>
      <c r="AB646">
        <v>2.3E-2</v>
      </c>
      <c r="AG646" t="s">
        <v>95</v>
      </c>
      <c r="AX646" t="s">
        <v>96</v>
      </c>
      <c r="AY646" t="s">
        <v>709</v>
      </c>
      <c r="BC646">
        <v>3</v>
      </c>
      <c r="BH646" t="s">
        <v>99</v>
      </c>
      <c r="BO646" t="s">
        <v>111</v>
      </c>
      <c r="CD646" t="s">
        <v>240</v>
      </c>
      <c r="CE646">
        <v>116910</v>
      </c>
      <c r="CF646" t="s">
        <v>241</v>
      </c>
      <c r="CG646" t="s">
        <v>242</v>
      </c>
      <c r="CH646">
        <v>2009</v>
      </c>
    </row>
    <row r="647" spans="1:86" hidden="1" x14ac:dyDescent="0.25">
      <c r="A647">
        <v>330541</v>
      </c>
      <c r="B647" t="s">
        <v>86</v>
      </c>
      <c r="D647" t="s">
        <v>115</v>
      </c>
      <c r="K647" t="s">
        <v>645</v>
      </c>
      <c r="L647" t="s">
        <v>89</v>
      </c>
      <c r="M647" t="s">
        <v>90</v>
      </c>
      <c r="N647" t="s">
        <v>118</v>
      </c>
      <c r="V647" t="s">
        <v>91</v>
      </c>
      <c r="W647" t="s">
        <v>107</v>
      </c>
      <c r="X647" t="s">
        <v>93</v>
      </c>
      <c r="Z647" t="s">
        <v>137</v>
      </c>
      <c r="AB647">
        <v>0.01</v>
      </c>
      <c r="AG647" t="s">
        <v>95</v>
      </c>
      <c r="AX647" t="s">
        <v>201</v>
      </c>
      <c r="AY647" t="s">
        <v>646</v>
      </c>
      <c r="BC647">
        <v>7</v>
      </c>
      <c r="BH647" t="s">
        <v>99</v>
      </c>
      <c r="BO647" t="s">
        <v>111</v>
      </c>
      <c r="CD647" t="s">
        <v>647</v>
      </c>
      <c r="CE647">
        <v>9446</v>
      </c>
      <c r="CF647" t="s">
        <v>648</v>
      </c>
      <c r="CG647" t="s">
        <v>649</v>
      </c>
      <c r="CH647">
        <v>1971</v>
      </c>
    </row>
    <row r="648" spans="1:86" hidden="1" x14ac:dyDescent="0.25">
      <c r="A648">
        <v>330541</v>
      </c>
      <c r="B648" t="s">
        <v>86</v>
      </c>
      <c r="D648" t="s">
        <v>115</v>
      </c>
      <c r="K648" t="s">
        <v>645</v>
      </c>
      <c r="L648" t="s">
        <v>89</v>
      </c>
      <c r="M648" t="s">
        <v>90</v>
      </c>
      <c r="N648" t="s">
        <v>118</v>
      </c>
      <c r="V648" t="s">
        <v>91</v>
      </c>
      <c r="W648" t="s">
        <v>107</v>
      </c>
      <c r="X648" t="s">
        <v>93</v>
      </c>
      <c r="Z648" t="s">
        <v>137</v>
      </c>
      <c r="AB648">
        <v>0.01</v>
      </c>
      <c r="AG648" t="s">
        <v>95</v>
      </c>
      <c r="AX648" t="s">
        <v>201</v>
      </c>
      <c r="AY648" t="s">
        <v>311</v>
      </c>
      <c r="BC648">
        <v>7</v>
      </c>
      <c r="BH648" t="s">
        <v>99</v>
      </c>
      <c r="BO648" t="s">
        <v>111</v>
      </c>
      <c r="CD648" t="s">
        <v>647</v>
      </c>
      <c r="CE648">
        <v>9446</v>
      </c>
      <c r="CF648" t="s">
        <v>648</v>
      </c>
      <c r="CG648" t="s">
        <v>649</v>
      </c>
      <c r="CH648">
        <v>1971</v>
      </c>
    </row>
    <row r="649" spans="1:86" hidden="1" x14ac:dyDescent="0.25">
      <c r="A649">
        <v>330541</v>
      </c>
      <c r="B649" t="s">
        <v>86</v>
      </c>
      <c r="D649" t="s">
        <v>115</v>
      </c>
      <c r="K649" t="s">
        <v>687</v>
      </c>
      <c r="L649" t="s">
        <v>688</v>
      </c>
      <c r="M649" t="s">
        <v>90</v>
      </c>
      <c r="W649" t="s">
        <v>107</v>
      </c>
      <c r="X649" t="s">
        <v>93</v>
      </c>
      <c r="Z649" t="s">
        <v>137</v>
      </c>
      <c r="AB649"/>
      <c r="AD649">
        <v>2.3309719999999999E-4</v>
      </c>
      <c r="AF649">
        <v>0.2330972</v>
      </c>
      <c r="AG649" t="s">
        <v>95</v>
      </c>
      <c r="AX649" t="s">
        <v>108</v>
      </c>
      <c r="AY649" t="s">
        <v>160</v>
      </c>
      <c r="BE649">
        <v>4</v>
      </c>
      <c r="BG649">
        <v>7</v>
      </c>
      <c r="BH649" t="s">
        <v>99</v>
      </c>
      <c r="BO649" t="s">
        <v>111</v>
      </c>
      <c r="CD649" t="s">
        <v>678</v>
      </c>
      <c r="CE649">
        <v>20539</v>
      </c>
      <c r="CF649" t="s">
        <v>679</v>
      </c>
      <c r="CG649" t="s">
        <v>680</v>
      </c>
      <c r="CH649">
        <v>1996</v>
      </c>
    </row>
    <row r="650" spans="1:86" hidden="1" x14ac:dyDescent="0.25">
      <c r="A650">
        <v>330541</v>
      </c>
      <c r="B650" t="s">
        <v>86</v>
      </c>
      <c r="D650" t="s">
        <v>115</v>
      </c>
      <c r="K650" t="s">
        <v>432</v>
      </c>
      <c r="L650" t="s">
        <v>433</v>
      </c>
      <c r="M650" t="s">
        <v>90</v>
      </c>
      <c r="V650" t="s">
        <v>91</v>
      </c>
      <c r="W650" t="s">
        <v>92</v>
      </c>
      <c r="X650" t="s">
        <v>93</v>
      </c>
      <c r="Y650">
        <v>4</v>
      </c>
      <c r="Z650" t="s">
        <v>137</v>
      </c>
      <c r="AB650"/>
      <c r="AD650">
        <v>5.8274299999999997</v>
      </c>
      <c r="AF650">
        <v>111.886656</v>
      </c>
      <c r="AG650" t="s">
        <v>95</v>
      </c>
      <c r="AX650" t="s">
        <v>108</v>
      </c>
      <c r="AY650" t="s">
        <v>710</v>
      </c>
      <c r="BB650" t="s">
        <v>499</v>
      </c>
      <c r="BC650">
        <v>7</v>
      </c>
      <c r="BH650" t="s">
        <v>99</v>
      </c>
      <c r="BO650" t="s">
        <v>111</v>
      </c>
      <c r="CD650" t="s">
        <v>435</v>
      </c>
      <c r="CE650">
        <v>102056</v>
      </c>
      <c r="CF650" t="s">
        <v>436</v>
      </c>
      <c r="CG650" t="s">
        <v>437</v>
      </c>
      <c r="CH650">
        <v>1996</v>
      </c>
    </row>
    <row r="651" spans="1:86" hidden="1" x14ac:dyDescent="0.25">
      <c r="A651">
        <v>330541</v>
      </c>
      <c r="B651" t="s">
        <v>86</v>
      </c>
      <c r="D651" t="s">
        <v>115</v>
      </c>
      <c r="K651" t="s">
        <v>432</v>
      </c>
      <c r="L651" t="s">
        <v>433</v>
      </c>
      <c r="M651" t="s">
        <v>90</v>
      </c>
      <c r="V651" t="s">
        <v>91</v>
      </c>
      <c r="W651" t="s">
        <v>92</v>
      </c>
      <c r="X651" t="s">
        <v>93</v>
      </c>
      <c r="Y651">
        <v>4</v>
      </c>
      <c r="Z651" t="s">
        <v>137</v>
      </c>
      <c r="AB651"/>
      <c r="AD651">
        <v>5.8274299999999997</v>
      </c>
      <c r="AF651">
        <v>111.886656</v>
      </c>
      <c r="AG651" t="s">
        <v>95</v>
      </c>
      <c r="AX651" t="s">
        <v>108</v>
      </c>
      <c r="AY651" t="s">
        <v>150</v>
      </c>
      <c r="BE651">
        <v>1</v>
      </c>
      <c r="BG651">
        <v>7</v>
      </c>
      <c r="BH651" t="s">
        <v>99</v>
      </c>
      <c r="BO651" t="s">
        <v>111</v>
      </c>
      <c r="CD651" t="s">
        <v>435</v>
      </c>
      <c r="CE651">
        <v>102056</v>
      </c>
      <c r="CF651" t="s">
        <v>436</v>
      </c>
      <c r="CG651" t="s">
        <v>437</v>
      </c>
      <c r="CH651">
        <v>1996</v>
      </c>
    </row>
    <row r="652" spans="1:86" hidden="1" x14ac:dyDescent="0.25">
      <c r="A652">
        <v>330541</v>
      </c>
      <c r="B652" t="s">
        <v>86</v>
      </c>
      <c r="D652" t="s">
        <v>115</v>
      </c>
      <c r="K652" t="s">
        <v>432</v>
      </c>
      <c r="L652" t="s">
        <v>433</v>
      </c>
      <c r="M652" t="s">
        <v>90</v>
      </c>
      <c r="V652" t="s">
        <v>91</v>
      </c>
      <c r="W652" t="s">
        <v>92</v>
      </c>
      <c r="X652" t="s">
        <v>93</v>
      </c>
      <c r="Y652">
        <v>4</v>
      </c>
      <c r="Z652" t="s">
        <v>137</v>
      </c>
      <c r="AB652"/>
      <c r="AD652">
        <v>5.8274299999999997</v>
      </c>
      <c r="AF652">
        <v>111.886656</v>
      </c>
      <c r="AG652" t="s">
        <v>95</v>
      </c>
      <c r="AX652" t="s">
        <v>108</v>
      </c>
      <c r="AY652" t="s">
        <v>109</v>
      </c>
      <c r="BE652">
        <v>1</v>
      </c>
      <c r="BG652">
        <v>7</v>
      </c>
      <c r="BH652" t="s">
        <v>99</v>
      </c>
      <c r="BO652" t="s">
        <v>111</v>
      </c>
      <c r="CD652" t="s">
        <v>435</v>
      </c>
      <c r="CE652">
        <v>102056</v>
      </c>
      <c r="CF652" t="s">
        <v>436</v>
      </c>
      <c r="CG652" t="s">
        <v>437</v>
      </c>
      <c r="CH652">
        <v>1996</v>
      </c>
    </row>
    <row r="653" spans="1:86" hidden="1" x14ac:dyDescent="0.25">
      <c r="A653">
        <v>330541</v>
      </c>
      <c r="B653" t="s">
        <v>86</v>
      </c>
      <c r="D653" t="s">
        <v>115</v>
      </c>
      <c r="K653" t="s">
        <v>651</v>
      </c>
      <c r="L653" t="s">
        <v>143</v>
      </c>
      <c r="M653" t="s">
        <v>90</v>
      </c>
      <c r="V653" t="s">
        <v>91</v>
      </c>
      <c r="W653" t="s">
        <v>92</v>
      </c>
      <c r="X653" t="s">
        <v>93</v>
      </c>
      <c r="Z653" t="s">
        <v>137</v>
      </c>
      <c r="AA653" t="s">
        <v>106</v>
      </c>
      <c r="AB653">
        <v>1000</v>
      </c>
      <c r="AG653" t="s">
        <v>674</v>
      </c>
      <c r="AX653" t="s">
        <v>108</v>
      </c>
      <c r="AY653" t="s">
        <v>308</v>
      </c>
      <c r="BC653">
        <v>15</v>
      </c>
      <c r="BH653" t="s">
        <v>99</v>
      </c>
      <c r="BO653" t="s">
        <v>111</v>
      </c>
      <c r="CD653" t="s">
        <v>652</v>
      </c>
      <c r="CE653">
        <v>9444</v>
      </c>
      <c r="CF653" t="s">
        <v>675</v>
      </c>
      <c r="CG653" t="s">
        <v>676</v>
      </c>
      <c r="CH653">
        <v>1971</v>
      </c>
    </row>
    <row r="654" spans="1:86" x14ac:dyDescent="0.25">
      <c r="A654">
        <v>330541</v>
      </c>
      <c r="B654" t="s">
        <v>86</v>
      </c>
      <c r="C654" t="s">
        <v>183</v>
      </c>
      <c r="D654" t="s">
        <v>115</v>
      </c>
      <c r="F654">
        <v>80</v>
      </c>
      <c r="K654" t="s">
        <v>224</v>
      </c>
      <c r="L654" t="s">
        <v>89</v>
      </c>
      <c r="M654" t="s">
        <v>90</v>
      </c>
      <c r="V654" t="s">
        <v>91</v>
      </c>
      <c r="W654" t="s">
        <v>92</v>
      </c>
      <c r="X654" t="s">
        <v>93</v>
      </c>
      <c r="Z654" t="s">
        <v>94</v>
      </c>
      <c r="AB654"/>
      <c r="AD654">
        <v>2.3309719999999999E-2</v>
      </c>
      <c r="AF654">
        <v>2.330972</v>
      </c>
      <c r="AG654" t="s">
        <v>95</v>
      </c>
      <c r="AX654" t="s">
        <v>108</v>
      </c>
      <c r="AY654" t="s">
        <v>160</v>
      </c>
      <c r="BE654">
        <v>0</v>
      </c>
      <c r="BG654">
        <v>6</v>
      </c>
      <c r="BH654" t="s">
        <v>99</v>
      </c>
      <c r="BO654" t="s">
        <v>111</v>
      </c>
      <c r="CD654" t="s">
        <v>711</v>
      </c>
      <c r="CE654">
        <v>69995</v>
      </c>
      <c r="CF654" t="s">
        <v>712</v>
      </c>
      <c r="CG654" t="s">
        <v>713</v>
      </c>
      <c r="CH654">
        <v>1997</v>
      </c>
    </row>
    <row r="655" spans="1:86" hidden="1" x14ac:dyDescent="0.25">
      <c r="A655">
        <v>330541</v>
      </c>
      <c r="B655" t="s">
        <v>86</v>
      </c>
      <c r="D655" t="s">
        <v>115</v>
      </c>
      <c r="K655" t="s">
        <v>714</v>
      </c>
      <c r="L655" t="s">
        <v>143</v>
      </c>
      <c r="M655" t="s">
        <v>90</v>
      </c>
      <c r="V655" t="s">
        <v>91</v>
      </c>
      <c r="W655" t="s">
        <v>92</v>
      </c>
      <c r="X655" t="s">
        <v>93</v>
      </c>
      <c r="Z655" t="s">
        <v>137</v>
      </c>
      <c r="AA655" t="s">
        <v>234</v>
      </c>
      <c r="AB655">
        <v>2</v>
      </c>
      <c r="AG655" t="s">
        <v>674</v>
      </c>
      <c r="AX655" t="s">
        <v>108</v>
      </c>
      <c r="AY655" t="s">
        <v>308</v>
      </c>
      <c r="BC655">
        <v>15</v>
      </c>
      <c r="BH655" t="s">
        <v>99</v>
      </c>
      <c r="BO655" t="s">
        <v>111</v>
      </c>
      <c r="CD655" t="s">
        <v>652</v>
      </c>
      <c r="CE655">
        <v>9444</v>
      </c>
      <c r="CF655" t="s">
        <v>675</v>
      </c>
      <c r="CG655" t="s">
        <v>676</v>
      </c>
      <c r="CH655">
        <v>1971</v>
      </c>
    </row>
    <row r="656" spans="1:86" hidden="1" x14ac:dyDescent="0.25">
      <c r="A656">
        <v>330541</v>
      </c>
      <c r="B656" t="s">
        <v>86</v>
      </c>
      <c r="D656" t="s">
        <v>115</v>
      </c>
      <c r="K656" t="s">
        <v>645</v>
      </c>
      <c r="L656" t="s">
        <v>89</v>
      </c>
      <c r="M656" t="s">
        <v>90</v>
      </c>
      <c r="N656" t="s">
        <v>118</v>
      </c>
      <c r="V656" t="s">
        <v>91</v>
      </c>
      <c r="W656" t="s">
        <v>107</v>
      </c>
      <c r="X656" t="s">
        <v>93</v>
      </c>
      <c r="Z656" t="s">
        <v>137</v>
      </c>
      <c r="AB656">
        <v>0.01</v>
      </c>
      <c r="AG656" t="s">
        <v>95</v>
      </c>
      <c r="AX656" t="s">
        <v>201</v>
      </c>
      <c r="AY656" t="s">
        <v>311</v>
      </c>
      <c r="BC656">
        <v>7</v>
      </c>
      <c r="BH656" t="s">
        <v>99</v>
      </c>
      <c r="BO656" t="s">
        <v>111</v>
      </c>
      <c r="CD656" t="s">
        <v>647</v>
      </c>
      <c r="CE656">
        <v>9446</v>
      </c>
      <c r="CF656" t="s">
        <v>648</v>
      </c>
      <c r="CG656" t="s">
        <v>649</v>
      </c>
      <c r="CH656">
        <v>1971</v>
      </c>
    </row>
    <row r="657" spans="1:86" hidden="1" x14ac:dyDescent="0.25">
      <c r="A657">
        <v>330541</v>
      </c>
      <c r="B657" t="s">
        <v>86</v>
      </c>
      <c r="D657" t="s">
        <v>115</v>
      </c>
      <c r="K657" t="s">
        <v>651</v>
      </c>
      <c r="L657" t="s">
        <v>143</v>
      </c>
      <c r="M657" t="s">
        <v>90</v>
      </c>
      <c r="V657" t="s">
        <v>91</v>
      </c>
      <c r="W657" t="s">
        <v>92</v>
      </c>
      <c r="X657" t="s">
        <v>93</v>
      </c>
      <c r="Z657" t="s">
        <v>137</v>
      </c>
      <c r="AB657">
        <v>5</v>
      </c>
      <c r="AG657" t="s">
        <v>95</v>
      </c>
      <c r="AX657" t="s">
        <v>523</v>
      </c>
      <c r="AY657" t="s">
        <v>523</v>
      </c>
      <c r="BC657">
        <v>15</v>
      </c>
      <c r="BH657" t="s">
        <v>99</v>
      </c>
      <c r="BO657" t="s">
        <v>111</v>
      </c>
      <c r="CD657" t="s">
        <v>652</v>
      </c>
      <c r="CE657">
        <v>9206</v>
      </c>
      <c r="CF657" t="s">
        <v>653</v>
      </c>
      <c r="CG657" t="s">
        <v>654</v>
      </c>
      <c r="CH657">
        <v>1972</v>
      </c>
    </row>
    <row r="658" spans="1:86" hidden="1" x14ac:dyDescent="0.25">
      <c r="A658">
        <v>330541</v>
      </c>
      <c r="B658" t="s">
        <v>86</v>
      </c>
      <c r="D658" t="s">
        <v>115</v>
      </c>
      <c r="K658" t="s">
        <v>460</v>
      </c>
      <c r="L658" t="s">
        <v>89</v>
      </c>
      <c r="M658" t="s">
        <v>90</v>
      </c>
      <c r="P658">
        <v>3</v>
      </c>
      <c r="U658" t="s">
        <v>99</v>
      </c>
      <c r="V658" t="s">
        <v>91</v>
      </c>
      <c r="W658" t="s">
        <v>92</v>
      </c>
      <c r="X658" t="s">
        <v>93</v>
      </c>
      <c r="Z658" t="s">
        <v>137</v>
      </c>
      <c r="AB658">
        <v>9.3238880000000002</v>
      </c>
      <c r="AG658" t="s">
        <v>95</v>
      </c>
      <c r="AX658" t="s">
        <v>144</v>
      </c>
      <c r="AY658" t="s">
        <v>109</v>
      </c>
      <c r="BC658">
        <v>3.5000000000000001E-3</v>
      </c>
      <c r="BH658" t="s">
        <v>99</v>
      </c>
      <c r="BO658" t="s">
        <v>111</v>
      </c>
      <c r="CD658" t="s">
        <v>715</v>
      </c>
      <c r="CE658">
        <v>45160</v>
      </c>
      <c r="CF658" t="s">
        <v>716</v>
      </c>
      <c r="CG658" t="s">
        <v>717</v>
      </c>
      <c r="CH658">
        <v>1983</v>
      </c>
    </row>
    <row r="659" spans="1:86" hidden="1" x14ac:dyDescent="0.25">
      <c r="A659">
        <v>330541</v>
      </c>
      <c r="B659" t="s">
        <v>86</v>
      </c>
      <c r="D659" t="s">
        <v>115</v>
      </c>
      <c r="K659" t="s">
        <v>189</v>
      </c>
      <c r="L659" t="s">
        <v>190</v>
      </c>
      <c r="M659" t="s">
        <v>90</v>
      </c>
      <c r="N659" t="s">
        <v>118</v>
      </c>
      <c r="V659" t="s">
        <v>91</v>
      </c>
      <c r="W659" t="s">
        <v>107</v>
      </c>
      <c r="X659" t="s">
        <v>93</v>
      </c>
      <c r="Z659" t="s">
        <v>137</v>
      </c>
      <c r="AB659">
        <v>0.01</v>
      </c>
      <c r="AG659" t="s">
        <v>95</v>
      </c>
      <c r="AX659" t="s">
        <v>201</v>
      </c>
      <c r="AY659" t="s">
        <v>311</v>
      </c>
      <c r="BC659">
        <v>7</v>
      </c>
      <c r="BH659" t="s">
        <v>99</v>
      </c>
      <c r="BO659" t="s">
        <v>111</v>
      </c>
      <c r="CD659" t="s">
        <v>647</v>
      </c>
      <c r="CE659">
        <v>9446</v>
      </c>
      <c r="CF659" t="s">
        <v>648</v>
      </c>
      <c r="CG659" t="s">
        <v>649</v>
      </c>
      <c r="CH659">
        <v>1971</v>
      </c>
    </row>
    <row r="660" spans="1:86" hidden="1" x14ac:dyDescent="0.25">
      <c r="A660">
        <v>330541</v>
      </c>
      <c r="B660" t="s">
        <v>86</v>
      </c>
      <c r="D660" t="s">
        <v>115</v>
      </c>
      <c r="K660" t="s">
        <v>718</v>
      </c>
      <c r="L660" t="s">
        <v>89</v>
      </c>
      <c r="M660" t="s">
        <v>90</v>
      </c>
      <c r="W660" t="s">
        <v>92</v>
      </c>
      <c r="X660" t="s">
        <v>93</v>
      </c>
      <c r="Y660">
        <v>3</v>
      </c>
      <c r="Z660" t="s">
        <v>137</v>
      </c>
      <c r="AB660">
        <v>5.0000000000000001E-3</v>
      </c>
      <c r="AG660" t="s">
        <v>95</v>
      </c>
      <c r="AX660" t="s">
        <v>108</v>
      </c>
      <c r="AY660" t="s">
        <v>160</v>
      </c>
      <c r="BC660">
        <v>1</v>
      </c>
      <c r="BH660" t="s">
        <v>99</v>
      </c>
      <c r="BO660" t="s">
        <v>111</v>
      </c>
      <c r="CD660" t="s">
        <v>719</v>
      </c>
      <c r="CE660">
        <v>184006</v>
      </c>
      <c r="CF660" t="s">
        <v>720</v>
      </c>
      <c r="CG660" t="s">
        <v>721</v>
      </c>
      <c r="CH660">
        <v>2020</v>
      </c>
    </row>
    <row r="661" spans="1:86" hidden="1" x14ac:dyDescent="0.25">
      <c r="A661">
        <v>330541</v>
      </c>
      <c r="B661" t="s">
        <v>86</v>
      </c>
      <c r="D661" t="s">
        <v>115</v>
      </c>
      <c r="F661">
        <v>98</v>
      </c>
      <c r="K661" t="s">
        <v>446</v>
      </c>
      <c r="L661" t="s">
        <v>143</v>
      </c>
      <c r="M661" t="s">
        <v>90</v>
      </c>
      <c r="N661" t="s">
        <v>118</v>
      </c>
      <c r="P661">
        <v>6</v>
      </c>
      <c r="U661" t="s">
        <v>99</v>
      </c>
      <c r="V661" t="s">
        <v>91</v>
      </c>
      <c r="W661" t="s">
        <v>92</v>
      </c>
      <c r="X661" t="s">
        <v>93</v>
      </c>
      <c r="Z661" t="s">
        <v>94</v>
      </c>
      <c r="AB661"/>
      <c r="AD661">
        <v>0</v>
      </c>
      <c r="AF661">
        <v>100</v>
      </c>
      <c r="AG661" t="s">
        <v>95</v>
      </c>
      <c r="AX661" t="s">
        <v>108</v>
      </c>
      <c r="AY661" t="s">
        <v>120</v>
      </c>
      <c r="BC661">
        <v>12</v>
      </c>
      <c r="BH661" t="s">
        <v>99</v>
      </c>
      <c r="BO661" t="s">
        <v>111</v>
      </c>
      <c r="CD661" t="s">
        <v>447</v>
      </c>
      <c r="CE661">
        <v>153873</v>
      </c>
      <c r="CF661" t="s">
        <v>448</v>
      </c>
      <c r="CG661" t="s">
        <v>449</v>
      </c>
      <c r="CH661">
        <v>2011</v>
      </c>
    </row>
    <row r="662" spans="1:86" hidden="1" x14ac:dyDescent="0.25">
      <c r="A662">
        <v>330541</v>
      </c>
      <c r="B662" t="s">
        <v>86</v>
      </c>
      <c r="D662" t="s">
        <v>115</v>
      </c>
      <c r="K662" t="s">
        <v>651</v>
      </c>
      <c r="L662" t="s">
        <v>143</v>
      </c>
      <c r="M662" t="s">
        <v>90</v>
      </c>
      <c r="W662" t="s">
        <v>92</v>
      </c>
      <c r="Z662" t="s">
        <v>137</v>
      </c>
      <c r="AB662">
        <v>1.0800000000000001E-2</v>
      </c>
      <c r="AG662" t="s">
        <v>95</v>
      </c>
      <c r="AX662" t="s">
        <v>108</v>
      </c>
      <c r="AY662" t="s">
        <v>308</v>
      </c>
      <c r="BH662" t="s">
        <v>627</v>
      </c>
      <c r="BO662" t="s">
        <v>111</v>
      </c>
      <c r="CD662" t="s">
        <v>722</v>
      </c>
      <c r="CE662">
        <v>7364</v>
      </c>
      <c r="CF662" t="s">
        <v>723</v>
      </c>
      <c r="CG662" t="s">
        <v>724</v>
      </c>
      <c r="CH662">
        <v>1975</v>
      </c>
    </row>
    <row r="663" spans="1:86" hidden="1" x14ac:dyDescent="0.25">
      <c r="A663">
        <v>330541</v>
      </c>
      <c r="B663" t="s">
        <v>86</v>
      </c>
      <c r="D663" t="s">
        <v>115</v>
      </c>
      <c r="K663" t="s">
        <v>526</v>
      </c>
      <c r="L663" t="s">
        <v>117</v>
      </c>
      <c r="M663" t="s">
        <v>90</v>
      </c>
      <c r="W663" t="s">
        <v>92</v>
      </c>
      <c r="X663" t="s">
        <v>93</v>
      </c>
      <c r="Y663">
        <v>3</v>
      </c>
      <c r="Z663" t="s">
        <v>137</v>
      </c>
      <c r="AB663">
        <v>5.0000000000000001E-3</v>
      </c>
      <c r="AG663" t="s">
        <v>95</v>
      </c>
      <c r="AX663" t="s">
        <v>108</v>
      </c>
      <c r="AY663" t="s">
        <v>160</v>
      </c>
      <c r="BC663">
        <v>1</v>
      </c>
      <c r="BH663" t="s">
        <v>99</v>
      </c>
      <c r="BO663" t="s">
        <v>111</v>
      </c>
      <c r="CD663" t="s">
        <v>719</v>
      </c>
      <c r="CE663">
        <v>184006</v>
      </c>
      <c r="CF663" t="s">
        <v>720</v>
      </c>
      <c r="CG663" t="s">
        <v>721</v>
      </c>
      <c r="CH663">
        <v>2020</v>
      </c>
    </row>
    <row r="664" spans="1:86" hidden="1" x14ac:dyDescent="0.25">
      <c r="A664">
        <v>330541</v>
      </c>
      <c r="B664" t="s">
        <v>86</v>
      </c>
      <c r="D664" t="s">
        <v>115</v>
      </c>
      <c r="K664" t="s">
        <v>90</v>
      </c>
      <c r="L664" t="s">
        <v>90</v>
      </c>
      <c r="M664" t="s">
        <v>90</v>
      </c>
      <c r="V664" t="s">
        <v>91</v>
      </c>
      <c r="W664" t="s">
        <v>107</v>
      </c>
      <c r="X664" t="s">
        <v>93</v>
      </c>
      <c r="Y664">
        <v>2</v>
      </c>
      <c r="Z664" t="s">
        <v>137</v>
      </c>
      <c r="AB664">
        <v>3.0000000000000001E-3</v>
      </c>
      <c r="AG664" t="s">
        <v>95</v>
      </c>
      <c r="AX664" t="s">
        <v>201</v>
      </c>
      <c r="AY664" t="s">
        <v>202</v>
      </c>
      <c r="BE664">
        <v>4.1700000000000001E-2</v>
      </c>
      <c r="BG664">
        <v>0.33329999999999999</v>
      </c>
      <c r="BH664" t="s">
        <v>99</v>
      </c>
      <c r="BO664" t="s">
        <v>111</v>
      </c>
      <c r="CD664" t="s">
        <v>204</v>
      </c>
      <c r="CE664">
        <v>75334</v>
      </c>
      <c r="CF664" t="s">
        <v>205</v>
      </c>
      <c r="CG664" t="s">
        <v>206</v>
      </c>
      <c r="CH664">
        <v>2003</v>
      </c>
    </row>
    <row r="665" spans="1:86" hidden="1" x14ac:dyDescent="0.25">
      <c r="A665">
        <v>330541</v>
      </c>
      <c r="B665" t="s">
        <v>86</v>
      </c>
      <c r="C665" t="s">
        <v>183</v>
      </c>
      <c r="D665" t="s">
        <v>115</v>
      </c>
      <c r="F665">
        <v>80</v>
      </c>
      <c r="K665" t="s">
        <v>194</v>
      </c>
      <c r="L665" t="s">
        <v>143</v>
      </c>
      <c r="M665" t="s">
        <v>90</v>
      </c>
      <c r="V665" t="s">
        <v>91</v>
      </c>
      <c r="W665" t="s">
        <v>92</v>
      </c>
      <c r="X665" t="s">
        <v>93</v>
      </c>
      <c r="Z665" t="s">
        <v>94</v>
      </c>
      <c r="AB665"/>
      <c r="AD665">
        <v>2.3309719999999999E-2</v>
      </c>
      <c r="AF665">
        <v>2.330972</v>
      </c>
      <c r="AG665" t="s">
        <v>95</v>
      </c>
      <c r="AX665" t="s">
        <v>108</v>
      </c>
      <c r="AY665" t="s">
        <v>160</v>
      </c>
      <c r="BE665">
        <v>0</v>
      </c>
      <c r="BG665">
        <v>6</v>
      </c>
      <c r="BH665" t="s">
        <v>99</v>
      </c>
      <c r="BO665" t="s">
        <v>111</v>
      </c>
      <c r="CD665" t="s">
        <v>711</v>
      </c>
      <c r="CE665">
        <v>69995</v>
      </c>
      <c r="CF665" t="s">
        <v>712</v>
      </c>
      <c r="CG665" t="s">
        <v>713</v>
      </c>
      <c r="CH665">
        <v>1997</v>
      </c>
    </row>
    <row r="666" spans="1:86" hidden="1" x14ac:dyDescent="0.25">
      <c r="A666">
        <v>330541</v>
      </c>
      <c r="B666" t="s">
        <v>86</v>
      </c>
      <c r="D666" t="s">
        <v>115</v>
      </c>
      <c r="K666" t="s">
        <v>725</v>
      </c>
      <c r="L666" t="s">
        <v>143</v>
      </c>
      <c r="M666" t="s">
        <v>90</v>
      </c>
      <c r="W666" t="s">
        <v>92</v>
      </c>
      <c r="Z666" t="s">
        <v>137</v>
      </c>
      <c r="AB666">
        <v>1.1000000000000001E-3</v>
      </c>
      <c r="AG666" t="s">
        <v>95</v>
      </c>
      <c r="AX666" t="s">
        <v>108</v>
      </c>
      <c r="AY666" t="s">
        <v>308</v>
      </c>
      <c r="BH666" t="s">
        <v>627</v>
      </c>
      <c r="BO666" t="s">
        <v>111</v>
      </c>
      <c r="CD666" t="s">
        <v>722</v>
      </c>
      <c r="CE666">
        <v>7364</v>
      </c>
      <c r="CF666" t="s">
        <v>723</v>
      </c>
      <c r="CG666" t="s">
        <v>724</v>
      </c>
      <c r="CH666">
        <v>1975</v>
      </c>
    </row>
    <row r="667" spans="1:86" hidden="1" x14ac:dyDescent="0.25">
      <c r="A667">
        <v>330541</v>
      </c>
      <c r="B667" t="s">
        <v>86</v>
      </c>
      <c r="D667" t="s">
        <v>115</v>
      </c>
      <c r="K667" t="s">
        <v>238</v>
      </c>
      <c r="L667" t="s">
        <v>89</v>
      </c>
      <c r="M667" t="s">
        <v>90</v>
      </c>
      <c r="V667" t="s">
        <v>91</v>
      </c>
      <c r="W667" t="s">
        <v>107</v>
      </c>
      <c r="X667" t="s">
        <v>93</v>
      </c>
      <c r="Z667" t="s">
        <v>94</v>
      </c>
      <c r="AB667">
        <v>2.0000000000000002E-5</v>
      </c>
      <c r="AG667" t="s">
        <v>95</v>
      </c>
      <c r="AX667" t="s">
        <v>108</v>
      </c>
      <c r="AY667" t="s">
        <v>308</v>
      </c>
      <c r="BC667">
        <v>10</v>
      </c>
      <c r="BH667" t="s">
        <v>99</v>
      </c>
      <c r="BO667" t="s">
        <v>111</v>
      </c>
      <c r="CD667" t="s">
        <v>635</v>
      </c>
      <c r="CE667">
        <v>8039</v>
      </c>
      <c r="CF667" t="s">
        <v>636</v>
      </c>
      <c r="CG667" t="s">
        <v>637</v>
      </c>
      <c r="CH667">
        <v>1962</v>
      </c>
    </row>
    <row r="668" spans="1:86" hidden="1" x14ac:dyDescent="0.25">
      <c r="A668">
        <v>330541</v>
      </c>
      <c r="B668" t="s">
        <v>86</v>
      </c>
      <c r="D668" t="s">
        <v>115</v>
      </c>
      <c r="K668" t="s">
        <v>645</v>
      </c>
      <c r="L668" t="s">
        <v>89</v>
      </c>
      <c r="M668" t="s">
        <v>90</v>
      </c>
      <c r="N668" t="s">
        <v>118</v>
      </c>
      <c r="V668" t="s">
        <v>91</v>
      </c>
      <c r="W668" t="s">
        <v>107</v>
      </c>
      <c r="X668" t="s">
        <v>93</v>
      </c>
      <c r="Z668" t="s">
        <v>137</v>
      </c>
      <c r="AB668">
        <v>0.01</v>
      </c>
      <c r="AG668" t="s">
        <v>95</v>
      </c>
      <c r="AX668" t="s">
        <v>201</v>
      </c>
      <c r="AY668" t="s">
        <v>311</v>
      </c>
      <c r="BC668">
        <v>7</v>
      </c>
      <c r="BH668" t="s">
        <v>99</v>
      </c>
      <c r="BO668" t="s">
        <v>111</v>
      </c>
      <c r="CD668" t="s">
        <v>647</v>
      </c>
      <c r="CE668">
        <v>9446</v>
      </c>
      <c r="CF668" t="s">
        <v>648</v>
      </c>
      <c r="CG668" t="s">
        <v>649</v>
      </c>
      <c r="CH668">
        <v>1971</v>
      </c>
    </row>
    <row r="669" spans="1:86" hidden="1" x14ac:dyDescent="0.25">
      <c r="A669">
        <v>330541</v>
      </c>
      <c r="B669" t="s">
        <v>86</v>
      </c>
      <c r="D669" t="s">
        <v>115</v>
      </c>
      <c r="F669">
        <v>50</v>
      </c>
      <c r="K669" t="s">
        <v>218</v>
      </c>
      <c r="L669" t="s">
        <v>89</v>
      </c>
      <c r="M669" t="s">
        <v>90</v>
      </c>
      <c r="V669" t="s">
        <v>91</v>
      </c>
      <c r="W669" t="s">
        <v>92</v>
      </c>
      <c r="X669" t="s">
        <v>93</v>
      </c>
      <c r="Y669">
        <v>2</v>
      </c>
      <c r="Z669" t="s">
        <v>137</v>
      </c>
      <c r="AB669">
        <v>50</v>
      </c>
      <c r="AG669" t="s">
        <v>95</v>
      </c>
      <c r="AX669" t="s">
        <v>108</v>
      </c>
      <c r="AY669" t="s">
        <v>160</v>
      </c>
      <c r="BC669">
        <v>4</v>
      </c>
      <c r="BH669" t="s">
        <v>99</v>
      </c>
      <c r="BO669" t="s">
        <v>111</v>
      </c>
      <c r="CD669" t="s">
        <v>276</v>
      </c>
      <c r="CE669">
        <v>158793</v>
      </c>
      <c r="CF669" t="s">
        <v>277</v>
      </c>
      <c r="CG669" t="s">
        <v>278</v>
      </c>
      <c r="CH669">
        <v>2002</v>
      </c>
    </row>
    <row r="670" spans="1:86" hidden="1" x14ac:dyDescent="0.25">
      <c r="A670">
        <v>330541</v>
      </c>
      <c r="B670" t="s">
        <v>86</v>
      </c>
      <c r="D670" t="s">
        <v>115</v>
      </c>
      <c r="K670" t="s">
        <v>660</v>
      </c>
      <c r="L670" t="s">
        <v>89</v>
      </c>
      <c r="M670" t="s">
        <v>90</v>
      </c>
      <c r="V670" t="s">
        <v>91</v>
      </c>
      <c r="W670" t="s">
        <v>92</v>
      </c>
      <c r="X670" t="s">
        <v>93</v>
      </c>
      <c r="Z670" t="s">
        <v>137</v>
      </c>
      <c r="AB670">
        <v>23</v>
      </c>
      <c r="AG670" t="s">
        <v>95</v>
      </c>
      <c r="AX670" t="s">
        <v>144</v>
      </c>
      <c r="AY670" t="s">
        <v>661</v>
      </c>
      <c r="BC670">
        <v>4</v>
      </c>
      <c r="BH670" t="s">
        <v>99</v>
      </c>
      <c r="BO670" t="s">
        <v>111</v>
      </c>
      <c r="CD670" t="s">
        <v>662</v>
      </c>
      <c r="CE670">
        <v>15634</v>
      </c>
      <c r="CF670" t="s">
        <v>663</v>
      </c>
      <c r="CG670" t="s">
        <v>664</v>
      </c>
      <c r="CH670">
        <v>1981</v>
      </c>
    </row>
    <row r="671" spans="1:86" hidden="1" x14ac:dyDescent="0.25">
      <c r="A671">
        <v>330541</v>
      </c>
      <c r="B671" t="s">
        <v>86</v>
      </c>
      <c r="D671" t="s">
        <v>87</v>
      </c>
      <c r="K671" t="s">
        <v>726</v>
      </c>
      <c r="L671" t="s">
        <v>727</v>
      </c>
      <c r="M671" t="s">
        <v>90</v>
      </c>
      <c r="V671" t="s">
        <v>491</v>
      </c>
      <c r="W671" t="s">
        <v>92</v>
      </c>
      <c r="X671" t="s">
        <v>559</v>
      </c>
      <c r="Y671">
        <v>3</v>
      </c>
      <c r="Z671" t="s">
        <v>94</v>
      </c>
      <c r="AB671"/>
      <c r="AD671">
        <v>1.4599999999999999E-3</v>
      </c>
      <c r="AF671">
        <v>1.136E-2</v>
      </c>
      <c r="AG671" t="s">
        <v>95</v>
      </c>
      <c r="AX671" t="s">
        <v>108</v>
      </c>
      <c r="AY671" t="s">
        <v>174</v>
      </c>
      <c r="BE671">
        <v>1</v>
      </c>
      <c r="BG671">
        <v>5</v>
      </c>
      <c r="BH671" t="s">
        <v>99</v>
      </c>
      <c r="BO671" t="s">
        <v>111</v>
      </c>
      <c r="CD671" t="s">
        <v>728</v>
      </c>
      <c r="CE671">
        <v>172395</v>
      </c>
      <c r="CF671" t="s">
        <v>729</v>
      </c>
      <c r="CG671" t="s">
        <v>730</v>
      </c>
      <c r="CH671">
        <v>2011</v>
      </c>
    </row>
    <row r="672" spans="1:86" hidden="1" x14ac:dyDescent="0.25">
      <c r="A672">
        <v>330541</v>
      </c>
      <c r="B672" t="s">
        <v>86</v>
      </c>
      <c r="D672" t="s">
        <v>115</v>
      </c>
      <c r="K672" t="s">
        <v>195</v>
      </c>
      <c r="L672" t="s">
        <v>89</v>
      </c>
      <c r="M672" t="s">
        <v>90</v>
      </c>
      <c r="N672" t="s">
        <v>118</v>
      </c>
      <c r="V672" t="s">
        <v>91</v>
      </c>
      <c r="W672" t="s">
        <v>107</v>
      </c>
      <c r="X672" t="s">
        <v>93</v>
      </c>
      <c r="Z672" t="s">
        <v>137</v>
      </c>
      <c r="AB672">
        <v>0.01</v>
      </c>
      <c r="AG672" t="s">
        <v>95</v>
      </c>
      <c r="AX672" t="s">
        <v>201</v>
      </c>
      <c r="AY672" t="s">
        <v>646</v>
      </c>
      <c r="BC672">
        <v>7</v>
      </c>
      <c r="BH672" t="s">
        <v>99</v>
      </c>
      <c r="BO672" t="s">
        <v>111</v>
      </c>
      <c r="CD672" t="s">
        <v>647</v>
      </c>
      <c r="CE672">
        <v>9446</v>
      </c>
      <c r="CF672" t="s">
        <v>648</v>
      </c>
      <c r="CG672" t="s">
        <v>649</v>
      </c>
      <c r="CH672">
        <v>1971</v>
      </c>
    </row>
    <row r="673" spans="1:86" hidden="1" x14ac:dyDescent="0.25">
      <c r="A673">
        <v>330541</v>
      </c>
      <c r="B673" t="s">
        <v>86</v>
      </c>
      <c r="D673" t="s">
        <v>115</v>
      </c>
      <c r="K673" t="s">
        <v>189</v>
      </c>
      <c r="L673" t="s">
        <v>190</v>
      </c>
      <c r="M673" t="s">
        <v>90</v>
      </c>
      <c r="N673" t="s">
        <v>118</v>
      </c>
      <c r="V673" t="s">
        <v>91</v>
      </c>
      <c r="W673" t="s">
        <v>107</v>
      </c>
      <c r="X673" t="s">
        <v>93</v>
      </c>
      <c r="Z673" t="s">
        <v>137</v>
      </c>
      <c r="AB673">
        <v>0.01</v>
      </c>
      <c r="AG673" t="s">
        <v>95</v>
      </c>
      <c r="AX673" t="s">
        <v>201</v>
      </c>
      <c r="AY673" t="s">
        <v>646</v>
      </c>
      <c r="BC673">
        <v>7</v>
      </c>
      <c r="BH673" t="s">
        <v>99</v>
      </c>
      <c r="BO673" t="s">
        <v>111</v>
      </c>
      <c r="CD673" t="s">
        <v>647</v>
      </c>
      <c r="CE673">
        <v>9446</v>
      </c>
      <c r="CF673" t="s">
        <v>648</v>
      </c>
      <c r="CG673" t="s">
        <v>649</v>
      </c>
      <c r="CH673">
        <v>1971</v>
      </c>
    </row>
    <row r="674" spans="1:86" hidden="1" x14ac:dyDescent="0.25">
      <c r="A674">
        <v>330541</v>
      </c>
      <c r="B674" t="s">
        <v>86</v>
      </c>
      <c r="C674" t="s">
        <v>731</v>
      </c>
      <c r="D674" t="s">
        <v>115</v>
      </c>
      <c r="K674" t="s">
        <v>655</v>
      </c>
      <c r="L674" t="s">
        <v>656</v>
      </c>
      <c r="M674" t="s">
        <v>90</v>
      </c>
      <c r="V674" t="s">
        <v>168</v>
      </c>
      <c r="W674" t="s">
        <v>92</v>
      </c>
      <c r="X674" t="s">
        <v>93</v>
      </c>
      <c r="Y674">
        <v>2</v>
      </c>
      <c r="Z674" t="s">
        <v>94</v>
      </c>
      <c r="AB674">
        <v>0.2330972</v>
      </c>
      <c r="AG674" t="s">
        <v>95</v>
      </c>
      <c r="AX674" t="s">
        <v>201</v>
      </c>
      <c r="AY674" t="s">
        <v>120</v>
      </c>
      <c r="BE674">
        <v>0</v>
      </c>
      <c r="BG674">
        <v>28</v>
      </c>
      <c r="BH674" t="s">
        <v>99</v>
      </c>
      <c r="BO674" t="s">
        <v>111</v>
      </c>
      <c r="CD674" t="s">
        <v>657</v>
      </c>
      <c r="CE674">
        <v>18752</v>
      </c>
      <c r="CF674" t="s">
        <v>658</v>
      </c>
      <c r="CG674" t="s">
        <v>659</v>
      </c>
      <c r="CH674">
        <v>1988</v>
      </c>
    </row>
    <row r="675" spans="1:86" hidden="1" x14ac:dyDescent="0.25">
      <c r="A675">
        <v>330541</v>
      </c>
      <c r="B675" t="s">
        <v>86</v>
      </c>
      <c r="D675" t="s">
        <v>115</v>
      </c>
      <c r="K675" t="s">
        <v>732</v>
      </c>
      <c r="L675" t="s">
        <v>89</v>
      </c>
      <c r="M675" t="s">
        <v>90</v>
      </c>
      <c r="V675" t="s">
        <v>91</v>
      </c>
      <c r="W675" t="s">
        <v>107</v>
      </c>
      <c r="X675" t="s">
        <v>93</v>
      </c>
      <c r="Z675" t="s">
        <v>94</v>
      </c>
      <c r="AB675">
        <v>4.0000000000000001E-3</v>
      </c>
      <c r="AG675" t="s">
        <v>95</v>
      </c>
      <c r="AX675" t="s">
        <v>523</v>
      </c>
      <c r="AY675" t="s">
        <v>523</v>
      </c>
      <c r="BC675">
        <v>10</v>
      </c>
      <c r="BH675" t="s">
        <v>99</v>
      </c>
      <c r="BO675" t="s">
        <v>111</v>
      </c>
      <c r="CD675" t="s">
        <v>635</v>
      </c>
      <c r="CE675">
        <v>8039</v>
      </c>
      <c r="CF675" t="s">
        <v>636</v>
      </c>
      <c r="CG675" t="s">
        <v>637</v>
      </c>
      <c r="CH675">
        <v>1962</v>
      </c>
    </row>
    <row r="676" spans="1:86" hidden="1" x14ac:dyDescent="0.25">
      <c r="A676">
        <v>330541</v>
      </c>
      <c r="B676" t="s">
        <v>86</v>
      </c>
      <c r="D676" t="s">
        <v>115</v>
      </c>
      <c r="K676" t="s">
        <v>195</v>
      </c>
      <c r="L676" t="s">
        <v>89</v>
      </c>
      <c r="M676" t="s">
        <v>90</v>
      </c>
      <c r="N676" t="s">
        <v>118</v>
      </c>
      <c r="V676" t="s">
        <v>91</v>
      </c>
      <c r="W676" t="s">
        <v>107</v>
      </c>
      <c r="X676" t="s">
        <v>93</v>
      </c>
      <c r="Z676" t="s">
        <v>137</v>
      </c>
      <c r="AB676">
        <v>0.01</v>
      </c>
      <c r="AG676" t="s">
        <v>95</v>
      </c>
      <c r="AX676" t="s">
        <v>108</v>
      </c>
      <c r="AY676" t="s">
        <v>308</v>
      </c>
      <c r="BC676">
        <v>10</v>
      </c>
      <c r="BH676" t="s">
        <v>99</v>
      </c>
      <c r="BO676" t="s">
        <v>111</v>
      </c>
      <c r="CD676" t="s">
        <v>647</v>
      </c>
      <c r="CE676">
        <v>9446</v>
      </c>
      <c r="CF676" t="s">
        <v>648</v>
      </c>
      <c r="CG676" t="s">
        <v>649</v>
      </c>
      <c r="CH676">
        <v>1971</v>
      </c>
    </row>
    <row r="677" spans="1:86" hidden="1" x14ac:dyDescent="0.25">
      <c r="A677">
        <v>330541</v>
      </c>
      <c r="B677" t="s">
        <v>86</v>
      </c>
      <c r="D677" t="s">
        <v>115</v>
      </c>
      <c r="K677" t="s">
        <v>90</v>
      </c>
      <c r="L677" t="s">
        <v>90</v>
      </c>
      <c r="M677" t="s">
        <v>90</v>
      </c>
      <c r="V677" t="s">
        <v>491</v>
      </c>
      <c r="W677" t="s">
        <v>92</v>
      </c>
      <c r="X677" t="s">
        <v>559</v>
      </c>
      <c r="Z677" t="s">
        <v>137</v>
      </c>
      <c r="AB677"/>
      <c r="AD677">
        <v>0.05</v>
      </c>
      <c r="AF677">
        <v>1</v>
      </c>
      <c r="AG677" t="s">
        <v>95</v>
      </c>
      <c r="AX677" t="s">
        <v>108</v>
      </c>
      <c r="AY677" t="s">
        <v>150</v>
      </c>
      <c r="BE677">
        <v>0</v>
      </c>
      <c r="BG677">
        <v>18</v>
      </c>
      <c r="BH677" t="s">
        <v>99</v>
      </c>
      <c r="BO677" t="s">
        <v>111</v>
      </c>
      <c r="CD677" t="s">
        <v>689</v>
      </c>
      <c r="CE677">
        <v>63230</v>
      </c>
      <c r="CF677" t="s">
        <v>690</v>
      </c>
      <c r="CG677" t="s">
        <v>691</v>
      </c>
      <c r="CH677">
        <v>1982</v>
      </c>
    </row>
    <row r="678" spans="1:86" hidden="1" x14ac:dyDescent="0.25">
      <c r="A678">
        <v>330541</v>
      </c>
      <c r="B678" t="s">
        <v>86</v>
      </c>
      <c r="D678" t="s">
        <v>115</v>
      </c>
      <c r="F678">
        <v>98</v>
      </c>
      <c r="K678" t="s">
        <v>446</v>
      </c>
      <c r="L678" t="s">
        <v>143</v>
      </c>
      <c r="M678" t="s">
        <v>90</v>
      </c>
      <c r="N678" t="s">
        <v>118</v>
      </c>
      <c r="P678">
        <v>6</v>
      </c>
      <c r="U678" t="s">
        <v>99</v>
      </c>
      <c r="V678" t="s">
        <v>91</v>
      </c>
      <c r="W678" t="s">
        <v>92</v>
      </c>
      <c r="X678" t="s">
        <v>93</v>
      </c>
      <c r="Z678" t="s">
        <v>94</v>
      </c>
      <c r="AB678"/>
      <c r="AD678">
        <v>0</v>
      </c>
      <c r="AF678">
        <v>100</v>
      </c>
      <c r="AG678" t="s">
        <v>95</v>
      </c>
      <c r="AX678" t="s">
        <v>707</v>
      </c>
      <c r="AY678" t="s">
        <v>708</v>
      </c>
      <c r="BC678">
        <v>12</v>
      </c>
      <c r="BH678" t="s">
        <v>99</v>
      </c>
      <c r="BO678" t="s">
        <v>111</v>
      </c>
      <c r="CD678" t="s">
        <v>447</v>
      </c>
      <c r="CE678">
        <v>153873</v>
      </c>
      <c r="CF678" t="s">
        <v>448</v>
      </c>
      <c r="CG678" t="s">
        <v>449</v>
      </c>
      <c r="CH678">
        <v>2011</v>
      </c>
    </row>
    <row r="679" spans="1:86" hidden="1" x14ac:dyDescent="0.25">
      <c r="A679">
        <v>330541</v>
      </c>
      <c r="B679" t="s">
        <v>86</v>
      </c>
      <c r="D679" t="s">
        <v>115</v>
      </c>
      <c r="K679" t="s">
        <v>90</v>
      </c>
      <c r="L679" t="s">
        <v>90</v>
      </c>
      <c r="M679" t="s">
        <v>90</v>
      </c>
      <c r="V679" t="s">
        <v>91</v>
      </c>
      <c r="W679" t="s">
        <v>107</v>
      </c>
      <c r="X679" t="s">
        <v>93</v>
      </c>
      <c r="Y679">
        <v>2</v>
      </c>
      <c r="Z679" t="s">
        <v>137</v>
      </c>
      <c r="AB679">
        <v>3.0000000000000001E-3</v>
      </c>
      <c r="AG679" t="s">
        <v>95</v>
      </c>
      <c r="AX679" t="s">
        <v>201</v>
      </c>
      <c r="AY679" t="s">
        <v>202</v>
      </c>
      <c r="BE679">
        <v>4.1700000000000001E-2</v>
      </c>
      <c r="BG679">
        <v>0.33329999999999999</v>
      </c>
      <c r="BH679" t="s">
        <v>99</v>
      </c>
      <c r="BO679" t="s">
        <v>111</v>
      </c>
      <c r="CD679" t="s">
        <v>204</v>
      </c>
      <c r="CE679">
        <v>75334</v>
      </c>
      <c r="CF679" t="s">
        <v>205</v>
      </c>
      <c r="CG679" t="s">
        <v>206</v>
      </c>
      <c r="CH679">
        <v>2003</v>
      </c>
    </row>
    <row r="680" spans="1:86" hidden="1" x14ac:dyDescent="0.25">
      <c r="A680">
        <v>330541</v>
      </c>
      <c r="B680" t="s">
        <v>86</v>
      </c>
      <c r="D680" t="s">
        <v>115</v>
      </c>
      <c r="K680" t="s">
        <v>189</v>
      </c>
      <c r="L680" t="s">
        <v>190</v>
      </c>
      <c r="M680" t="s">
        <v>90</v>
      </c>
      <c r="N680" t="s">
        <v>118</v>
      </c>
      <c r="V680" t="s">
        <v>91</v>
      </c>
      <c r="W680" t="s">
        <v>107</v>
      </c>
      <c r="X680" t="s">
        <v>93</v>
      </c>
      <c r="Z680" t="s">
        <v>137</v>
      </c>
      <c r="AB680">
        <v>0.01</v>
      </c>
      <c r="AG680" t="s">
        <v>95</v>
      </c>
      <c r="AX680" t="s">
        <v>201</v>
      </c>
      <c r="AY680" t="s">
        <v>311</v>
      </c>
      <c r="BC680">
        <v>7</v>
      </c>
      <c r="BH680" t="s">
        <v>99</v>
      </c>
      <c r="BO680" t="s">
        <v>111</v>
      </c>
      <c r="CD680" t="s">
        <v>647</v>
      </c>
      <c r="CE680">
        <v>9446</v>
      </c>
      <c r="CF680" t="s">
        <v>648</v>
      </c>
      <c r="CG680" t="s">
        <v>649</v>
      </c>
      <c r="CH680">
        <v>1971</v>
      </c>
    </row>
    <row r="681" spans="1:86" hidden="1" x14ac:dyDescent="0.25">
      <c r="A681">
        <v>330541</v>
      </c>
      <c r="B681" t="s">
        <v>86</v>
      </c>
      <c r="D681" t="s">
        <v>115</v>
      </c>
      <c r="F681">
        <v>80</v>
      </c>
      <c r="K681" t="s">
        <v>733</v>
      </c>
      <c r="L681" t="s">
        <v>143</v>
      </c>
      <c r="M681" t="s">
        <v>90</v>
      </c>
      <c r="V681" t="s">
        <v>168</v>
      </c>
      <c r="W681" t="s">
        <v>92</v>
      </c>
      <c r="X681" t="s">
        <v>93</v>
      </c>
      <c r="Y681">
        <v>2</v>
      </c>
      <c r="Z681" t="s">
        <v>137</v>
      </c>
      <c r="AB681">
        <v>10</v>
      </c>
      <c r="AG681" t="s">
        <v>95</v>
      </c>
      <c r="AX681" t="s">
        <v>201</v>
      </c>
      <c r="AY681" t="s">
        <v>120</v>
      </c>
      <c r="BE681">
        <v>0</v>
      </c>
      <c r="BG681">
        <v>28</v>
      </c>
      <c r="BH681" t="s">
        <v>99</v>
      </c>
      <c r="BO681" t="s">
        <v>111</v>
      </c>
      <c r="CD681" t="s">
        <v>657</v>
      </c>
      <c r="CE681">
        <v>18752</v>
      </c>
      <c r="CF681" t="s">
        <v>658</v>
      </c>
      <c r="CG681" t="s">
        <v>659</v>
      </c>
      <c r="CH681">
        <v>1988</v>
      </c>
    </row>
    <row r="682" spans="1:86" hidden="1" x14ac:dyDescent="0.25">
      <c r="A682">
        <v>330541</v>
      </c>
      <c r="B682" t="s">
        <v>86</v>
      </c>
      <c r="D682" t="s">
        <v>115</v>
      </c>
      <c r="K682" t="s">
        <v>734</v>
      </c>
      <c r="L682" t="s">
        <v>143</v>
      </c>
      <c r="M682" t="s">
        <v>90</v>
      </c>
      <c r="V682" t="s">
        <v>91</v>
      </c>
      <c r="W682" t="s">
        <v>92</v>
      </c>
      <c r="X682" t="s">
        <v>93</v>
      </c>
      <c r="Z682" t="s">
        <v>137</v>
      </c>
      <c r="AB682">
        <v>15</v>
      </c>
      <c r="AG682" t="s">
        <v>735</v>
      </c>
      <c r="AX682" t="s">
        <v>707</v>
      </c>
      <c r="AY682" t="s">
        <v>736</v>
      </c>
      <c r="BE682">
        <v>4.1700000000000001E-2</v>
      </c>
      <c r="BG682">
        <v>0.125</v>
      </c>
      <c r="BH682" t="s">
        <v>99</v>
      </c>
      <c r="BO682" t="s">
        <v>111</v>
      </c>
      <c r="CD682" t="s">
        <v>737</v>
      </c>
      <c r="CE682">
        <v>13030</v>
      </c>
      <c r="CF682" t="s">
        <v>738</v>
      </c>
      <c r="CG682" t="s">
        <v>739</v>
      </c>
      <c r="CH682">
        <v>1974</v>
      </c>
    </row>
    <row r="683" spans="1:86" hidden="1" x14ac:dyDescent="0.25">
      <c r="A683">
        <v>330541</v>
      </c>
      <c r="B683" t="s">
        <v>86</v>
      </c>
      <c r="D683" t="s">
        <v>115</v>
      </c>
      <c r="F683">
        <v>80</v>
      </c>
      <c r="K683" t="s">
        <v>733</v>
      </c>
      <c r="L683" t="s">
        <v>143</v>
      </c>
      <c r="M683" t="s">
        <v>90</v>
      </c>
      <c r="V683" t="s">
        <v>168</v>
      </c>
      <c r="W683" t="s">
        <v>92</v>
      </c>
      <c r="X683" t="s">
        <v>93</v>
      </c>
      <c r="Y683">
        <v>2</v>
      </c>
      <c r="Z683" t="s">
        <v>137</v>
      </c>
      <c r="AB683">
        <v>10</v>
      </c>
      <c r="AG683" t="s">
        <v>95</v>
      </c>
      <c r="AX683" t="s">
        <v>282</v>
      </c>
      <c r="AY683" t="s">
        <v>283</v>
      </c>
      <c r="BE683">
        <v>0</v>
      </c>
      <c r="BG683">
        <v>28</v>
      </c>
      <c r="BH683" t="s">
        <v>99</v>
      </c>
      <c r="BO683" t="s">
        <v>111</v>
      </c>
      <c r="CD683" t="s">
        <v>657</v>
      </c>
      <c r="CE683">
        <v>18752</v>
      </c>
      <c r="CF683" t="s">
        <v>658</v>
      </c>
      <c r="CG683" t="s">
        <v>659</v>
      </c>
      <c r="CH683">
        <v>1988</v>
      </c>
    </row>
    <row r="684" spans="1:86" hidden="1" x14ac:dyDescent="0.25">
      <c r="A684">
        <v>330541</v>
      </c>
      <c r="B684" t="s">
        <v>86</v>
      </c>
      <c r="D684" t="s">
        <v>115</v>
      </c>
      <c r="K684" t="s">
        <v>238</v>
      </c>
      <c r="L684" t="s">
        <v>89</v>
      </c>
      <c r="M684" t="s">
        <v>90</v>
      </c>
      <c r="V684" t="s">
        <v>91</v>
      </c>
      <c r="W684" t="s">
        <v>107</v>
      </c>
      <c r="X684" t="s">
        <v>93</v>
      </c>
      <c r="Z684" t="s">
        <v>94</v>
      </c>
      <c r="AB684">
        <v>4.0000000000000001E-3</v>
      </c>
      <c r="AG684" t="s">
        <v>95</v>
      </c>
      <c r="AX684" t="s">
        <v>108</v>
      </c>
      <c r="AY684" t="s">
        <v>308</v>
      </c>
      <c r="BC684">
        <v>10</v>
      </c>
      <c r="BH684" t="s">
        <v>99</v>
      </c>
      <c r="BO684" t="s">
        <v>111</v>
      </c>
      <c r="CD684" t="s">
        <v>635</v>
      </c>
      <c r="CE684">
        <v>8039</v>
      </c>
      <c r="CF684" t="s">
        <v>636</v>
      </c>
      <c r="CG684" t="s">
        <v>637</v>
      </c>
      <c r="CH684">
        <v>1962</v>
      </c>
    </row>
    <row r="685" spans="1:86" hidden="1" x14ac:dyDescent="0.25">
      <c r="A685">
        <v>330541</v>
      </c>
      <c r="B685" t="s">
        <v>86</v>
      </c>
      <c r="D685" t="s">
        <v>115</v>
      </c>
      <c r="K685" t="s">
        <v>195</v>
      </c>
      <c r="L685" t="s">
        <v>89</v>
      </c>
      <c r="M685" t="s">
        <v>90</v>
      </c>
      <c r="N685" t="s">
        <v>118</v>
      </c>
      <c r="V685" t="s">
        <v>91</v>
      </c>
      <c r="W685" t="s">
        <v>107</v>
      </c>
      <c r="X685" t="s">
        <v>93</v>
      </c>
      <c r="Z685" t="s">
        <v>137</v>
      </c>
      <c r="AB685">
        <v>0.01</v>
      </c>
      <c r="AG685" t="s">
        <v>95</v>
      </c>
      <c r="AX685" t="s">
        <v>201</v>
      </c>
      <c r="AY685" t="s">
        <v>646</v>
      </c>
      <c r="BC685">
        <v>7</v>
      </c>
      <c r="BH685" t="s">
        <v>99</v>
      </c>
      <c r="BO685" t="s">
        <v>111</v>
      </c>
      <c r="CD685" t="s">
        <v>647</v>
      </c>
      <c r="CE685">
        <v>9446</v>
      </c>
      <c r="CF685" t="s">
        <v>648</v>
      </c>
      <c r="CG685" t="s">
        <v>649</v>
      </c>
      <c r="CH685">
        <v>1971</v>
      </c>
    </row>
    <row r="686" spans="1:86" hidden="1" x14ac:dyDescent="0.25">
      <c r="A686">
        <v>330541</v>
      </c>
      <c r="B686" t="s">
        <v>86</v>
      </c>
      <c r="D686" t="s">
        <v>115</v>
      </c>
      <c r="K686" t="s">
        <v>142</v>
      </c>
      <c r="L686" t="s">
        <v>143</v>
      </c>
      <c r="M686" t="s">
        <v>90</v>
      </c>
      <c r="V686" t="s">
        <v>91</v>
      </c>
      <c r="W686" t="s">
        <v>92</v>
      </c>
      <c r="X686" t="s">
        <v>93</v>
      </c>
      <c r="Z686" t="s">
        <v>137</v>
      </c>
      <c r="AB686">
        <v>5000</v>
      </c>
      <c r="AG686" t="s">
        <v>95</v>
      </c>
      <c r="AX686" t="s">
        <v>523</v>
      </c>
      <c r="AY686" t="s">
        <v>523</v>
      </c>
      <c r="BC686">
        <v>15</v>
      </c>
      <c r="BH686" t="s">
        <v>99</v>
      </c>
      <c r="BO686" t="s">
        <v>111</v>
      </c>
      <c r="CD686" t="s">
        <v>652</v>
      </c>
      <c r="CE686">
        <v>9206</v>
      </c>
      <c r="CF686" t="s">
        <v>653</v>
      </c>
      <c r="CG686" t="s">
        <v>654</v>
      </c>
      <c r="CH686">
        <v>1972</v>
      </c>
    </row>
    <row r="687" spans="1:86" hidden="1" x14ac:dyDescent="0.25">
      <c r="A687">
        <v>330541</v>
      </c>
      <c r="B687" t="s">
        <v>86</v>
      </c>
      <c r="D687" t="s">
        <v>115</v>
      </c>
      <c r="K687" t="s">
        <v>142</v>
      </c>
      <c r="L687" t="s">
        <v>143</v>
      </c>
      <c r="M687" t="s">
        <v>90</v>
      </c>
      <c r="V687" t="s">
        <v>91</v>
      </c>
      <c r="W687" t="s">
        <v>92</v>
      </c>
      <c r="X687" t="s">
        <v>93</v>
      </c>
      <c r="Z687" t="s">
        <v>137</v>
      </c>
      <c r="AB687">
        <v>100</v>
      </c>
      <c r="AG687" t="s">
        <v>95</v>
      </c>
      <c r="AX687" t="s">
        <v>523</v>
      </c>
      <c r="AY687" t="s">
        <v>523</v>
      </c>
      <c r="BC687">
        <v>15</v>
      </c>
      <c r="BH687" t="s">
        <v>99</v>
      </c>
      <c r="BO687" t="s">
        <v>111</v>
      </c>
      <c r="CD687" t="s">
        <v>652</v>
      </c>
      <c r="CE687">
        <v>9206</v>
      </c>
      <c r="CF687" t="s">
        <v>653</v>
      </c>
      <c r="CG687" t="s">
        <v>654</v>
      </c>
      <c r="CH687">
        <v>1972</v>
      </c>
    </row>
    <row r="688" spans="1:86" hidden="1" x14ac:dyDescent="0.25">
      <c r="A688">
        <v>330541</v>
      </c>
      <c r="B688" t="s">
        <v>86</v>
      </c>
      <c r="D688" t="s">
        <v>115</v>
      </c>
      <c r="K688" t="s">
        <v>686</v>
      </c>
      <c r="L688" t="s">
        <v>190</v>
      </c>
      <c r="M688" t="s">
        <v>90</v>
      </c>
      <c r="N688" t="s">
        <v>118</v>
      </c>
      <c r="V688" t="s">
        <v>91</v>
      </c>
      <c r="W688" t="s">
        <v>107</v>
      </c>
      <c r="X688" t="s">
        <v>93</v>
      </c>
      <c r="Z688" t="s">
        <v>137</v>
      </c>
      <c r="AB688">
        <v>0.01</v>
      </c>
      <c r="AG688" t="s">
        <v>95</v>
      </c>
      <c r="AX688" t="s">
        <v>201</v>
      </c>
      <c r="AY688" t="s">
        <v>646</v>
      </c>
      <c r="BC688">
        <v>7</v>
      </c>
      <c r="BH688" t="s">
        <v>99</v>
      </c>
      <c r="BO688" t="s">
        <v>111</v>
      </c>
      <c r="CD688" t="s">
        <v>647</v>
      </c>
      <c r="CE688">
        <v>9446</v>
      </c>
      <c r="CF688" t="s">
        <v>648</v>
      </c>
      <c r="CG688" t="s">
        <v>649</v>
      </c>
      <c r="CH688">
        <v>1971</v>
      </c>
    </row>
    <row r="689" spans="1:86" hidden="1" x14ac:dyDescent="0.25">
      <c r="A689">
        <v>330541</v>
      </c>
      <c r="B689" t="s">
        <v>86</v>
      </c>
      <c r="D689" t="s">
        <v>115</v>
      </c>
      <c r="F689">
        <v>98.6</v>
      </c>
      <c r="K689" t="s">
        <v>211</v>
      </c>
      <c r="L689" t="s">
        <v>212</v>
      </c>
      <c r="M689" t="s">
        <v>90</v>
      </c>
      <c r="P689">
        <v>48</v>
      </c>
      <c r="U689" t="s">
        <v>213</v>
      </c>
      <c r="V689" t="s">
        <v>91</v>
      </c>
      <c r="W689" t="s">
        <v>92</v>
      </c>
      <c r="X689" t="s">
        <v>93</v>
      </c>
      <c r="Y689">
        <v>6</v>
      </c>
      <c r="Z689" t="s">
        <v>94</v>
      </c>
      <c r="AB689"/>
      <c r="AD689">
        <v>2.3309719999999999E-2</v>
      </c>
      <c r="AE689" t="s">
        <v>434</v>
      </c>
      <c r="AF689">
        <v>0.2330972</v>
      </c>
      <c r="AG689" t="s">
        <v>95</v>
      </c>
      <c r="AX689" t="s">
        <v>144</v>
      </c>
      <c r="AY689" t="s">
        <v>109</v>
      </c>
      <c r="BB689" t="s">
        <v>499</v>
      </c>
      <c r="BC689">
        <v>7</v>
      </c>
      <c r="BH689" t="s">
        <v>99</v>
      </c>
      <c r="BO689" t="s">
        <v>111</v>
      </c>
      <c r="CD689" t="s">
        <v>215</v>
      </c>
      <c r="CE689">
        <v>63613</v>
      </c>
      <c r="CF689" t="s">
        <v>216</v>
      </c>
      <c r="CG689" t="s">
        <v>217</v>
      </c>
      <c r="CH689">
        <v>1997</v>
      </c>
    </row>
    <row r="690" spans="1:86" hidden="1" x14ac:dyDescent="0.25">
      <c r="A690">
        <v>330541</v>
      </c>
      <c r="B690" t="s">
        <v>86</v>
      </c>
      <c r="D690" t="s">
        <v>115</v>
      </c>
      <c r="F690">
        <v>98.6</v>
      </c>
      <c r="K690" t="s">
        <v>211</v>
      </c>
      <c r="L690" t="s">
        <v>212</v>
      </c>
      <c r="M690" t="s">
        <v>90</v>
      </c>
      <c r="P690">
        <v>48</v>
      </c>
      <c r="U690" t="s">
        <v>213</v>
      </c>
      <c r="V690" t="s">
        <v>91</v>
      </c>
      <c r="W690" t="s">
        <v>92</v>
      </c>
      <c r="X690" t="s">
        <v>93</v>
      </c>
      <c r="Y690">
        <v>6</v>
      </c>
      <c r="Z690" t="s">
        <v>94</v>
      </c>
      <c r="AB690">
        <v>4.6619439999999998E-2</v>
      </c>
      <c r="AG690" t="s">
        <v>95</v>
      </c>
      <c r="AX690" t="s">
        <v>201</v>
      </c>
      <c r="AY690" t="s">
        <v>646</v>
      </c>
      <c r="BE690">
        <v>2</v>
      </c>
      <c r="BG690">
        <v>7</v>
      </c>
      <c r="BH690" t="s">
        <v>99</v>
      </c>
      <c r="BO690" t="s">
        <v>111</v>
      </c>
      <c r="CD690" t="s">
        <v>215</v>
      </c>
      <c r="CE690">
        <v>63613</v>
      </c>
      <c r="CF690" t="s">
        <v>216</v>
      </c>
      <c r="CG690" t="s">
        <v>217</v>
      </c>
      <c r="CH690">
        <v>1997</v>
      </c>
    </row>
    <row r="691" spans="1:86" hidden="1" x14ac:dyDescent="0.25">
      <c r="A691">
        <v>330541</v>
      </c>
      <c r="B691" t="s">
        <v>86</v>
      </c>
      <c r="D691" t="s">
        <v>115</v>
      </c>
      <c r="F691">
        <v>98.6</v>
      </c>
      <c r="K691" t="s">
        <v>211</v>
      </c>
      <c r="L691" t="s">
        <v>212</v>
      </c>
      <c r="M691" t="s">
        <v>90</v>
      </c>
      <c r="P691">
        <v>48</v>
      </c>
      <c r="U691" t="s">
        <v>213</v>
      </c>
      <c r="V691" t="s">
        <v>91</v>
      </c>
      <c r="W691" t="s">
        <v>92</v>
      </c>
      <c r="X691" t="s">
        <v>93</v>
      </c>
      <c r="Y691">
        <v>6</v>
      </c>
      <c r="Z691" t="s">
        <v>94</v>
      </c>
      <c r="AB691"/>
      <c r="AC691" t="s">
        <v>434</v>
      </c>
      <c r="AD691">
        <v>2.3309719999999999E-2</v>
      </c>
      <c r="AE691" t="s">
        <v>434</v>
      </c>
      <c r="AF691">
        <v>6.9929160000000004E-2</v>
      </c>
      <c r="AG691" t="s">
        <v>95</v>
      </c>
      <c r="AX691" t="s">
        <v>108</v>
      </c>
      <c r="AY691" t="s">
        <v>150</v>
      </c>
      <c r="BC691">
        <v>4</v>
      </c>
      <c r="BH691" t="s">
        <v>99</v>
      </c>
      <c r="BO691" t="s">
        <v>111</v>
      </c>
      <c r="CD691" t="s">
        <v>215</v>
      </c>
      <c r="CE691">
        <v>63613</v>
      </c>
      <c r="CF691" t="s">
        <v>216</v>
      </c>
      <c r="CG691" t="s">
        <v>217</v>
      </c>
      <c r="CH691">
        <v>1997</v>
      </c>
    </row>
    <row r="692" spans="1:86" hidden="1" x14ac:dyDescent="0.25">
      <c r="A692">
        <v>330541</v>
      </c>
      <c r="B692" t="s">
        <v>86</v>
      </c>
      <c r="D692" t="s">
        <v>115</v>
      </c>
      <c r="K692" t="s">
        <v>369</v>
      </c>
      <c r="L692" t="s">
        <v>370</v>
      </c>
      <c r="M692" t="s">
        <v>90</v>
      </c>
      <c r="N692" t="s">
        <v>118</v>
      </c>
      <c r="V692" t="s">
        <v>91</v>
      </c>
      <c r="W692" t="s">
        <v>107</v>
      </c>
      <c r="X692" t="s">
        <v>93</v>
      </c>
      <c r="Z692" t="s">
        <v>137</v>
      </c>
      <c r="AB692">
        <v>0.01</v>
      </c>
      <c r="AG692" t="s">
        <v>95</v>
      </c>
      <c r="AX692" t="s">
        <v>201</v>
      </c>
      <c r="AY692" t="s">
        <v>311</v>
      </c>
      <c r="BC692">
        <v>7</v>
      </c>
      <c r="BH692" t="s">
        <v>99</v>
      </c>
      <c r="BO692" t="s">
        <v>111</v>
      </c>
      <c r="CD692" t="s">
        <v>647</v>
      </c>
      <c r="CE692">
        <v>9446</v>
      </c>
      <c r="CF692" t="s">
        <v>648</v>
      </c>
      <c r="CG692" t="s">
        <v>649</v>
      </c>
      <c r="CH692">
        <v>1971</v>
      </c>
    </row>
    <row r="693" spans="1:86" hidden="1" x14ac:dyDescent="0.25">
      <c r="A693">
        <v>330541</v>
      </c>
      <c r="B693" t="s">
        <v>86</v>
      </c>
      <c r="D693" t="s">
        <v>115</v>
      </c>
      <c r="K693" t="s">
        <v>651</v>
      </c>
      <c r="L693" t="s">
        <v>143</v>
      </c>
      <c r="M693" t="s">
        <v>90</v>
      </c>
      <c r="V693" t="s">
        <v>91</v>
      </c>
      <c r="W693" t="s">
        <v>92</v>
      </c>
      <c r="X693" t="s">
        <v>93</v>
      </c>
      <c r="Z693" t="s">
        <v>137</v>
      </c>
      <c r="AB693">
        <v>500</v>
      </c>
      <c r="AG693" t="s">
        <v>95</v>
      </c>
      <c r="AX693" t="s">
        <v>523</v>
      </c>
      <c r="AY693" t="s">
        <v>523</v>
      </c>
      <c r="BC693">
        <v>15</v>
      </c>
      <c r="BH693" t="s">
        <v>99</v>
      </c>
      <c r="BO693" t="s">
        <v>111</v>
      </c>
      <c r="CD693" t="s">
        <v>652</v>
      </c>
      <c r="CE693">
        <v>9206</v>
      </c>
      <c r="CF693" t="s">
        <v>653</v>
      </c>
      <c r="CG693" t="s">
        <v>654</v>
      </c>
      <c r="CH693">
        <v>1972</v>
      </c>
    </row>
    <row r="694" spans="1:86" hidden="1" x14ac:dyDescent="0.25">
      <c r="A694">
        <v>330541</v>
      </c>
      <c r="B694" t="s">
        <v>86</v>
      </c>
      <c r="D694" t="s">
        <v>115</v>
      </c>
      <c r="K694" t="s">
        <v>651</v>
      </c>
      <c r="L694" t="s">
        <v>143</v>
      </c>
      <c r="M694" t="s">
        <v>90</v>
      </c>
      <c r="V694" t="s">
        <v>91</v>
      </c>
      <c r="W694" t="s">
        <v>92</v>
      </c>
      <c r="X694" t="s">
        <v>93</v>
      </c>
      <c r="Z694" t="s">
        <v>137</v>
      </c>
      <c r="AB694">
        <v>2000</v>
      </c>
      <c r="AG694" t="s">
        <v>95</v>
      </c>
      <c r="AX694" t="s">
        <v>523</v>
      </c>
      <c r="AY694" t="s">
        <v>523</v>
      </c>
      <c r="BC694">
        <v>15</v>
      </c>
      <c r="BH694" t="s">
        <v>99</v>
      </c>
      <c r="BO694" t="s">
        <v>111</v>
      </c>
      <c r="CD694" t="s">
        <v>652</v>
      </c>
      <c r="CE694">
        <v>9206</v>
      </c>
      <c r="CF694" t="s">
        <v>653</v>
      </c>
      <c r="CG694" t="s">
        <v>654</v>
      </c>
      <c r="CH694">
        <v>1972</v>
      </c>
    </row>
    <row r="695" spans="1:86" hidden="1" x14ac:dyDescent="0.25">
      <c r="A695">
        <v>330541</v>
      </c>
      <c r="B695" t="s">
        <v>86</v>
      </c>
      <c r="D695" t="s">
        <v>87</v>
      </c>
      <c r="K695" t="s">
        <v>90</v>
      </c>
      <c r="L695" t="s">
        <v>90</v>
      </c>
      <c r="M695" t="s">
        <v>90</v>
      </c>
      <c r="V695" t="s">
        <v>491</v>
      </c>
      <c r="W695" t="s">
        <v>92</v>
      </c>
      <c r="X695" t="s">
        <v>559</v>
      </c>
      <c r="Y695">
        <v>3</v>
      </c>
      <c r="Z695" t="s">
        <v>94</v>
      </c>
      <c r="AB695"/>
      <c r="AD695">
        <v>1.4599999999999999E-3</v>
      </c>
      <c r="AF695">
        <v>1.136E-2</v>
      </c>
      <c r="AG695" t="s">
        <v>95</v>
      </c>
      <c r="AX695" t="s">
        <v>108</v>
      </c>
      <c r="AY695" t="s">
        <v>174</v>
      </c>
      <c r="BE695">
        <v>1</v>
      </c>
      <c r="BG695">
        <v>5</v>
      </c>
      <c r="BH695" t="s">
        <v>99</v>
      </c>
      <c r="BO695" t="s">
        <v>111</v>
      </c>
      <c r="CD695" t="s">
        <v>728</v>
      </c>
      <c r="CE695">
        <v>172395</v>
      </c>
      <c r="CF695" t="s">
        <v>729</v>
      </c>
      <c r="CG695" t="s">
        <v>730</v>
      </c>
      <c r="CH695">
        <v>2011</v>
      </c>
    </row>
    <row r="696" spans="1:86" hidden="1" x14ac:dyDescent="0.25">
      <c r="A696">
        <v>330541</v>
      </c>
      <c r="B696" t="s">
        <v>86</v>
      </c>
      <c r="D696" t="s">
        <v>87</v>
      </c>
      <c r="K696" t="s">
        <v>655</v>
      </c>
      <c r="L696" t="s">
        <v>656</v>
      </c>
      <c r="M696" t="s">
        <v>90</v>
      </c>
      <c r="V696" t="s">
        <v>491</v>
      </c>
      <c r="W696" t="s">
        <v>92</v>
      </c>
      <c r="X696" t="s">
        <v>559</v>
      </c>
      <c r="Y696">
        <v>3</v>
      </c>
      <c r="Z696" t="s">
        <v>94</v>
      </c>
      <c r="AB696"/>
      <c r="AD696">
        <v>1.4599999999999999E-3</v>
      </c>
      <c r="AF696">
        <v>1.136E-2</v>
      </c>
      <c r="AG696" t="s">
        <v>95</v>
      </c>
      <c r="AX696" t="s">
        <v>108</v>
      </c>
      <c r="AY696" t="s">
        <v>174</v>
      </c>
      <c r="BE696">
        <v>1</v>
      </c>
      <c r="BG696">
        <v>5</v>
      </c>
      <c r="BH696" t="s">
        <v>99</v>
      </c>
      <c r="BO696" t="s">
        <v>111</v>
      </c>
      <c r="CD696" t="s">
        <v>728</v>
      </c>
      <c r="CE696">
        <v>172395</v>
      </c>
      <c r="CF696" t="s">
        <v>729</v>
      </c>
      <c r="CG696" t="s">
        <v>730</v>
      </c>
      <c r="CH696">
        <v>2011</v>
      </c>
    </row>
    <row r="697" spans="1:86" hidden="1" x14ac:dyDescent="0.25">
      <c r="A697">
        <v>330541</v>
      </c>
      <c r="B697" t="s">
        <v>86</v>
      </c>
      <c r="D697" t="s">
        <v>115</v>
      </c>
      <c r="K697" t="s">
        <v>732</v>
      </c>
      <c r="L697" t="s">
        <v>89</v>
      </c>
      <c r="M697" t="s">
        <v>90</v>
      </c>
      <c r="V697" t="s">
        <v>91</v>
      </c>
      <c r="W697" t="s">
        <v>107</v>
      </c>
      <c r="X697" t="s">
        <v>93</v>
      </c>
      <c r="Z697" t="s">
        <v>94</v>
      </c>
      <c r="AB697">
        <v>4.0000000000000002E-4</v>
      </c>
      <c r="AG697" t="s">
        <v>95</v>
      </c>
      <c r="AX697" t="s">
        <v>108</v>
      </c>
      <c r="AY697" t="s">
        <v>308</v>
      </c>
      <c r="BC697">
        <v>10</v>
      </c>
      <c r="BH697" t="s">
        <v>99</v>
      </c>
      <c r="BO697" t="s">
        <v>111</v>
      </c>
      <c r="CD697" t="s">
        <v>635</v>
      </c>
      <c r="CE697">
        <v>8039</v>
      </c>
      <c r="CF697" t="s">
        <v>636</v>
      </c>
      <c r="CG697" t="s">
        <v>637</v>
      </c>
      <c r="CH697">
        <v>1962</v>
      </c>
    </row>
    <row r="698" spans="1:86" hidden="1" x14ac:dyDescent="0.25">
      <c r="A698">
        <v>330541</v>
      </c>
      <c r="B698" t="s">
        <v>86</v>
      </c>
      <c r="D698" t="s">
        <v>115</v>
      </c>
      <c r="K698" t="s">
        <v>369</v>
      </c>
      <c r="L698" t="s">
        <v>370</v>
      </c>
      <c r="M698" t="s">
        <v>90</v>
      </c>
      <c r="N698" t="s">
        <v>118</v>
      </c>
      <c r="V698" t="s">
        <v>91</v>
      </c>
      <c r="W698" t="s">
        <v>107</v>
      </c>
      <c r="X698" t="s">
        <v>93</v>
      </c>
      <c r="Z698" t="s">
        <v>137</v>
      </c>
      <c r="AB698">
        <v>0.01</v>
      </c>
      <c r="AG698" t="s">
        <v>95</v>
      </c>
      <c r="AX698" t="s">
        <v>201</v>
      </c>
      <c r="AY698" t="s">
        <v>646</v>
      </c>
      <c r="BC698">
        <v>7</v>
      </c>
      <c r="BH698" t="s">
        <v>99</v>
      </c>
      <c r="BO698" t="s">
        <v>111</v>
      </c>
      <c r="CD698" t="s">
        <v>647</v>
      </c>
      <c r="CE698">
        <v>9446</v>
      </c>
      <c r="CF698" t="s">
        <v>648</v>
      </c>
      <c r="CG698" t="s">
        <v>649</v>
      </c>
      <c r="CH698">
        <v>1971</v>
      </c>
    </row>
    <row r="699" spans="1:86" hidden="1" x14ac:dyDescent="0.25">
      <c r="A699">
        <v>330541</v>
      </c>
      <c r="B699" t="s">
        <v>86</v>
      </c>
      <c r="D699" t="s">
        <v>115</v>
      </c>
      <c r="K699" t="s">
        <v>142</v>
      </c>
      <c r="L699" t="s">
        <v>143</v>
      </c>
      <c r="M699" t="s">
        <v>90</v>
      </c>
      <c r="V699" t="s">
        <v>91</v>
      </c>
      <c r="W699" t="s">
        <v>92</v>
      </c>
      <c r="X699" t="s">
        <v>93</v>
      </c>
      <c r="Z699" t="s">
        <v>137</v>
      </c>
      <c r="AB699">
        <v>100</v>
      </c>
      <c r="AG699" t="s">
        <v>95</v>
      </c>
      <c r="AX699" t="s">
        <v>523</v>
      </c>
      <c r="AY699" t="s">
        <v>523</v>
      </c>
      <c r="BC699">
        <v>15</v>
      </c>
      <c r="BH699" t="s">
        <v>99</v>
      </c>
      <c r="BO699" t="s">
        <v>111</v>
      </c>
      <c r="CD699" t="s">
        <v>652</v>
      </c>
      <c r="CE699">
        <v>9206</v>
      </c>
      <c r="CF699" t="s">
        <v>653</v>
      </c>
      <c r="CG699" t="s">
        <v>654</v>
      </c>
      <c r="CH699">
        <v>1972</v>
      </c>
    </row>
    <row r="700" spans="1:86" hidden="1" x14ac:dyDescent="0.25">
      <c r="A700">
        <v>330541</v>
      </c>
      <c r="B700" t="s">
        <v>86</v>
      </c>
      <c r="D700" t="s">
        <v>115</v>
      </c>
      <c r="E700" t="s">
        <v>149</v>
      </c>
      <c r="F700">
        <v>98</v>
      </c>
      <c r="K700" t="s">
        <v>740</v>
      </c>
      <c r="L700" t="s">
        <v>89</v>
      </c>
      <c r="M700" t="s">
        <v>90</v>
      </c>
      <c r="R700">
        <v>4</v>
      </c>
      <c r="T700">
        <v>7</v>
      </c>
      <c r="U700" t="s">
        <v>99</v>
      </c>
      <c r="V700" t="s">
        <v>91</v>
      </c>
      <c r="W700" t="s">
        <v>92</v>
      </c>
      <c r="X700" t="s">
        <v>93</v>
      </c>
      <c r="Z700" t="s">
        <v>94</v>
      </c>
      <c r="AB700">
        <v>5</v>
      </c>
      <c r="AG700" t="s">
        <v>95</v>
      </c>
      <c r="AX700" t="s">
        <v>144</v>
      </c>
      <c r="AY700" t="s">
        <v>741</v>
      </c>
      <c r="BA700" t="s">
        <v>742</v>
      </c>
      <c r="BC700">
        <v>6.25E-2</v>
      </c>
      <c r="BH700" t="s">
        <v>99</v>
      </c>
      <c r="BO700" t="s">
        <v>111</v>
      </c>
      <c r="CD700" t="s">
        <v>743</v>
      </c>
      <c r="CE700">
        <v>70737</v>
      </c>
      <c r="CF700" t="s">
        <v>744</v>
      </c>
      <c r="CG700" t="s">
        <v>745</v>
      </c>
      <c r="CH700">
        <v>1973</v>
      </c>
    </row>
    <row r="701" spans="1:86" hidden="1" x14ac:dyDescent="0.25">
      <c r="A701">
        <v>330541</v>
      </c>
      <c r="B701" t="s">
        <v>86</v>
      </c>
      <c r="D701" t="s">
        <v>115</v>
      </c>
      <c r="K701" t="s">
        <v>90</v>
      </c>
      <c r="L701" t="s">
        <v>90</v>
      </c>
      <c r="M701" t="s">
        <v>90</v>
      </c>
      <c r="V701" t="s">
        <v>91</v>
      </c>
      <c r="W701" t="s">
        <v>107</v>
      </c>
      <c r="X701" t="s">
        <v>93</v>
      </c>
      <c r="Y701">
        <v>2</v>
      </c>
      <c r="Z701" t="s">
        <v>137</v>
      </c>
      <c r="AB701">
        <v>3.0000000000000001E-3</v>
      </c>
      <c r="AG701" t="s">
        <v>95</v>
      </c>
      <c r="AX701" t="s">
        <v>201</v>
      </c>
      <c r="AY701" t="s">
        <v>202</v>
      </c>
      <c r="BC701">
        <v>0.1111</v>
      </c>
      <c r="BH701" t="s">
        <v>99</v>
      </c>
      <c r="BO701" t="s">
        <v>111</v>
      </c>
      <c r="CD701" t="s">
        <v>204</v>
      </c>
      <c r="CE701">
        <v>75334</v>
      </c>
      <c r="CF701" t="s">
        <v>205</v>
      </c>
      <c r="CG701" t="s">
        <v>206</v>
      </c>
      <c r="CH701">
        <v>2003</v>
      </c>
    </row>
    <row r="702" spans="1:86" hidden="1" x14ac:dyDescent="0.25">
      <c r="A702">
        <v>330541</v>
      </c>
      <c r="B702" t="s">
        <v>86</v>
      </c>
      <c r="D702" t="s">
        <v>115</v>
      </c>
      <c r="K702" t="s">
        <v>645</v>
      </c>
      <c r="L702" t="s">
        <v>89</v>
      </c>
      <c r="M702" t="s">
        <v>90</v>
      </c>
      <c r="N702" t="s">
        <v>118</v>
      </c>
      <c r="V702" t="s">
        <v>91</v>
      </c>
      <c r="W702" t="s">
        <v>107</v>
      </c>
      <c r="X702" t="s">
        <v>93</v>
      </c>
      <c r="Z702" t="s">
        <v>137</v>
      </c>
      <c r="AB702">
        <v>0.01</v>
      </c>
      <c r="AG702" t="s">
        <v>95</v>
      </c>
      <c r="AX702" t="s">
        <v>201</v>
      </c>
      <c r="AY702" t="s">
        <v>646</v>
      </c>
      <c r="BC702">
        <v>7</v>
      </c>
      <c r="BH702" t="s">
        <v>99</v>
      </c>
      <c r="BO702" t="s">
        <v>111</v>
      </c>
      <c r="CD702" t="s">
        <v>647</v>
      </c>
      <c r="CE702">
        <v>9446</v>
      </c>
      <c r="CF702" t="s">
        <v>648</v>
      </c>
      <c r="CG702" t="s">
        <v>649</v>
      </c>
      <c r="CH702">
        <v>1971</v>
      </c>
    </row>
    <row r="703" spans="1:86" hidden="1" x14ac:dyDescent="0.25">
      <c r="A703">
        <v>330541</v>
      </c>
      <c r="B703" t="s">
        <v>86</v>
      </c>
      <c r="D703" t="s">
        <v>115</v>
      </c>
      <c r="K703" t="s">
        <v>651</v>
      </c>
      <c r="L703" t="s">
        <v>143</v>
      </c>
      <c r="M703" t="s">
        <v>90</v>
      </c>
      <c r="V703" t="s">
        <v>91</v>
      </c>
      <c r="W703" t="s">
        <v>92</v>
      </c>
      <c r="X703" t="s">
        <v>93</v>
      </c>
      <c r="Z703" t="s">
        <v>137</v>
      </c>
      <c r="AB703">
        <v>5</v>
      </c>
      <c r="AG703" t="s">
        <v>95</v>
      </c>
      <c r="AX703" t="s">
        <v>523</v>
      </c>
      <c r="AY703" t="s">
        <v>523</v>
      </c>
      <c r="BC703">
        <v>15</v>
      </c>
      <c r="BH703" t="s">
        <v>99</v>
      </c>
      <c r="BO703" t="s">
        <v>111</v>
      </c>
      <c r="CD703" t="s">
        <v>652</v>
      </c>
      <c r="CE703">
        <v>9206</v>
      </c>
      <c r="CF703" t="s">
        <v>653</v>
      </c>
      <c r="CG703" t="s">
        <v>654</v>
      </c>
      <c r="CH703">
        <v>1972</v>
      </c>
    </row>
    <row r="704" spans="1:86" hidden="1" x14ac:dyDescent="0.25">
      <c r="A704">
        <v>330541</v>
      </c>
      <c r="B704" t="s">
        <v>86</v>
      </c>
      <c r="K704" t="s">
        <v>746</v>
      </c>
      <c r="L704" t="s">
        <v>317</v>
      </c>
      <c r="M704" t="s">
        <v>90</v>
      </c>
      <c r="W704" t="s">
        <v>92</v>
      </c>
      <c r="X704" t="s">
        <v>93</v>
      </c>
      <c r="Z704" t="s">
        <v>137</v>
      </c>
      <c r="AB704"/>
      <c r="AD704">
        <v>10</v>
      </c>
      <c r="AF704">
        <v>100</v>
      </c>
      <c r="AG704" t="s">
        <v>95</v>
      </c>
      <c r="AX704" t="s">
        <v>615</v>
      </c>
      <c r="AY704" t="s">
        <v>702</v>
      </c>
      <c r="BE704">
        <v>0.125</v>
      </c>
      <c r="BG704">
        <v>3</v>
      </c>
      <c r="BH704" t="s">
        <v>99</v>
      </c>
      <c r="BO704" t="s">
        <v>111</v>
      </c>
      <c r="CD704" t="s">
        <v>704</v>
      </c>
      <c r="CE704">
        <v>14181</v>
      </c>
      <c r="CF704" t="s">
        <v>705</v>
      </c>
      <c r="CG704" t="s">
        <v>706</v>
      </c>
      <c r="CH704">
        <v>1987</v>
      </c>
    </row>
    <row r="705" spans="1:86" hidden="1" x14ac:dyDescent="0.25">
      <c r="A705">
        <v>330541</v>
      </c>
      <c r="B705" t="s">
        <v>86</v>
      </c>
      <c r="D705" t="s">
        <v>115</v>
      </c>
      <c r="H705">
        <v>95</v>
      </c>
      <c r="J705">
        <v>100</v>
      </c>
      <c r="K705" t="s">
        <v>540</v>
      </c>
      <c r="L705" t="s">
        <v>541</v>
      </c>
      <c r="M705" t="s">
        <v>90</v>
      </c>
      <c r="N705" t="s">
        <v>118</v>
      </c>
      <c r="V705" t="s">
        <v>168</v>
      </c>
      <c r="W705" t="s">
        <v>92</v>
      </c>
      <c r="X705" t="s">
        <v>93</v>
      </c>
      <c r="Y705">
        <v>3</v>
      </c>
      <c r="Z705" t="s">
        <v>94</v>
      </c>
      <c r="AB705"/>
      <c r="AD705">
        <v>0.1</v>
      </c>
      <c r="AF705">
        <v>1</v>
      </c>
      <c r="AG705" t="s">
        <v>95</v>
      </c>
      <c r="AX705" t="s">
        <v>108</v>
      </c>
      <c r="AY705" t="s">
        <v>174</v>
      </c>
      <c r="BC705">
        <v>40</v>
      </c>
      <c r="BH705" t="s">
        <v>99</v>
      </c>
      <c r="BO705" t="s">
        <v>111</v>
      </c>
      <c r="CD705" t="s">
        <v>543</v>
      </c>
      <c r="CE705">
        <v>172991</v>
      </c>
      <c r="CF705" t="s">
        <v>544</v>
      </c>
      <c r="CG705" t="s">
        <v>545</v>
      </c>
      <c r="CH705">
        <v>2015</v>
      </c>
    </row>
    <row r="706" spans="1:86" hidden="1" x14ac:dyDescent="0.25">
      <c r="A706">
        <v>330541</v>
      </c>
      <c r="B706" t="s">
        <v>86</v>
      </c>
      <c r="K706" t="s">
        <v>746</v>
      </c>
      <c r="L706" t="s">
        <v>317</v>
      </c>
      <c r="M706" t="s">
        <v>90</v>
      </c>
      <c r="W706" t="s">
        <v>92</v>
      </c>
      <c r="X706" t="s">
        <v>93</v>
      </c>
      <c r="Z706" t="s">
        <v>137</v>
      </c>
      <c r="AB706">
        <v>100</v>
      </c>
      <c r="AG706" t="s">
        <v>95</v>
      </c>
      <c r="AX706" t="s">
        <v>201</v>
      </c>
      <c r="AY706" t="s">
        <v>311</v>
      </c>
      <c r="BA706" t="s">
        <v>179</v>
      </c>
      <c r="BE706">
        <v>1</v>
      </c>
      <c r="BG706">
        <v>3</v>
      </c>
      <c r="BH706" t="s">
        <v>99</v>
      </c>
      <c r="BO706" t="s">
        <v>111</v>
      </c>
      <c r="CD706" t="s">
        <v>704</v>
      </c>
      <c r="CE706">
        <v>14181</v>
      </c>
      <c r="CF706" t="s">
        <v>705</v>
      </c>
      <c r="CG706" t="s">
        <v>706</v>
      </c>
      <c r="CH706">
        <v>1987</v>
      </c>
    </row>
    <row r="707" spans="1:86" hidden="1" x14ac:dyDescent="0.25">
      <c r="A707">
        <v>330541</v>
      </c>
      <c r="B707" t="s">
        <v>86</v>
      </c>
      <c r="D707" t="s">
        <v>115</v>
      </c>
      <c r="K707" t="s">
        <v>747</v>
      </c>
      <c r="L707" t="s">
        <v>89</v>
      </c>
      <c r="M707" t="s">
        <v>90</v>
      </c>
      <c r="V707" t="s">
        <v>91</v>
      </c>
      <c r="W707" t="s">
        <v>92</v>
      </c>
      <c r="X707" t="s">
        <v>93</v>
      </c>
      <c r="Z707" t="s">
        <v>137</v>
      </c>
      <c r="AB707"/>
      <c r="AD707">
        <v>4.6619439999999999E-4</v>
      </c>
      <c r="AF707">
        <v>0.16316803999999999</v>
      </c>
      <c r="AG707" t="s">
        <v>95</v>
      </c>
      <c r="AX707" t="s">
        <v>201</v>
      </c>
      <c r="AY707" t="s">
        <v>646</v>
      </c>
      <c r="BE707">
        <v>3.3E-3</v>
      </c>
      <c r="BG707">
        <v>0.125</v>
      </c>
      <c r="BH707" t="s">
        <v>99</v>
      </c>
      <c r="BO707" t="s">
        <v>111</v>
      </c>
      <c r="CD707" t="s">
        <v>748</v>
      </c>
      <c r="CE707">
        <v>3040</v>
      </c>
      <c r="CF707" t="s">
        <v>749</v>
      </c>
      <c r="CG707" t="s">
        <v>750</v>
      </c>
      <c r="CH707">
        <v>1987</v>
      </c>
    </row>
    <row r="708" spans="1:86" hidden="1" x14ac:dyDescent="0.25">
      <c r="A708">
        <v>330541</v>
      </c>
      <c r="B708" t="s">
        <v>86</v>
      </c>
      <c r="D708" t="s">
        <v>115</v>
      </c>
      <c r="F708">
        <v>98.6</v>
      </c>
      <c r="K708" t="s">
        <v>211</v>
      </c>
      <c r="L708" t="s">
        <v>212</v>
      </c>
      <c r="M708" t="s">
        <v>90</v>
      </c>
      <c r="P708">
        <v>48</v>
      </c>
      <c r="U708" t="s">
        <v>213</v>
      </c>
      <c r="V708" t="s">
        <v>91</v>
      </c>
      <c r="W708" t="s">
        <v>92</v>
      </c>
      <c r="X708" t="s">
        <v>93</v>
      </c>
      <c r="Y708">
        <v>6</v>
      </c>
      <c r="Z708" t="s">
        <v>94</v>
      </c>
      <c r="AB708">
        <v>4.6619439999999998E-2</v>
      </c>
      <c r="AG708" t="s">
        <v>95</v>
      </c>
      <c r="AX708" t="s">
        <v>201</v>
      </c>
      <c r="AY708" t="s">
        <v>646</v>
      </c>
      <c r="BB708" t="s">
        <v>499</v>
      </c>
      <c r="BC708">
        <v>7</v>
      </c>
      <c r="BH708" t="s">
        <v>99</v>
      </c>
      <c r="BO708" t="s">
        <v>111</v>
      </c>
      <c r="CD708" t="s">
        <v>215</v>
      </c>
      <c r="CE708">
        <v>63613</v>
      </c>
      <c r="CF708" t="s">
        <v>216</v>
      </c>
      <c r="CG708" t="s">
        <v>217</v>
      </c>
      <c r="CH708">
        <v>1997</v>
      </c>
    </row>
    <row r="709" spans="1:86" hidden="1" x14ac:dyDescent="0.25">
      <c r="A709">
        <v>330541</v>
      </c>
      <c r="B709" t="s">
        <v>86</v>
      </c>
      <c r="D709" t="s">
        <v>115</v>
      </c>
      <c r="K709" t="s">
        <v>142</v>
      </c>
      <c r="L709" t="s">
        <v>143</v>
      </c>
      <c r="M709" t="s">
        <v>90</v>
      </c>
      <c r="V709" t="s">
        <v>91</v>
      </c>
      <c r="W709" t="s">
        <v>92</v>
      </c>
      <c r="X709" t="s">
        <v>93</v>
      </c>
      <c r="Z709" t="s">
        <v>137</v>
      </c>
      <c r="AB709">
        <v>100</v>
      </c>
      <c r="AG709" t="s">
        <v>95</v>
      </c>
      <c r="AX709" t="s">
        <v>523</v>
      </c>
      <c r="AY709" t="s">
        <v>523</v>
      </c>
      <c r="BC709">
        <v>15</v>
      </c>
      <c r="BH709" t="s">
        <v>99</v>
      </c>
      <c r="BO709" t="s">
        <v>111</v>
      </c>
      <c r="CD709" t="s">
        <v>652</v>
      </c>
      <c r="CE709">
        <v>9206</v>
      </c>
      <c r="CF709" t="s">
        <v>653</v>
      </c>
      <c r="CG709" t="s">
        <v>654</v>
      </c>
      <c r="CH709">
        <v>1972</v>
      </c>
    </row>
    <row r="710" spans="1:86" hidden="1" x14ac:dyDescent="0.25">
      <c r="A710">
        <v>330541</v>
      </c>
      <c r="B710" t="s">
        <v>86</v>
      </c>
      <c r="D710" t="s">
        <v>115</v>
      </c>
      <c r="F710">
        <v>98.6</v>
      </c>
      <c r="K710" t="s">
        <v>211</v>
      </c>
      <c r="L710" t="s">
        <v>212</v>
      </c>
      <c r="M710" t="s">
        <v>90</v>
      </c>
      <c r="P710">
        <v>48</v>
      </c>
      <c r="U710" t="s">
        <v>213</v>
      </c>
      <c r="V710" t="s">
        <v>91</v>
      </c>
      <c r="W710" t="s">
        <v>92</v>
      </c>
      <c r="X710" t="s">
        <v>93</v>
      </c>
      <c r="Y710">
        <v>6</v>
      </c>
      <c r="Z710" t="s">
        <v>94</v>
      </c>
      <c r="AB710"/>
      <c r="AC710" t="s">
        <v>434</v>
      </c>
      <c r="AD710">
        <v>0.2330972</v>
      </c>
      <c r="AE710" t="s">
        <v>434</v>
      </c>
      <c r="AF710">
        <v>1.165486</v>
      </c>
      <c r="AG710" t="s">
        <v>95</v>
      </c>
      <c r="AX710" t="s">
        <v>144</v>
      </c>
      <c r="AY710" t="s">
        <v>109</v>
      </c>
      <c r="BB710" t="s">
        <v>499</v>
      </c>
      <c r="BC710">
        <v>7</v>
      </c>
      <c r="BH710" t="s">
        <v>99</v>
      </c>
      <c r="BO710" t="s">
        <v>111</v>
      </c>
      <c r="CD710" t="s">
        <v>215</v>
      </c>
      <c r="CE710">
        <v>63613</v>
      </c>
      <c r="CF710" t="s">
        <v>216</v>
      </c>
      <c r="CG710" t="s">
        <v>217</v>
      </c>
      <c r="CH710">
        <v>1997</v>
      </c>
    </row>
    <row r="711" spans="1:86" hidden="1" x14ac:dyDescent="0.25">
      <c r="A711">
        <v>330541</v>
      </c>
      <c r="B711" t="s">
        <v>86</v>
      </c>
      <c r="D711" t="s">
        <v>115</v>
      </c>
      <c r="F711">
        <v>98.6</v>
      </c>
      <c r="K711" t="s">
        <v>211</v>
      </c>
      <c r="L711" t="s">
        <v>212</v>
      </c>
      <c r="M711" t="s">
        <v>90</v>
      </c>
      <c r="P711">
        <v>48</v>
      </c>
      <c r="U711" t="s">
        <v>213</v>
      </c>
      <c r="V711" t="s">
        <v>91</v>
      </c>
      <c r="W711" t="s">
        <v>92</v>
      </c>
      <c r="X711" t="s">
        <v>93</v>
      </c>
      <c r="Y711">
        <v>6</v>
      </c>
      <c r="Z711" t="s">
        <v>94</v>
      </c>
      <c r="AB711"/>
      <c r="AC711" t="s">
        <v>434</v>
      </c>
      <c r="AD711">
        <v>0.2330972</v>
      </c>
      <c r="AF711">
        <v>3.4964580000000001</v>
      </c>
      <c r="AG711" t="s">
        <v>95</v>
      </c>
      <c r="AX711" t="s">
        <v>108</v>
      </c>
      <c r="AY711" t="s">
        <v>150</v>
      </c>
      <c r="BC711">
        <v>4</v>
      </c>
      <c r="BH711" t="s">
        <v>99</v>
      </c>
      <c r="BO711" t="s">
        <v>111</v>
      </c>
      <c r="CD711" t="s">
        <v>215</v>
      </c>
      <c r="CE711">
        <v>63613</v>
      </c>
      <c r="CF711" t="s">
        <v>216</v>
      </c>
      <c r="CG711" t="s">
        <v>217</v>
      </c>
      <c r="CH711">
        <v>1997</v>
      </c>
    </row>
    <row r="712" spans="1:86" hidden="1" x14ac:dyDescent="0.25">
      <c r="A712">
        <v>330541</v>
      </c>
      <c r="B712" t="s">
        <v>86</v>
      </c>
      <c r="C712" t="s">
        <v>158</v>
      </c>
      <c r="D712" t="s">
        <v>115</v>
      </c>
      <c r="K712" t="s">
        <v>740</v>
      </c>
      <c r="L712" t="s">
        <v>89</v>
      </c>
      <c r="M712" t="s">
        <v>90</v>
      </c>
      <c r="P712">
        <v>3</v>
      </c>
      <c r="U712" t="s">
        <v>219</v>
      </c>
      <c r="V712" t="s">
        <v>91</v>
      </c>
      <c r="W712" t="s">
        <v>220</v>
      </c>
      <c r="X712" t="s">
        <v>93</v>
      </c>
      <c r="Y712">
        <v>11</v>
      </c>
      <c r="Z712" t="s">
        <v>94</v>
      </c>
      <c r="AB712"/>
      <c r="AD712">
        <v>0.01</v>
      </c>
      <c r="AF712">
        <v>10</v>
      </c>
      <c r="AG712" t="s">
        <v>95</v>
      </c>
      <c r="AX712" t="s">
        <v>108</v>
      </c>
      <c r="AY712" t="s">
        <v>160</v>
      </c>
      <c r="BE712">
        <v>5</v>
      </c>
      <c r="BG712">
        <v>30</v>
      </c>
      <c r="BH712" t="s">
        <v>99</v>
      </c>
      <c r="BO712" t="s">
        <v>111</v>
      </c>
      <c r="CD712" t="s">
        <v>221</v>
      </c>
      <c r="CE712">
        <v>4871</v>
      </c>
      <c r="CF712" t="s">
        <v>222</v>
      </c>
      <c r="CG712" t="s">
        <v>223</v>
      </c>
      <c r="CH712">
        <v>1975</v>
      </c>
    </row>
    <row r="713" spans="1:86" hidden="1" x14ac:dyDescent="0.25">
      <c r="A713">
        <v>330541</v>
      </c>
      <c r="B713" t="s">
        <v>86</v>
      </c>
      <c r="D713" t="s">
        <v>115</v>
      </c>
      <c r="K713" t="s">
        <v>686</v>
      </c>
      <c r="L713" t="s">
        <v>190</v>
      </c>
      <c r="M713" t="s">
        <v>90</v>
      </c>
      <c r="N713" t="s">
        <v>118</v>
      </c>
      <c r="V713" t="s">
        <v>91</v>
      </c>
      <c r="W713" t="s">
        <v>107</v>
      </c>
      <c r="X713" t="s">
        <v>93</v>
      </c>
      <c r="Z713" t="s">
        <v>137</v>
      </c>
      <c r="AB713">
        <v>0.01</v>
      </c>
      <c r="AG713" t="s">
        <v>95</v>
      </c>
      <c r="AX713" t="s">
        <v>201</v>
      </c>
      <c r="AY713" t="s">
        <v>311</v>
      </c>
      <c r="BC713">
        <v>7</v>
      </c>
      <c r="BH713" t="s">
        <v>99</v>
      </c>
      <c r="BO713" t="s">
        <v>111</v>
      </c>
      <c r="CD713" t="s">
        <v>647</v>
      </c>
      <c r="CE713">
        <v>9446</v>
      </c>
      <c r="CF713" t="s">
        <v>648</v>
      </c>
      <c r="CG713" t="s">
        <v>649</v>
      </c>
      <c r="CH713">
        <v>1971</v>
      </c>
    </row>
    <row r="714" spans="1:86" hidden="1" x14ac:dyDescent="0.25">
      <c r="A714">
        <v>330541</v>
      </c>
      <c r="B714" t="s">
        <v>86</v>
      </c>
      <c r="D714" t="s">
        <v>115</v>
      </c>
      <c r="K714" t="s">
        <v>270</v>
      </c>
      <c r="L714" t="s">
        <v>271</v>
      </c>
      <c r="M714" t="s">
        <v>90</v>
      </c>
      <c r="V714" t="s">
        <v>272</v>
      </c>
      <c r="W714" t="s">
        <v>107</v>
      </c>
      <c r="X714" t="s">
        <v>93</v>
      </c>
      <c r="Y714">
        <v>2</v>
      </c>
      <c r="Z714" t="s">
        <v>137</v>
      </c>
      <c r="AB714">
        <v>1.3985832E-2</v>
      </c>
      <c r="AG714" t="s">
        <v>95</v>
      </c>
      <c r="AX714" t="s">
        <v>144</v>
      </c>
      <c r="AY714" t="s">
        <v>522</v>
      </c>
      <c r="BB714" t="s">
        <v>434</v>
      </c>
      <c r="BC714">
        <v>0.2361</v>
      </c>
      <c r="BH714" t="s">
        <v>99</v>
      </c>
      <c r="BO714" t="s">
        <v>111</v>
      </c>
      <c r="CD714" t="s">
        <v>273</v>
      </c>
      <c r="CE714">
        <v>175899</v>
      </c>
      <c r="CF714" t="s">
        <v>274</v>
      </c>
      <c r="CG714" t="s">
        <v>275</v>
      </c>
      <c r="CH714">
        <v>2012</v>
      </c>
    </row>
    <row r="715" spans="1:86" hidden="1" x14ac:dyDescent="0.25">
      <c r="A715">
        <v>330541</v>
      </c>
      <c r="B715" t="s">
        <v>86</v>
      </c>
      <c r="D715" t="s">
        <v>115</v>
      </c>
      <c r="F715">
        <v>98.6</v>
      </c>
      <c r="K715" t="s">
        <v>211</v>
      </c>
      <c r="L715" t="s">
        <v>212</v>
      </c>
      <c r="M715" t="s">
        <v>90</v>
      </c>
      <c r="P715">
        <v>48</v>
      </c>
      <c r="U715" t="s">
        <v>213</v>
      </c>
      <c r="V715" t="s">
        <v>91</v>
      </c>
      <c r="W715" t="s">
        <v>92</v>
      </c>
      <c r="X715" t="s">
        <v>93</v>
      </c>
      <c r="Y715">
        <v>5</v>
      </c>
      <c r="Z715" t="s">
        <v>94</v>
      </c>
      <c r="AB715"/>
      <c r="AC715" t="s">
        <v>434</v>
      </c>
      <c r="AD715">
        <v>0.1165486</v>
      </c>
      <c r="AE715" t="s">
        <v>434</v>
      </c>
      <c r="AF715">
        <v>1.165486</v>
      </c>
      <c r="AG715" t="s">
        <v>95</v>
      </c>
      <c r="AX715" t="s">
        <v>108</v>
      </c>
      <c r="AY715" t="s">
        <v>150</v>
      </c>
      <c r="BC715">
        <v>4</v>
      </c>
      <c r="BH715" t="s">
        <v>99</v>
      </c>
      <c r="BO715" t="s">
        <v>111</v>
      </c>
      <c r="CD715" t="s">
        <v>215</v>
      </c>
      <c r="CE715">
        <v>63613</v>
      </c>
      <c r="CF715" t="s">
        <v>216</v>
      </c>
      <c r="CG715" t="s">
        <v>217</v>
      </c>
      <c r="CH715">
        <v>1997</v>
      </c>
    </row>
    <row r="716" spans="1:86" hidden="1" x14ac:dyDescent="0.25">
      <c r="A716">
        <v>330541</v>
      </c>
      <c r="B716" t="s">
        <v>86</v>
      </c>
      <c r="D716" t="s">
        <v>115</v>
      </c>
      <c r="K716" t="s">
        <v>651</v>
      </c>
      <c r="L716" t="s">
        <v>143</v>
      </c>
      <c r="M716" t="s">
        <v>90</v>
      </c>
      <c r="V716" t="s">
        <v>91</v>
      </c>
      <c r="W716" t="s">
        <v>92</v>
      </c>
      <c r="X716" t="s">
        <v>93</v>
      </c>
      <c r="Z716" t="s">
        <v>137</v>
      </c>
      <c r="AB716">
        <v>500</v>
      </c>
      <c r="AG716" t="s">
        <v>95</v>
      </c>
      <c r="AX716" t="s">
        <v>523</v>
      </c>
      <c r="AY716" t="s">
        <v>523</v>
      </c>
      <c r="BC716">
        <v>15</v>
      </c>
      <c r="BH716" t="s">
        <v>99</v>
      </c>
      <c r="BO716" t="s">
        <v>111</v>
      </c>
      <c r="CD716" t="s">
        <v>652</v>
      </c>
      <c r="CE716">
        <v>9206</v>
      </c>
      <c r="CF716" t="s">
        <v>653</v>
      </c>
      <c r="CG716" t="s">
        <v>654</v>
      </c>
      <c r="CH716">
        <v>1972</v>
      </c>
    </row>
    <row r="717" spans="1:86" hidden="1" x14ac:dyDescent="0.25">
      <c r="A717">
        <v>330541</v>
      </c>
      <c r="B717" t="s">
        <v>86</v>
      </c>
      <c r="D717" t="s">
        <v>115</v>
      </c>
      <c r="K717" t="s">
        <v>90</v>
      </c>
      <c r="L717" t="s">
        <v>90</v>
      </c>
      <c r="M717" t="s">
        <v>90</v>
      </c>
      <c r="V717" t="s">
        <v>91</v>
      </c>
      <c r="W717" t="s">
        <v>107</v>
      </c>
      <c r="X717" t="s">
        <v>93</v>
      </c>
      <c r="Y717">
        <v>2</v>
      </c>
      <c r="Z717" t="s">
        <v>137</v>
      </c>
      <c r="AB717">
        <v>3.0000000000000001E-3</v>
      </c>
      <c r="AG717" t="s">
        <v>95</v>
      </c>
      <c r="AX717" t="s">
        <v>201</v>
      </c>
      <c r="AY717" t="s">
        <v>202</v>
      </c>
      <c r="BE717">
        <v>4.1700000000000001E-2</v>
      </c>
      <c r="BG717">
        <v>0.33329999999999999</v>
      </c>
      <c r="BH717" t="s">
        <v>99</v>
      </c>
      <c r="BO717" t="s">
        <v>111</v>
      </c>
      <c r="CD717" t="s">
        <v>204</v>
      </c>
      <c r="CE717">
        <v>75334</v>
      </c>
      <c r="CF717" t="s">
        <v>205</v>
      </c>
      <c r="CG717" t="s">
        <v>206</v>
      </c>
      <c r="CH717">
        <v>2003</v>
      </c>
    </row>
    <row r="718" spans="1:86" hidden="1" x14ac:dyDescent="0.25">
      <c r="A718">
        <v>330541</v>
      </c>
      <c r="B718" t="s">
        <v>86</v>
      </c>
      <c r="D718" t="s">
        <v>115</v>
      </c>
      <c r="K718" t="s">
        <v>180</v>
      </c>
      <c r="L718" t="s">
        <v>117</v>
      </c>
      <c r="M718" t="s">
        <v>90</v>
      </c>
      <c r="W718" t="s">
        <v>92</v>
      </c>
      <c r="X718" t="s">
        <v>93</v>
      </c>
      <c r="Y718">
        <v>3</v>
      </c>
      <c r="Z718" t="s">
        <v>137</v>
      </c>
      <c r="AB718">
        <v>5.0000000000000001E-3</v>
      </c>
      <c r="AG718" t="s">
        <v>95</v>
      </c>
      <c r="AX718" t="s">
        <v>108</v>
      </c>
      <c r="AY718" t="s">
        <v>160</v>
      </c>
      <c r="BC718">
        <v>1</v>
      </c>
      <c r="BH718" t="s">
        <v>99</v>
      </c>
      <c r="BO718" t="s">
        <v>111</v>
      </c>
      <c r="CD718" t="s">
        <v>719</v>
      </c>
      <c r="CE718">
        <v>184006</v>
      </c>
      <c r="CF718" t="s">
        <v>720</v>
      </c>
      <c r="CG718" t="s">
        <v>721</v>
      </c>
      <c r="CH718">
        <v>2020</v>
      </c>
    </row>
    <row r="719" spans="1:86" hidden="1" x14ac:dyDescent="0.25">
      <c r="A719">
        <v>330541</v>
      </c>
      <c r="B719" t="s">
        <v>86</v>
      </c>
      <c r="D719" t="s">
        <v>115</v>
      </c>
      <c r="K719" t="s">
        <v>651</v>
      </c>
      <c r="L719" t="s">
        <v>143</v>
      </c>
      <c r="M719" t="s">
        <v>90</v>
      </c>
      <c r="V719" t="s">
        <v>91</v>
      </c>
      <c r="W719" t="s">
        <v>92</v>
      </c>
      <c r="X719" t="s">
        <v>93</v>
      </c>
      <c r="Z719" t="s">
        <v>137</v>
      </c>
      <c r="AB719">
        <v>2000</v>
      </c>
      <c r="AG719" t="s">
        <v>95</v>
      </c>
      <c r="AX719" t="s">
        <v>523</v>
      </c>
      <c r="AY719" t="s">
        <v>523</v>
      </c>
      <c r="BC719">
        <v>15</v>
      </c>
      <c r="BH719" t="s">
        <v>99</v>
      </c>
      <c r="BO719" t="s">
        <v>111</v>
      </c>
      <c r="CD719" t="s">
        <v>652</v>
      </c>
      <c r="CE719">
        <v>9206</v>
      </c>
      <c r="CF719" t="s">
        <v>653</v>
      </c>
      <c r="CG719" t="s">
        <v>654</v>
      </c>
      <c r="CH719">
        <v>1972</v>
      </c>
    </row>
    <row r="720" spans="1:86" hidden="1" x14ac:dyDescent="0.25">
      <c r="A720">
        <v>330541</v>
      </c>
      <c r="B720" t="s">
        <v>86</v>
      </c>
      <c r="D720" t="s">
        <v>115</v>
      </c>
      <c r="K720" t="s">
        <v>189</v>
      </c>
      <c r="L720" t="s">
        <v>190</v>
      </c>
      <c r="M720" t="s">
        <v>90</v>
      </c>
      <c r="W720" t="s">
        <v>107</v>
      </c>
      <c r="X720" t="s">
        <v>93</v>
      </c>
      <c r="Z720" t="s">
        <v>137</v>
      </c>
      <c r="AB720"/>
      <c r="AD720">
        <v>2.3309719999999999E-4</v>
      </c>
      <c r="AF720">
        <v>0.2330972</v>
      </c>
      <c r="AG720" t="s">
        <v>95</v>
      </c>
      <c r="AX720" t="s">
        <v>108</v>
      </c>
      <c r="AY720" t="s">
        <v>160</v>
      </c>
      <c r="BE720">
        <v>4</v>
      </c>
      <c r="BG720">
        <v>7</v>
      </c>
      <c r="BH720" t="s">
        <v>99</v>
      </c>
      <c r="BO720" t="s">
        <v>111</v>
      </c>
      <c r="CD720" t="s">
        <v>678</v>
      </c>
      <c r="CE720">
        <v>20539</v>
      </c>
      <c r="CF720" t="s">
        <v>679</v>
      </c>
      <c r="CG720" t="s">
        <v>680</v>
      </c>
      <c r="CH720">
        <v>1996</v>
      </c>
    </row>
    <row r="721" spans="1:86" hidden="1" x14ac:dyDescent="0.25">
      <c r="A721">
        <v>330541</v>
      </c>
      <c r="B721" t="s">
        <v>86</v>
      </c>
      <c r="D721" t="s">
        <v>115</v>
      </c>
      <c r="K721" t="s">
        <v>189</v>
      </c>
      <c r="L721" t="s">
        <v>190</v>
      </c>
      <c r="M721" t="s">
        <v>90</v>
      </c>
      <c r="N721" t="s">
        <v>118</v>
      </c>
      <c r="V721" t="s">
        <v>91</v>
      </c>
      <c r="W721" t="s">
        <v>107</v>
      </c>
      <c r="X721" t="s">
        <v>93</v>
      </c>
      <c r="Z721" t="s">
        <v>137</v>
      </c>
      <c r="AB721">
        <v>0.01</v>
      </c>
      <c r="AG721" t="s">
        <v>95</v>
      </c>
      <c r="AX721" t="s">
        <v>201</v>
      </c>
      <c r="AY721" t="s">
        <v>646</v>
      </c>
      <c r="BC721">
        <v>7</v>
      </c>
      <c r="BH721" t="s">
        <v>99</v>
      </c>
      <c r="BO721" t="s">
        <v>111</v>
      </c>
      <c r="CD721" t="s">
        <v>647</v>
      </c>
      <c r="CE721">
        <v>9446</v>
      </c>
      <c r="CF721" t="s">
        <v>648</v>
      </c>
      <c r="CG721" t="s">
        <v>649</v>
      </c>
      <c r="CH721">
        <v>1971</v>
      </c>
    </row>
    <row r="722" spans="1:86" hidden="1" x14ac:dyDescent="0.25">
      <c r="A722">
        <v>330541</v>
      </c>
      <c r="B722" t="s">
        <v>86</v>
      </c>
      <c r="D722" t="s">
        <v>115</v>
      </c>
      <c r="F722">
        <v>98</v>
      </c>
      <c r="K722" t="s">
        <v>446</v>
      </c>
      <c r="L722" t="s">
        <v>143</v>
      </c>
      <c r="M722" t="s">
        <v>90</v>
      </c>
      <c r="N722" t="s">
        <v>118</v>
      </c>
      <c r="P722">
        <v>6</v>
      </c>
      <c r="U722" t="s">
        <v>99</v>
      </c>
      <c r="V722" t="s">
        <v>91</v>
      </c>
      <c r="W722" t="s">
        <v>92</v>
      </c>
      <c r="X722" t="s">
        <v>93</v>
      </c>
      <c r="Z722" t="s">
        <v>94</v>
      </c>
      <c r="AB722"/>
      <c r="AD722">
        <v>0</v>
      </c>
      <c r="AF722">
        <v>100</v>
      </c>
      <c r="AG722" t="s">
        <v>95</v>
      </c>
      <c r="AX722" t="s">
        <v>144</v>
      </c>
      <c r="AY722" t="s">
        <v>661</v>
      </c>
      <c r="BC722">
        <v>12</v>
      </c>
      <c r="BH722" t="s">
        <v>99</v>
      </c>
      <c r="BO722" t="s">
        <v>111</v>
      </c>
      <c r="CD722" t="s">
        <v>447</v>
      </c>
      <c r="CE722">
        <v>153873</v>
      </c>
      <c r="CF722" t="s">
        <v>448</v>
      </c>
      <c r="CG722" t="s">
        <v>449</v>
      </c>
      <c r="CH722">
        <v>2011</v>
      </c>
    </row>
    <row r="723" spans="1:86" hidden="1" x14ac:dyDescent="0.25">
      <c r="A723">
        <v>330541</v>
      </c>
      <c r="B723" t="s">
        <v>86</v>
      </c>
      <c r="D723" t="s">
        <v>115</v>
      </c>
      <c r="K723" t="s">
        <v>645</v>
      </c>
      <c r="L723" t="s">
        <v>89</v>
      </c>
      <c r="M723" t="s">
        <v>90</v>
      </c>
      <c r="N723" t="s">
        <v>118</v>
      </c>
      <c r="V723" t="s">
        <v>91</v>
      </c>
      <c r="W723" t="s">
        <v>107</v>
      </c>
      <c r="X723" t="s">
        <v>93</v>
      </c>
      <c r="Z723" t="s">
        <v>137</v>
      </c>
      <c r="AB723">
        <v>0.01</v>
      </c>
      <c r="AG723" t="s">
        <v>95</v>
      </c>
      <c r="AX723" t="s">
        <v>201</v>
      </c>
      <c r="AY723" t="s">
        <v>311</v>
      </c>
      <c r="BC723">
        <v>7</v>
      </c>
      <c r="BH723" t="s">
        <v>99</v>
      </c>
      <c r="BO723" t="s">
        <v>111</v>
      </c>
      <c r="CD723" t="s">
        <v>647</v>
      </c>
      <c r="CE723">
        <v>9446</v>
      </c>
      <c r="CF723" t="s">
        <v>648</v>
      </c>
      <c r="CG723" t="s">
        <v>649</v>
      </c>
      <c r="CH723">
        <v>1971</v>
      </c>
    </row>
    <row r="724" spans="1:86" hidden="1" x14ac:dyDescent="0.25">
      <c r="A724">
        <v>330541</v>
      </c>
      <c r="B724" t="s">
        <v>86</v>
      </c>
      <c r="D724" t="s">
        <v>115</v>
      </c>
      <c r="K724" t="s">
        <v>686</v>
      </c>
      <c r="L724" t="s">
        <v>190</v>
      </c>
      <c r="M724" t="s">
        <v>90</v>
      </c>
      <c r="N724" t="s">
        <v>118</v>
      </c>
      <c r="V724" t="s">
        <v>91</v>
      </c>
      <c r="W724" t="s">
        <v>107</v>
      </c>
      <c r="X724" t="s">
        <v>93</v>
      </c>
      <c r="Z724" t="s">
        <v>137</v>
      </c>
      <c r="AB724">
        <v>0.01</v>
      </c>
      <c r="AG724" t="s">
        <v>95</v>
      </c>
      <c r="AX724" t="s">
        <v>201</v>
      </c>
      <c r="AY724" t="s">
        <v>646</v>
      </c>
      <c r="BC724">
        <v>7</v>
      </c>
      <c r="BH724" t="s">
        <v>99</v>
      </c>
      <c r="BO724" t="s">
        <v>111</v>
      </c>
      <c r="CD724" t="s">
        <v>647</v>
      </c>
      <c r="CE724">
        <v>9446</v>
      </c>
      <c r="CF724" t="s">
        <v>648</v>
      </c>
      <c r="CG724" t="s">
        <v>649</v>
      </c>
      <c r="CH724">
        <v>1971</v>
      </c>
    </row>
    <row r="725" spans="1:86" hidden="1" x14ac:dyDescent="0.25">
      <c r="A725">
        <v>330541</v>
      </c>
      <c r="B725" t="s">
        <v>86</v>
      </c>
      <c r="D725" t="s">
        <v>115</v>
      </c>
      <c r="K725" t="s">
        <v>142</v>
      </c>
      <c r="L725" t="s">
        <v>143</v>
      </c>
      <c r="M725" t="s">
        <v>90</v>
      </c>
      <c r="V725" t="s">
        <v>91</v>
      </c>
      <c r="W725" t="s">
        <v>92</v>
      </c>
      <c r="X725" t="s">
        <v>93</v>
      </c>
      <c r="Z725" t="s">
        <v>137</v>
      </c>
      <c r="AB725">
        <v>5000</v>
      </c>
      <c r="AG725" t="s">
        <v>95</v>
      </c>
      <c r="AX725" t="s">
        <v>523</v>
      </c>
      <c r="AY725" t="s">
        <v>523</v>
      </c>
      <c r="BC725">
        <v>15</v>
      </c>
      <c r="BH725" t="s">
        <v>99</v>
      </c>
      <c r="BO725" t="s">
        <v>111</v>
      </c>
      <c r="CD725" t="s">
        <v>652</v>
      </c>
      <c r="CE725">
        <v>9206</v>
      </c>
      <c r="CF725" t="s">
        <v>653</v>
      </c>
      <c r="CG725" t="s">
        <v>654</v>
      </c>
      <c r="CH725">
        <v>1972</v>
      </c>
    </row>
    <row r="726" spans="1:86" hidden="1" x14ac:dyDescent="0.25">
      <c r="A726">
        <v>330541</v>
      </c>
      <c r="B726" t="s">
        <v>86</v>
      </c>
      <c r="D726" t="s">
        <v>115</v>
      </c>
      <c r="K726" t="s">
        <v>369</v>
      </c>
      <c r="L726" t="s">
        <v>370</v>
      </c>
      <c r="M726" t="s">
        <v>90</v>
      </c>
      <c r="N726" t="s">
        <v>118</v>
      </c>
      <c r="V726" t="s">
        <v>91</v>
      </c>
      <c r="W726" t="s">
        <v>107</v>
      </c>
      <c r="X726" t="s">
        <v>93</v>
      </c>
      <c r="Z726" t="s">
        <v>137</v>
      </c>
      <c r="AB726">
        <v>0.01</v>
      </c>
      <c r="AG726" t="s">
        <v>95</v>
      </c>
      <c r="AX726" t="s">
        <v>201</v>
      </c>
      <c r="AY726" t="s">
        <v>311</v>
      </c>
      <c r="BC726">
        <v>7</v>
      </c>
      <c r="BH726" t="s">
        <v>99</v>
      </c>
      <c r="BO726" t="s">
        <v>111</v>
      </c>
      <c r="CD726" t="s">
        <v>647</v>
      </c>
      <c r="CE726">
        <v>9446</v>
      </c>
      <c r="CF726" t="s">
        <v>648</v>
      </c>
      <c r="CG726" t="s">
        <v>649</v>
      </c>
      <c r="CH726">
        <v>1971</v>
      </c>
    </row>
    <row r="727" spans="1:86" hidden="1" x14ac:dyDescent="0.25">
      <c r="A727">
        <v>330541</v>
      </c>
      <c r="B727" t="s">
        <v>86</v>
      </c>
      <c r="D727" t="s">
        <v>115</v>
      </c>
      <c r="K727" t="s">
        <v>90</v>
      </c>
      <c r="L727" t="s">
        <v>90</v>
      </c>
      <c r="M727" t="s">
        <v>90</v>
      </c>
      <c r="V727" t="s">
        <v>91</v>
      </c>
      <c r="W727" t="s">
        <v>107</v>
      </c>
      <c r="X727" t="s">
        <v>93</v>
      </c>
      <c r="Y727">
        <v>2</v>
      </c>
      <c r="Z727" t="s">
        <v>137</v>
      </c>
      <c r="AB727">
        <v>3.0000000000000001E-3</v>
      </c>
      <c r="AG727" t="s">
        <v>95</v>
      </c>
      <c r="AX727" t="s">
        <v>201</v>
      </c>
      <c r="AY727" t="s">
        <v>202</v>
      </c>
      <c r="BE727">
        <v>4.1700000000000001E-2</v>
      </c>
      <c r="BG727">
        <v>0.33329999999999999</v>
      </c>
      <c r="BH727" t="s">
        <v>99</v>
      </c>
      <c r="BO727" t="s">
        <v>111</v>
      </c>
      <c r="CD727" t="s">
        <v>204</v>
      </c>
      <c r="CE727">
        <v>75334</v>
      </c>
      <c r="CF727" t="s">
        <v>205</v>
      </c>
      <c r="CG727" t="s">
        <v>206</v>
      </c>
      <c r="CH727">
        <v>2003</v>
      </c>
    </row>
    <row r="728" spans="1:86" hidden="1" x14ac:dyDescent="0.25">
      <c r="A728">
        <v>330541</v>
      </c>
      <c r="B728" t="s">
        <v>86</v>
      </c>
      <c r="D728" t="s">
        <v>115</v>
      </c>
      <c r="K728" t="s">
        <v>90</v>
      </c>
      <c r="L728" t="s">
        <v>90</v>
      </c>
      <c r="M728" t="s">
        <v>90</v>
      </c>
      <c r="V728" t="s">
        <v>491</v>
      </c>
      <c r="W728" t="s">
        <v>92</v>
      </c>
      <c r="X728" t="s">
        <v>559</v>
      </c>
      <c r="Z728" t="s">
        <v>137</v>
      </c>
      <c r="AB728"/>
      <c r="AD728">
        <v>0.05</v>
      </c>
      <c r="AF728">
        <v>1</v>
      </c>
      <c r="AG728" t="s">
        <v>95</v>
      </c>
      <c r="AX728" t="s">
        <v>692</v>
      </c>
      <c r="AY728" t="s">
        <v>751</v>
      </c>
      <c r="BE728">
        <v>0</v>
      </c>
      <c r="BG728">
        <v>18</v>
      </c>
      <c r="BH728" t="s">
        <v>99</v>
      </c>
      <c r="BO728" t="s">
        <v>111</v>
      </c>
      <c r="CD728" t="s">
        <v>689</v>
      </c>
      <c r="CE728">
        <v>63230</v>
      </c>
      <c r="CF728" t="s">
        <v>690</v>
      </c>
      <c r="CG728" t="s">
        <v>691</v>
      </c>
      <c r="CH728">
        <v>1982</v>
      </c>
    </row>
    <row r="729" spans="1:86" hidden="1" x14ac:dyDescent="0.25">
      <c r="A729">
        <v>330541</v>
      </c>
      <c r="B729" t="s">
        <v>86</v>
      </c>
      <c r="D729" t="s">
        <v>115</v>
      </c>
      <c r="F729">
        <v>98</v>
      </c>
      <c r="K729" t="s">
        <v>446</v>
      </c>
      <c r="L729" t="s">
        <v>143</v>
      </c>
      <c r="M729" t="s">
        <v>90</v>
      </c>
      <c r="N729" t="s">
        <v>118</v>
      </c>
      <c r="P729">
        <v>6</v>
      </c>
      <c r="U729" t="s">
        <v>99</v>
      </c>
      <c r="V729" t="s">
        <v>91</v>
      </c>
      <c r="W729" t="s">
        <v>92</v>
      </c>
      <c r="X729" t="s">
        <v>93</v>
      </c>
      <c r="Z729" t="s">
        <v>94</v>
      </c>
      <c r="AB729"/>
      <c r="AD729">
        <v>0</v>
      </c>
      <c r="AF729">
        <v>100</v>
      </c>
      <c r="AG729" t="s">
        <v>95</v>
      </c>
      <c r="AX729" t="s">
        <v>144</v>
      </c>
      <c r="AY729" t="s">
        <v>661</v>
      </c>
      <c r="BC729">
        <v>12</v>
      </c>
      <c r="BH729" t="s">
        <v>99</v>
      </c>
      <c r="BO729" t="s">
        <v>111</v>
      </c>
      <c r="CD729" t="s">
        <v>447</v>
      </c>
      <c r="CE729">
        <v>153873</v>
      </c>
      <c r="CF729" t="s">
        <v>448</v>
      </c>
      <c r="CG729" t="s">
        <v>449</v>
      </c>
      <c r="CH729">
        <v>2011</v>
      </c>
    </row>
    <row r="730" spans="1:86" hidden="1" x14ac:dyDescent="0.25">
      <c r="A730">
        <v>330541</v>
      </c>
      <c r="B730" t="s">
        <v>86</v>
      </c>
      <c r="D730" t="s">
        <v>115</v>
      </c>
      <c r="K730" t="s">
        <v>189</v>
      </c>
      <c r="L730" t="s">
        <v>190</v>
      </c>
      <c r="M730" t="s">
        <v>90</v>
      </c>
      <c r="N730" t="s">
        <v>118</v>
      </c>
      <c r="V730" t="s">
        <v>91</v>
      </c>
      <c r="W730" t="s">
        <v>107</v>
      </c>
      <c r="X730" t="s">
        <v>93</v>
      </c>
      <c r="Z730" t="s">
        <v>137</v>
      </c>
      <c r="AB730">
        <v>0.01</v>
      </c>
      <c r="AG730" t="s">
        <v>95</v>
      </c>
      <c r="AX730" t="s">
        <v>201</v>
      </c>
      <c r="AY730" t="s">
        <v>311</v>
      </c>
      <c r="BC730">
        <v>7</v>
      </c>
      <c r="BH730" t="s">
        <v>99</v>
      </c>
      <c r="BO730" t="s">
        <v>111</v>
      </c>
      <c r="CD730" t="s">
        <v>647</v>
      </c>
      <c r="CE730">
        <v>9446</v>
      </c>
      <c r="CF730" t="s">
        <v>648</v>
      </c>
      <c r="CG730" t="s">
        <v>649</v>
      </c>
      <c r="CH730">
        <v>1971</v>
      </c>
    </row>
    <row r="731" spans="1:86" hidden="1" x14ac:dyDescent="0.25">
      <c r="A731">
        <v>330541</v>
      </c>
      <c r="B731" t="s">
        <v>86</v>
      </c>
      <c r="D731" t="s">
        <v>115</v>
      </c>
      <c r="K731" t="s">
        <v>90</v>
      </c>
      <c r="L731" t="s">
        <v>90</v>
      </c>
      <c r="M731" t="s">
        <v>90</v>
      </c>
      <c r="V731" t="s">
        <v>91</v>
      </c>
      <c r="W731" t="s">
        <v>107</v>
      </c>
      <c r="X731" t="s">
        <v>93</v>
      </c>
      <c r="Z731" t="s">
        <v>137</v>
      </c>
      <c r="AB731">
        <v>1</v>
      </c>
      <c r="AG731" t="s">
        <v>95</v>
      </c>
      <c r="AX731" t="s">
        <v>144</v>
      </c>
      <c r="AY731" t="s">
        <v>109</v>
      </c>
      <c r="BC731">
        <v>0.16669999999999999</v>
      </c>
      <c r="BH731" t="s">
        <v>99</v>
      </c>
      <c r="BO731" t="s">
        <v>111</v>
      </c>
      <c r="CD731" t="s">
        <v>682</v>
      </c>
      <c r="CE731">
        <v>2188</v>
      </c>
      <c r="CF731" t="s">
        <v>752</v>
      </c>
      <c r="CG731" t="s">
        <v>753</v>
      </c>
      <c r="CH731">
        <v>1963</v>
      </c>
    </row>
    <row r="732" spans="1:86" hidden="1" x14ac:dyDescent="0.25">
      <c r="A732">
        <v>330541</v>
      </c>
      <c r="B732" t="s">
        <v>86</v>
      </c>
      <c r="D732" t="s">
        <v>115</v>
      </c>
      <c r="K732" t="s">
        <v>480</v>
      </c>
      <c r="L732" t="s">
        <v>89</v>
      </c>
      <c r="M732" t="s">
        <v>90</v>
      </c>
      <c r="W732" t="s">
        <v>92</v>
      </c>
      <c r="X732" t="s">
        <v>93</v>
      </c>
      <c r="Z732" t="s">
        <v>94</v>
      </c>
      <c r="AB732"/>
      <c r="AD732">
        <v>1E-3</v>
      </c>
      <c r="AF732">
        <v>1</v>
      </c>
      <c r="AG732" t="s">
        <v>95</v>
      </c>
      <c r="AX732" t="s">
        <v>108</v>
      </c>
      <c r="AY732" t="s">
        <v>160</v>
      </c>
      <c r="BE732">
        <v>0</v>
      </c>
      <c r="BG732">
        <v>24</v>
      </c>
      <c r="BH732" t="s">
        <v>99</v>
      </c>
      <c r="BO732" t="s">
        <v>111</v>
      </c>
      <c r="CD732" t="s">
        <v>477</v>
      </c>
      <c r="CE732">
        <v>60995</v>
      </c>
      <c r="CF732" t="s">
        <v>694</v>
      </c>
      <c r="CG732" t="s">
        <v>695</v>
      </c>
      <c r="CH732">
        <v>1981</v>
      </c>
    </row>
    <row r="733" spans="1:86" hidden="1" x14ac:dyDescent="0.25">
      <c r="A733">
        <v>330541</v>
      </c>
      <c r="B733" t="s">
        <v>86</v>
      </c>
      <c r="D733" t="s">
        <v>115</v>
      </c>
      <c r="K733" t="s">
        <v>677</v>
      </c>
      <c r="L733" t="s">
        <v>89</v>
      </c>
      <c r="M733" t="s">
        <v>90</v>
      </c>
      <c r="W733" t="s">
        <v>107</v>
      </c>
      <c r="X733" t="s">
        <v>93</v>
      </c>
      <c r="Z733" t="s">
        <v>137</v>
      </c>
      <c r="AB733"/>
      <c r="AD733">
        <v>2.3309719999999999E-4</v>
      </c>
      <c r="AF733">
        <v>0.2330972</v>
      </c>
      <c r="AG733" t="s">
        <v>95</v>
      </c>
      <c r="AX733" t="s">
        <v>108</v>
      </c>
      <c r="AY733" t="s">
        <v>160</v>
      </c>
      <c r="BE733">
        <v>4</v>
      </c>
      <c r="BG733">
        <v>7</v>
      </c>
      <c r="BH733" t="s">
        <v>99</v>
      </c>
      <c r="BO733" t="s">
        <v>111</v>
      </c>
      <c r="CD733" t="s">
        <v>678</v>
      </c>
      <c r="CE733">
        <v>20539</v>
      </c>
      <c r="CF733" t="s">
        <v>679</v>
      </c>
      <c r="CG733" t="s">
        <v>680</v>
      </c>
      <c r="CH733">
        <v>1996</v>
      </c>
    </row>
    <row r="734" spans="1:86" hidden="1" x14ac:dyDescent="0.25">
      <c r="A734">
        <v>330541</v>
      </c>
      <c r="B734" t="s">
        <v>86</v>
      </c>
      <c r="D734" t="s">
        <v>115</v>
      </c>
      <c r="K734" t="s">
        <v>369</v>
      </c>
      <c r="L734" t="s">
        <v>370</v>
      </c>
      <c r="M734" t="s">
        <v>90</v>
      </c>
      <c r="N734" t="s">
        <v>118</v>
      </c>
      <c r="V734" t="s">
        <v>91</v>
      </c>
      <c r="W734" t="s">
        <v>107</v>
      </c>
      <c r="X734" t="s">
        <v>93</v>
      </c>
      <c r="Z734" t="s">
        <v>137</v>
      </c>
      <c r="AB734">
        <v>0.01</v>
      </c>
      <c r="AG734" t="s">
        <v>95</v>
      </c>
      <c r="AX734" t="s">
        <v>201</v>
      </c>
      <c r="AY734" t="s">
        <v>646</v>
      </c>
      <c r="BC734">
        <v>7</v>
      </c>
      <c r="BH734" t="s">
        <v>99</v>
      </c>
      <c r="BO734" t="s">
        <v>111</v>
      </c>
      <c r="CD734" t="s">
        <v>647</v>
      </c>
      <c r="CE734">
        <v>9446</v>
      </c>
      <c r="CF734" t="s">
        <v>648</v>
      </c>
      <c r="CG734" t="s">
        <v>649</v>
      </c>
      <c r="CH734">
        <v>1971</v>
      </c>
    </row>
    <row r="735" spans="1:86" hidden="1" x14ac:dyDescent="0.25">
      <c r="A735">
        <v>330541</v>
      </c>
      <c r="B735" t="s">
        <v>86</v>
      </c>
      <c r="D735" t="s">
        <v>115</v>
      </c>
      <c r="K735" t="s">
        <v>754</v>
      </c>
      <c r="L735" t="s">
        <v>143</v>
      </c>
      <c r="M735" t="s">
        <v>90</v>
      </c>
      <c r="V735" t="s">
        <v>91</v>
      </c>
      <c r="W735" t="s">
        <v>92</v>
      </c>
      <c r="X735" t="s">
        <v>93</v>
      </c>
      <c r="Z735" t="s">
        <v>137</v>
      </c>
      <c r="AB735">
        <v>2000</v>
      </c>
      <c r="AG735" t="s">
        <v>95</v>
      </c>
      <c r="AX735" t="s">
        <v>523</v>
      </c>
      <c r="AY735" t="s">
        <v>523</v>
      </c>
      <c r="BC735">
        <v>15</v>
      </c>
      <c r="BH735" t="s">
        <v>99</v>
      </c>
      <c r="BO735" t="s">
        <v>111</v>
      </c>
      <c r="CD735" t="s">
        <v>652</v>
      </c>
      <c r="CE735">
        <v>9206</v>
      </c>
      <c r="CF735" t="s">
        <v>653</v>
      </c>
      <c r="CG735" t="s">
        <v>654</v>
      </c>
      <c r="CH735">
        <v>1972</v>
      </c>
    </row>
    <row r="736" spans="1:86" hidden="1" x14ac:dyDescent="0.25">
      <c r="A736">
        <v>330541</v>
      </c>
      <c r="B736" t="s">
        <v>86</v>
      </c>
      <c r="D736" t="s">
        <v>115</v>
      </c>
      <c r="K736" t="s">
        <v>238</v>
      </c>
      <c r="L736" t="s">
        <v>89</v>
      </c>
      <c r="M736" t="s">
        <v>90</v>
      </c>
      <c r="V736" t="s">
        <v>91</v>
      </c>
      <c r="W736" t="s">
        <v>107</v>
      </c>
      <c r="X736" t="s">
        <v>93</v>
      </c>
      <c r="Z736" t="s">
        <v>94</v>
      </c>
      <c r="AB736">
        <v>0.04</v>
      </c>
      <c r="AG736" t="s">
        <v>95</v>
      </c>
      <c r="AX736" t="s">
        <v>523</v>
      </c>
      <c r="AY736" t="s">
        <v>523</v>
      </c>
      <c r="BC736">
        <v>10</v>
      </c>
      <c r="BH736" t="s">
        <v>99</v>
      </c>
      <c r="BO736" t="s">
        <v>111</v>
      </c>
      <c r="CD736" t="s">
        <v>635</v>
      </c>
      <c r="CE736">
        <v>8039</v>
      </c>
      <c r="CF736" t="s">
        <v>636</v>
      </c>
      <c r="CG736" t="s">
        <v>637</v>
      </c>
      <c r="CH736">
        <v>1962</v>
      </c>
    </row>
    <row r="737" spans="1:86" hidden="1" x14ac:dyDescent="0.25">
      <c r="A737">
        <v>330541</v>
      </c>
      <c r="B737" t="s">
        <v>86</v>
      </c>
      <c r="D737" t="s">
        <v>115</v>
      </c>
      <c r="F737">
        <v>98.6</v>
      </c>
      <c r="K737" t="s">
        <v>211</v>
      </c>
      <c r="L737" t="s">
        <v>212</v>
      </c>
      <c r="M737" t="s">
        <v>90</v>
      </c>
      <c r="P737">
        <v>48</v>
      </c>
      <c r="U737" t="s">
        <v>213</v>
      </c>
      <c r="V737" t="s">
        <v>91</v>
      </c>
      <c r="W737" t="s">
        <v>92</v>
      </c>
      <c r="X737" t="s">
        <v>93</v>
      </c>
      <c r="Y737">
        <v>5</v>
      </c>
      <c r="Z737" t="s">
        <v>94</v>
      </c>
      <c r="AB737"/>
      <c r="AC737" t="s">
        <v>434</v>
      </c>
      <c r="AD737">
        <v>2.3309719999999999E-2</v>
      </c>
      <c r="AE737" t="s">
        <v>434</v>
      </c>
      <c r="AF737">
        <v>0.1165486</v>
      </c>
      <c r="AG737" t="s">
        <v>95</v>
      </c>
      <c r="AX737" t="s">
        <v>144</v>
      </c>
      <c r="AY737" t="s">
        <v>109</v>
      </c>
      <c r="BB737" t="s">
        <v>499</v>
      </c>
      <c r="BC737">
        <v>7</v>
      </c>
      <c r="BH737" t="s">
        <v>99</v>
      </c>
      <c r="BO737" t="s">
        <v>111</v>
      </c>
      <c r="CD737" t="s">
        <v>215</v>
      </c>
      <c r="CE737">
        <v>63613</v>
      </c>
      <c r="CF737" t="s">
        <v>216</v>
      </c>
      <c r="CG737" t="s">
        <v>217</v>
      </c>
      <c r="CH737">
        <v>1997</v>
      </c>
    </row>
    <row r="738" spans="1:86" hidden="1" x14ac:dyDescent="0.25">
      <c r="A738">
        <v>330541</v>
      </c>
      <c r="B738" t="s">
        <v>86</v>
      </c>
      <c r="D738" t="s">
        <v>115</v>
      </c>
      <c r="K738" t="s">
        <v>369</v>
      </c>
      <c r="L738" t="s">
        <v>370</v>
      </c>
      <c r="M738" t="s">
        <v>90</v>
      </c>
      <c r="N738" t="s">
        <v>118</v>
      </c>
      <c r="V738" t="s">
        <v>91</v>
      </c>
      <c r="W738" t="s">
        <v>107</v>
      </c>
      <c r="X738" t="s">
        <v>93</v>
      </c>
      <c r="Z738" t="s">
        <v>137</v>
      </c>
      <c r="AB738">
        <v>0.01</v>
      </c>
      <c r="AG738" t="s">
        <v>95</v>
      </c>
      <c r="AX738" t="s">
        <v>201</v>
      </c>
      <c r="AY738" t="s">
        <v>311</v>
      </c>
      <c r="BC738">
        <v>7</v>
      </c>
      <c r="BH738" t="s">
        <v>99</v>
      </c>
      <c r="BO738" t="s">
        <v>111</v>
      </c>
      <c r="CD738" t="s">
        <v>647</v>
      </c>
      <c r="CE738">
        <v>9446</v>
      </c>
      <c r="CF738" t="s">
        <v>648</v>
      </c>
      <c r="CG738" t="s">
        <v>649</v>
      </c>
      <c r="CH738">
        <v>1971</v>
      </c>
    </row>
    <row r="739" spans="1:86" hidden="1" x14ac:dyDescent="0.25">
      <c r="A739">
        <v>330541</v>
      </c>
      <c r="B739" t="s">
        <v>86</v>
      </c>
      <c r="D739" t="s">
        <v>115</v>
      </c>
      <c r="K739" t="s">
        <v>189</v>
      </c>
      <c r="L739" t="s">
        <v>190</v>
      </c>
      <c r="M739" t="s">
        <v>90</v>
      </c>
      <c r="N739" t="s">
        <v>118</v>
      </c>
      <c r="V739" t="s">
        <v>91</v>
      </c>
      <c r="W739" t="s">
        <v>107</v>
      </c>
      <c r="X739" t="s">
        <v>93</v>
      </c>
      <c r="Z739" t="s">
        <v>137</v>
      </c>
      <c r="AB739">
        <v>0.01</v>
      </c>
      <c r="AG739" t="s">
        <v>95</v>
      </c>
      <c r="AX739" t="s">
        <v>201</v>
      </c>
      <c r="AY739" t="s">
        <v>311</v>
      </c>
      <c r="BC739">
        <v>7</v>
      </c>
      <c r="BH739" t="s">
        <v>99</v>
      </c>
      <c r="BO739" t="s">
        <v>111</v>
      </c>
      <c r="CD739" t="s">
        <v>647</v>
      </c>
      <c r="CE739">
        <v>9446</v>
      </c>
      <c r="CF739" t="s">
        <v>648</v>
      </c>
      <c r="CG739" t="s">
        <v>649</v>
      </c>
      <c r="CH739">
        <v>1971</v>
      </c>
    </row>
    <row r="740" spans="1:86" hidden="1" x14ac:dyDescent="0.25">
      <c r="A740">
        <v>330541</v>
      </c>
      <c r="B740" t="s">
        <v>86</v>
      </c>
      <c r="C740" t="s">
        <v>731</v>
      </c>
      <c r="D740" t="s">
        <v>115</v>
      </c>
      <c r="K740" t="s">
        <v>733</v>
      </c>
      <c r="L740" t="s">
        <v>143</v>
      </c>
      <c r="M740" t="s">
        <v>90</v>
      </c>
      <c r="V740" t="s">
        <v>168</v>
      </c>
      <c r="W740" t="s">
        <v>92</v>
      </c>
      <c r="X740" t="s">
        <v>93</v>
      </c>
      <c r="Y740">
        <v>2</v>
      </c>
      <c r="Z740" t="s">
        <v>94</v>
      </c>
      <c r="AB740">
        <v>0.2330972</v>
      </c>
      <c r="AG740" t="s">
        <v>95</v>
      </c>
      <c r="AX740" t="s">
        <v>282</v>
      </c>
      <c r="AY740" t="s">
        <v>283</v>
      </c>
      <c r="BE740">
        <v>0</v>
      </c>
      <c r="BG740">
        <v>28</v>
      </c>
      <c r="BH740" t="s">
        <v>99</v>
      </c>
      <c r="BO740" t="s">
        <v>111</v>
      </c>
      <c r="CD740" t="s">
        <v>657</v>
      </c>
      <c r="CE740">
        <v>18752</v>
      </c>
      <c r="CF740" t="s">
        <v>658</v>
      </c>
      <c r="CG740" t="s">
        <v>659</v>
      </c>
      <c r="CH740">
        <v>1988</v>
      </c>
    </row>
    <row r="741" spans="1:86" hidden="1" x14ac:dyDescent="0.25">
      <c r="A741">
        <v>330541</v>
      </c>
      <c r="B741" t="s">
        <v>86</v>
      </c>
      <c r="C741" t="s">
        <v>731</v>
      </c>
      <c r="D741" t="s">
        <v>115</v>
      </c>
      <c r="K741" t="s">
        <v>733</v>
      </c>
      <c r="L741" t="s">
        <v>143</v>
      </c>
      <c r="M741" t="s">
        <v>90</v>
      </c>
      <c r="V741" t="s">
        <v>168</v>
      </c>
      <c r="W741" t="s">
        <v>92</v>
      </c>
      <c r="X741" t="s">
        <v>93</v>
      </c>
      <c r="Y741">
        <v>2</v>
      </c>
      <c r="Z741" t="s">
        <v>94</v>
      </c>
      <c r="AB741">
        <v>0.2330972</v>
      </c>
      <c r="AG741" t="s">
        <v>95</v>
      </c>
      <c r="AX741" t="s">
        <v>201</v>
      </c>
      <c r="AY741" t="s">
        <v>120</v>
      </c>
      <c r="BE741">
        <v>0</v>
      </c>
      <c r="BG741">
        <v>28</v>
      </c>
      <c r="BH741" t="s">
        <v>99</v>
      </c>
      <c r="BO741" t="s">
        <v>111</v>
      </c>
      <c r="CD741" t="s">
        <v>657</v>
      </c>
      <c r="CE741">
        <v>18752</v>
      </c>
      <c r="CF741" t="s">
        <v>658</v>
      </c>
      <c r="CG741" t="s">
        <v>659</v>
      </c>
      <c r="CH741">
        <v>1988</v>
      </c>
    </row>
    <row r="742" spans="1:86" hidden="1" x14ac:dyDescent="0.25">
      <c r="A742">
        <v>330541</v>
      </c>
      <c r="B742" t="s">
        <v>86</v>
      </c>
      <c r="D742" t="s">
        <v>115</v>
      </c>
      <c r="K742" t="s">
        <v>645</v>
      </c>
      <c r="L742" t="s">
        <v>89</v>
      </c>
      <c r="M742" t="s">
        <v>90</v>
      </c>
      <c r="N742" t="s">
        <v>118</v>
      </c>
      <c r="V742" t="s">
        <v>91</v>
      </c>
      <c r="W742" t="s">
        <v>107</v>
      </c>
      <c r="X742" t="s">
        <v>93</v>
      </c>
      <c r="Z742" t="s">
        <v>137</v>
      </c>
      <c r="AB742">
        <v>0.01</v>
      </c>
      <c r="AG742" t="s">
        <v>95</v>
      </c>
      <c r="AX742" t="s">
        <v>201</v>
      </c>
      <c r="AY742" t="s">
        <v>646</v>
      </c>
      <c r="BC742">
        <v>7</v>
      </c>
      <c r="BH742" t="s">
        <v>99</v>
      </c>
      <c r="BO742" t="s">
        <v>111</v>
      </c>
      <c r="CD742" t="s">
        <v>647</v>
      </c>
      <c r="CE742">
        <v>9446</v>
      </c>
      <c r="CF742" t="s">
        <v>648</v>
      </c>
      <c r="CG742" t="s">
        <v>649</v>
      </c>
      <c r="CH742">
        <v>1971</v>
      </c>
    </row>
    <row r="743" spans="1:86" hidden="1" x14ac:dyDescent="0.25">
      <c r="A743">
        <v>330541</v>
      </c>
      <c r="B743" t="s">
        <v>86</v>
      </c>
      <c r="D743" t="s">
        <v>115</v>
      </c>
      <c r="F743">
        <v>98</v>
      </c>
      <c r="K743" t="s">
        <v>446</v>
      </c>
      <c r="L743" t="s">
        <v>143</v>
      </c>
      <c r="M743" t="s">
        <v>90</v>
      </c>
      <c r="N743" t="s">
        <v>118</v>
      </c>
      <c r="P743">
        <v>6</v>
      </c>
      <c r="U743" t="s">
        <v>99</v>
      </c>
      <c r="V743" t="s">
        <v>91</v>
      </c>
      <c r="W743" t="s">
        <v>92</v>
      </c>
      <c r="X743" t="s">
        <v>93</v>
      </c>
      <c r="Z743" t="s">
        <v>94</v>
      </c>
      <c r="AB743"/>
      <c r="AD743">
        <v>0</v>
      </c>
      <c r="AF743">
        <v>100</v>
      </c>
      <c r="AG743" t="s">
        <v>95</v>
      </c>
      <c r="AX743" t="s">
        <v>108</v>
      </c>
      <c r="AY743" t="s">
        <v>120</v>
      </c>
      <c r="BC743">
        <v>12</v>
      </c>
      <c r="BH743" t="s">
        <v>99</v>
      </c>
      <c r="BO743" t="s">
        <v>111</v>
      </c>
      <c r="CD743" t="s">
        <v>447</v>
      </c>
      <c r="CE743">
        <v>153873</v>
      </c>
      <c r="CF743" t="s">
        <v>448</v>
      </c>
      <c r="CG743" t="s">
        <v>449</v>
      </c>
      <c r="CH743">
        <v>2011</v>
      </c>
    </row>
    <row r="744" spans="1:86" hidden="1" x14ac:dyDescent="0.25">
      <c r="A744">
        <v>330541</v>
      </c>
      <c r="B744" t="s">
        <v>86</v>
      </c>
      <c r="D744" t="s">
        <v>115</v>
      </c>
      <c r="K744" t="s">
        <v>239</v>
      </c>
      <c r="L744" t="s">
        <v>89</v>
      </c>
      <c r="M744" t="s">
        <v>90</v>
      </c>
      <c r="N744" t="s">
        <v>118</v>
      </c>
      <c r="V744" t="s">
        <v>91</v>
      </c>
      <c r="W744" t="s">
        <v>92</v>
      </c>
      <c r="X744" t="s">
        <v>93</v>
      </c>
      <c r="Y744">
        <v>4</v>
      </c>
      <c r="Z744" t="s">
        <v>137</v>
      </c>
      <c r="AB744"/>
      <c r="AD744">
        <v>5.0000000000000001E-3</v>
      </c>
      <c r="AF744">
        <v>1.4999999999999999E-2</v>
      </c>
      <c r="AG744" t="s">
        <v>95</v>
      </c>
      <c r="AX744" t="s">
        <v>282</v>
      </c>
      <c r="AY744" t="s">
        <v>755</v>
      </c>
      <c r="BA744" t="s">
        <v>179</v>
      </c>
      <c r="BC744">
        <v>1</v>
      </c>
      <c r="BH744" t="s">
        <v>99</v>
      </c>
      <c r="BO744" t="s">
        <v>111</v>
      </c>
      <c r="CD744" t="s">
        <v>405</v>
      </c>
      <c r="CE744">
        <v>101986</v>
      </c>
      <c r="CF744" t="s">
        <v>406</v>
      </c>
      <c r="CG744" t="s">
        <v>407</v>
      </c>
      <c r="CH744">
        <v>2002</v>
      </c>
    </row>
    <row r="745" spans="1:86" hidden="1" x14ac:dyDescent="0.25">
      <c r="A745">
        <v>330541</v>
      </c>
      <c r="B745" t="s">
        <v>86</v>
      </c>
      <c r="D745" t="s">
        <v>115</v>
      </c>
      <c r="K745" t="s">
        <v>756</v>
      </c>
      <c r="L745" t="s">
        <v>143</v>
      </c>
      <c r="M745" t="s">
        <v>90</v>
      </c>
      <c r="V745" t="s">
        <v>91</v>
      </c>
      <c r="W745" t="s">
        <v>92</v>
      </c>
      <c r="X745" t="s">
        <v>93</v>
      </c>
      <c r="Z745" t="s">
        <v>137</v>
      </c>
      <c r="AB745">
        <v>10</v>
      </c>
      <c r="AG745" t="s">
        <v>95</v>
      </c>
      <c r="AX745" t="s">
        <v>523</v>
      </c>
      <c r="AY745" t="s">
        <v>523</v>
      </c>
      <c r="BC745">
        <v>15</v>
      </c>
      <c r="BH745" t="s">
        <v>99</v>
      </c>
      <c r="BO745" t="s">
        <v>111</v>
      </c>
      <c r="CD745" t="s">
        <v>652</v>
      </c>
      <c r="CE745">
        <v>9206</v>
      </c>
      <c r="CF745" t="s">
        <v>653</v>
      </c>
      <c r="CG745" t="s">
        <v>654</v>
      </c>
      <c r="CH745">
        <v>1972</v>
      </c>
    </row>
    <row r="746" spans="1:86" hidden="1" x14ac:dyDescent="0.25">
      <c r="A746">
        <v>330541</v>
      </c>
      <c r="B746" t="s">
        <v>86</v>
      </c>
      <c r="D746" t="s">
        <v>115</v>
      </c>
      <c r="K746" t="s">
        <v>685</v>
      </c>
      <c r="L746" t="s">
        <v>143</v>
      </c>
      <c r="M746" t="s">
        <v>90</v>
      </c>
      <c r="V746" t="s">
        <v>91</v>
      </c>
      <c r="W746" t="s">
        <v>92</v>
      </c>
      <c r="X746" t="s">
        <v>93</v>
      </c>
      <c r="Z746" t="s">
        <v>137</v>
      </c>
      <c r="AB746">
        <v>200</v>
      </c>
      <c r="AG746" t="s">
        <v>674</v>
      </c>
      <c r="AX746" t="s">
        <v>108</v>
      </c>
      <c r="AY746" t="s">
        <v>308</v>
      </c>
      <c r="BC746">
        <v>15</v>
      </c>
      <c r="BH746" t="s">
        <v>99</v>
      </c>
      <c r="BO746" t="s">
        <v>111</v>
      </c>
      <c r="CD746" t="s">
        <v>652</v>
      </c>
      <c r="CE746">
        <v>9444</v>
      </c>
      <c r="CF746" t="s">
        <v>675</v>
      </c>
      <c r="CG746" t="s">
        <v>676</v>
      </c>
      <c r="CH746">
        <v>1971</v>
      </c>
    </row>
    <row r="747" spans="1:86" hidden="1" x14ac:dyDescent="0.25">
      <c r="A747">
        <v>330541</v>
      </c>
      <c r="B747" t="s">
        <v>86</v>
      </c>
      <c r="D747" t="s">
        <v>115</v>
      </c>
      <c r="K747" t="s">
        <v>651</v>
      </c>
      <c r="L747" t="s">
        <v>143</v>
      </c>
      <c r="M747" t="s">
        <v>90</v>
      </c>
      <c r="V747" t="s">
        <v>91</v>
      </c>
      <c r="W747" t="s">
        <v>92</v>
      </c>
      <c r="X747" t="s">
        <v>93</v>
      </c>
      <c r="Z747" t="s">
        <v>137</v>
      </c>
      <c r="AB747">
        <v>2000</v>
      </c>
      <c r="AG747" t="s">
        <v>95</v>
      </c>
      <c r="AX747" t="s">
        <v>523</v>
      </c>
      <c r="AY747" t="s">
        <v>523</v>
      </c>
      <c r="BC747">
        <v>15</v>
      </c>
      <c r="BH747" t="s">
        <v>99</v>
      </c>
      <c r="BO747" t="s">
        <v>111</v>
      </c>
      <c r="CD747" t="s">
        <v>652</v>
      </c>
      <c r="CE747">
        <v>9206</v>
      </c>
      <c r="CF747" t="s">
        <v>653</v>
      </c>
      <c r="CG747" t="s">
        <v>654</v>
      </c>
      <c r="CH747">
        <v>1972</v>
      </c>
    </row>
    <row r="748" spans="1:86" hidden="1" x14ac:dyDescent="0.25">
      <c r="A748">
        <v>330541</v>
      </c>
      <c r="B748" t="s">
        <v>86</v>
      </c>
      <c r="D748" t="s">
        <v>115</v>
      </c>
      <c r="K748" t="s">
        <v>218</v>
      </c>
      <c r="L748" t="s">
        <v>89</v>
      </c>
      <c r="M748" t="s">
        <v>90</v>
      </c>
      <c r="W748" t="s">
        <v>92</v>
      </c>
      <c r="X748" t="s">
        <v>93</v>
      </c>
      <c r="Z748" t="s">
        <v>94</v>
      </c>
      <c r="AB748"/>
      <c r="AD748">
        <v>0.01</v>
      </c>
      <c r="AF748">
        <v>1</v>
      </c>
      <c r="AG748" t="s">
        <v>95</v>
      </c>
      <c r="AX748" t="s">
        <v>108</v>
      </c>
      <c r="AY748" t="s">
        <v>160</v>
      </c>
      <c r="BE748">
        <v>0</v>
      </c>
      <c r="BG748">
        <v>24</v>
      </c>
      <c r="BH748" t="s">
        <v>99</v>
      </c>
      <c r="BO748" t="s">
        <v>111</v>
      </c>
      <c r="CD748" t="s">
        <v>477</v>
      </c>
      <c r="CE748">
        <v>60995</v>
      </c>
      <c r="CF748" t="s">
        <v>694</v>
      </c>
      <c r="CG748" t="s">
        <v>695</v>
      </c>
      <c r="CH748">
        <v>1981</v>
      </c>
    </row>
    <row r="749" spans="1:86" hidden="1" x14ac:dyDescent="0.25">
      <c r="A749">
        <v>330541</v>
      </c>
      <c r="B749" t="s">
        <v>86</v>
      </c>
      <c r="D749" t="s">
        <v>115</v>
      </c>
      <c r="K749" t="s">
        <v>189</v>
      </c>
      <c r="L749" t="s">
        <v>190</v>
      </c>
      <c r="M749" t="s">
        <v>90</v>
      </c>
      <c r="W749" t="s">
        <v>107</v>
      </c>
      <c r="X749" t="s">
        <v>93</v>
      </c>
      <c r="Z749" t="s">
        <v>137</v>
      </c>
      <c r="AB749"/>
      <c r="AD749">
        <v>2.3309719999999999E-4</v>
      </c>
      <c r="AF749">
        <v>0.2330972</v>
      </c>
      <c r="AG749" t="s">
        <v>95</v>
      </c>
      <c r="AX749" t="s">
        <v>144</v>
      </c>
      <c r="AY749" t="s">
        <v>109</v>
      </c>
      <c r="BE749">
        <v>4</v>
      </c>
      <c r="BG749">
        <v>7</v>
      </c>
      <c r="BH749" t="s">
        <v>99</v>
      </c>
      <c r="BO749" t="s">
        <v>111</v>
      </c>
      <c r="CD749" t="s">
        <v>678</v>
      </c>
      <c r="CE749">
        <v>20539</v>
      </c>
      <c r="CF749" t="s">
        <v>679</v>
      </c>
      <c r="CG749" t="s">
        <v>680</v>
      </c>
      <c r="CH749">
        <v>1996</v>
      </c>
    </row>
    <row r="750" spans="1:86" hidden="1" x14ac:dyDescent="0.25">
      <c r="A750">
        <v>330541</v>
      </c>
      <c r="B750" t="s">
        <v>86</v>
      </c>
      <c r="D750" t="s">
        <v>115</v>
      </c>
      <c r="K750" t="s">
        <v>195</v>
      </c>
      <c r="L750" t="s">
        <v>89</v>
      </c>
      <c r="M750" t="s">
        <v>90</v>
      </c>
      <c r="N750" t="s">
        <v>118</v>
      </c>
      <c r="V750" t="s">
        <v>91</v>
      </c>
      <c r="W750" t="s">
        <v>107</v>
      </c>
      <c r="X750" t="s">
        <v>93</v>
      </c>
      <c r="Z750" t="s">
        <v>137</v>
      </c>
      <c r="AB750">
        <v>0.01</v>
      </c>
      <c r="AG750" t="s">
        <v>95</v>
      </c>
      <c r="AX750" t="s">
        <v>108</v>
      </c>
      <c r="AY750" t="s">
        <v>308</v>
      </c>
      <c r="BC750">
        <v>10</v>
      </c>
      <c r="BH750" t="s">
        <v>99</v>
      </c>
      <c r="BO750" t="s">
        <v>111</v>
      </c>
      <c r="CD750" t="s">
        <v>647</v>
      </c>
      <c r="CE750">
        <v>9446</v>
      </c>
      <c r="CF750" t="s">
        <v>648</v>
      </c>
      <c r="CG750" t="s">
        <v>649</v>
      </c>
      <c r="CH750">
        <v>1971</v>
      </c>
    </row>
    <row r="751" spans="1:86" hidden="1" x14ac:dyDescent="0.25">
      <c r="A751">
        <v>330541</v>
      </c>
      <c r="B751" t="s">
        <v>86</v>
      </c>
      <c r="D751" t="s">
        <v>115</v>
      </c>
      <c r="K751" t="s">
        <v>142</v>
      </c>
      <c r="L751" t="s">
        <v>143</v>
      </c>
      <c r="M751" t="s">
        <v>90</v>
      </c>
      <c r="V751" t="s">
        <v>91</v>
      </c>
      <c r="W751" t="s">
        <v>92</v>
      </c>
      <c r="X751" t="s">
        <v>93</v>
      </c>
      <c r="Z751" t="s">
        <v>137</v>
      </c>
      <c r="AA751" t="s">
        <v>106</v>
      </c>
      <c r="AB751">
        <v>200</v>
      </c>
      <c r="AG751" t="s">
        <v>674</v>
      </c>
      <c r="AX751" t="s">
        <v>108</v>
      </c>
      <c r="AY751" t="s">
        <v>308</v>
      </c>
      <c r="BC751">
        <v>15</v>
      </c>
      <c r="BH751" t="s">
        <v>99</v>
      </c>
      <c r="BO751" t="s">
        <v>111</v>
      </c>
      <c r="CD751" t="s">
        <v>652</v>
      </c>
      <c r="CE751">
        <v>9444</v>
      </c>
      <c r="CF751" t="s">
        <v>675</v>
      </c>
      <c r="CG751" t="s">
        <v>676</v>
      </c>
      <c r="CH751">
        <v>1971</v>
      </c>
    </row>
    <row r="752" spans="1:86" hidden="1" x14ac:dyDescent="0.25">
      <c r="A752">
        <v>330541</v>
      </c>
      <c r="B752" t="s">
        <v>86</v>
      </c>
      <c r="D752" t="s">
        <v>115</v>
      </c>
      <c r="K752" t="s">
        <v>660</v>
      </c>
      <c r="L752" t="s">
        <v>89</v>
      </c>
      <c r="M752" t="s">
        <v>90</v>
      </c>
      <c r="V752" t="s">
        <v>91</v>
      </c>
      <c r="W752" t="s">
        <v>92</v>
      </c>
      <c r="X752" t="s">
        <v>93</v>
      </c>
      <c r="Z752" t="s">
        <v>137</v>
      </c>
      <c r="AB752">
        <v>23</v>
      </c>
      <c r="AG752" t="s">
        <v>95</v>
      </c>
      <c r="AX752" t="s">
        <v>144</v>
      </c>
      <c r="AY752" t="s">
        <v>661</v>
      </c>
      <c r="BB752" t="s">
        <v>106</v>
      </c>
      <c r="BC752">
        <v>1.5417000000000001</v>
      </c>
      <c r="BH752" t="s">
        <v>99</v>
      </c>
      <c r="BO752" t="s">
        <v>111</v>
      </c>
      <c r="CD752" t="s">
        <v>662</v>
      </c>
      <c r="CE752">
        <v>15634</v>
      </c>
      <c r="CF752" t="s">
        <v>663</v>
      </c>
      <c r="CG752" t="s">
        <v>664</v>
      </c>
      <c r="CH752">
        <v>1981</v>
      </c>
    </row>
    <row r="753" spans="1:86" hidden="1" x14ac:dyDescent="0.25">
      <c r="A753">
        <v>330541</v>
      </c>
      <c r="B753" t="s">
        <v>86</v>
      </c>
      <c r="D753" t="s">
        <v>115</v>
      </c>
      <c r="K753" t="s">
        <v>686</v>
      </c>
      <c r="L753" t="s">
        <v>190</v>
      </c>
      <c r="M753" t="s">
        <v>90</v>
      </c>
      <c r="N753" t="s">
        <v>118</v>
      </c>
      <c r="V753" t="s">
        <v>91</v>
      </c>
      <c r="W753" t="s">
        <v>107</v>
      </c>
      <c r="X753" t="s">
        <v>93</v>
      </c>
      <c r="Z753" t="s">
        <v>137</v>
      </c>
      <c r="AB753">
        <v>0.01</v>
      </c>
      <c r="AG753" t="s">
        <v>95</v>
      </c>
      <c r="AX753" t="s">
        <v>201</v>
      </c>
      <c r="AY753" t="s">
        <v>311</v>
      </c>
      <c r="BC753">
        <v>7</v>
      </c>
      <c r="BH753" t="s">
        <v>99</v>
      </c>
      <c r="BO753" t="s">
        <v>111</v>
      </c>
      <c r="CD753" t="s">
        <v>647</v>
      </c>
      <c r="CE753">
        <v>9446</v>
      </c>
      <c r="CF753" t="s">
        <v>648</v>
      </c>
      <c r="CG753" t="s">
        <v>649</v>
      </c>
      <c r="CH753">
        <v>1971</v>
      </c>
    </row>
    <row r="754" spans="1:86" hidden="1" x14ac:dyDescent="0.25">
      <c r="A754">
        <v>330541</v>
      </c>
      <c r="B754" t="s">
        <v>86</v>
      </c>
      <c r="D754" t="s">
        <v>115</v>
      </c>
      <c r="K754" t="s">
        <v>369</v>
      </c>
      <c r="L754" t="s">
        <v>370</v>
      </c>
      <c r="M754" t="s">
        <v>90</v>
      </c>
      <c r="N754" t="s">
        <v>118</v>
      </c>
      <c r="V754" t="s">
        <v>91</v>
      </c>
      <c r="W754" t="s">
        <v>107</v>
      </c>
      <c r="X754" t="s">
        <v>93</v>
      </c>
      <c r="Z754" t="s">
        <v>137</v>
      </c>
      <c r="AB754">
        <v>0.01</v>
      </c>
      <c r="AG754" t="s">
        <v>95</v>
      </c>
      <c r="AX754" t="s">
        <v>201</v>
      </c>
      <c r="AY754" t="s">
        <v>311</v>
      </c>
      <c r="BC754">
        <v>7</v>
      </c>
      <c r="BH754" t="s">
        <v>99</v>
      </c>
      <c r="BO754" t="s">
        <v>111</v>
      </c>
      <c r="CD754" t="s">
        <v>647</v>
      </c>
      <c r="CE754">
        <v>9446</v>
      </c>
      <c r="CF754" t="s">
        <v>648</v>
      </c>
      <c r="CG754" t="s">
        <v>649</v>
      </c>
      <c r="CH754">
        <v>1971</v>
      </c>
    </row>
    <row r="755" spans="1:86" hidden="1" x14ac:dyDescent="0.25">
      <c r="A755">
        <v>330541</v>
      </c>
      <c r="B755" t="s">
        <v>86</v>
      </c>
      <c r="D755" t="s">
        <v>115</v>
      </c>
      <c r="K755" t="s">
        <v>195</v>
      </c>
      <c r="L755" t="s">
        <v>89</v>
      </c>
      <c r="M755" t="s">
        <v>90</v>
      </c>
      <c r="N755" t="s">
        <v>118</v>
      </c>
      <c r="V755" t="s">
        <v>91</v>
      </c>
      <c r="W755" t="s">
        <v>107</v>
      </c>
      <c r="X755" t="s">
        <v>93</v>
      </c>
      <c r="Z755" t="s">
        <v>137</v>
      </c>
      <c r="AB755">
        <v>0.01</v>
      </c>
      <c r="AG755" t="s">
        <v>95</v>
      </c>
      <c r="AX755" t="s">
        <v>201</v>
      </c>
      <c r="AY755" t="s">
        <v>646</v>
      </c>
      <c r="BC755">
        <v>7</v>
      </c>
      <c r="BH755" t="s">
        <v>99</v>
      </c>
      <c r="BO755" t="s">
        <v>111</v>
      </c>
      <c r="CD755" t="s">
        <v>647</v>
      </c>
      <c r="CE755">
        <v>9446</v>
      </c>
      <c r="CF755" t="s">
        <v>648</v>
      </c>
      <c r="CG755" t="s">
        <v>649</v>
      </c>
      <c r="CH755">
        <v>1971</v>
      </c>
    </row>
    <row r="756" spans="1:86" hidden="1" x14ac:dyDescent="0.25">
      <c r="A756">
        <v>330541</v>
      </c>
      <c r="B756" t="s">
        <v>86</v>
      </c>
      <c r="D756" t="s">
        <v>115</v>
      </c>
      <c r="K756" t="s">
        <v>90</v>
      </c>
      <c r="L756" t="s">
        <v>90</v>
      </c>
      <c r="M756" t="s">
        <v>90</v>
      </c>
      <c r="V756" t="s">
        <v>91</v>
      </c>
      <c r="W756" t="s">
        <v>107</v>
      </c>
      <c r="X756" t="s">
        <v>93</v>
      </c>
      <c r="Y756">
        <v>2</v>
      </c>
      <c r="Z756" t="s">
        <v>137</v>
      </c>
      <c r="AB756">
        <v>3.0000000000000001E-3</v>
      </c>
      <c r="AG756" t="s">
        <v>95</v>
      </c>
      <c r="AX756" t="s">
        <v>201</v>
      </c>
      <c r="AY756" t="s">
        <v>202</v>
      </c>
      <c r="BE756">
        <v>4.1700000000000001E-2</v>
      </c>
      <c r="BG756">
        <v>0.33329999999999999</v>
      </c>
      <c r="BH756" t="s">
        <v>99</v>
      </c>
      <c r="BO756" t="s">
        <v>111</v>
      </c>
      <c r="CD756" t="s">
        <v>204</v>
      </c>
      <c r="CE756">
        <v>75334</v>
      </c>
      <c r="CF756" t="s">
        <v>205</v>
      </c>
      <c r="CG756" t="s">
        <v>206</v>
      </c>
      <c r="CH756">
        <v>2003</v>
      </c>
    </row>
    <row r="757" spans="1:86" hidden="1" x14ac:dyDescent="0.25">
      <c r="A757">
        <v>330541</v>
      </c>
      <c r="B757" t="s">
        <v>86</v>
      </c>
      <c r="C757" t="s">
        <v>731</v>
      </c>
      <c r="D757" t="s">
        <v>115</v>
      </c>
      <c r="K757" t="s">
        <v>655</v>
      </c>
      <c r="L757" t="s">
        <v>656</v>
      </c>
      <c r="M757" t="s">
        <v>90</v>
      </c>
      <c r="V757" t="s">
        <v>168</v>
      </c>
      <c r="W757" t="s">
        <v>92</v>
      </c>
      <c r="X757" t="s">
        <v>93</v>
      </c>
      <c r="Y757">
        <v>2</v>
      </c>
      <c r="Z757" t="s">
        <v>94</v>
      </c>
      <c r="AB757">
        <v>0.2330972</v>
      </c>
      <c r="AG757" t="s">
        <v>95</v>
      </c>
      <c r="AX757" t="s">
        <v>282</v>
      </c>
      <c r="AY757" t="s">
        <v>283</v>
      </c>
      <c r="BE757">
        <v>0</v>
      </c>
      <c r="BG757">
        <v>28</v>
      </c>
      <c r="BH757" t="s">
        <v>99</v>
      </c>
      <c r="BO757" t="s">
        <v>111</v>
      </c>
      <c r="CD757" t="s">
        <v>657</v>
      </c>
      <c r="CE757">
        <v>18752</v>
      </c>
      <c r="CF757" t="s">
        <v>658</v>
      </c>
      <c r="CG757" t="s">
        <v>659</v>
      </c>
      <c r="CH757">
        <v>1988</v>
      </c>
    </row>
    <row r="758" spans="1:86" hidden="1" x14ac:dyDescent="0.25">
      <c r="A758">
        <v>330541</v>
      </c>
      <c r="B758" t="s">
        <v>86</v>
      </c>
      <c r="D758" t="s">
        <v>115</v>
      </c>
      <c r="K758" t="s">
        <v>686</v>
      </c>
      <c r="L758" t="s">
        <v>190</v>
      </c>
      <c r="M758" t="s">
        <v>90</v>
      </c>
      <c r="N758" t="s">
        <v>118</v>
      </c>
      <c r="V758" t="s">
        <v>91</v>
      </c>
      <c r="W758" t="s">
        <v>107</v>
      </c>
      <c r="X758" t="s">
        <v>93</v>
      </c>
      <c r="Z758" t="s">
        <v>137</v>
      </c>
      <c r="AB758">
        <v>0.01</v>
      </c>
      <c r="AG758" t="s">
        <v>95</v>
      </c>
      <c r="AX758" t="s">
        <v>201</v>
      </c>
      <c r="AY758" t="s">
        <v>646</v>
      </c>
      <c r="BC758">
        <v>7</v>
      </c>
      <c r="BH758" t="s">
        <v>99</v>
      </c>
      <c r="BO758" t="s">
        <v>111</v>
      </c>
      <c r="CD758" t="s">
        <v>647</v>
      </c>
      <c r="CE758">
        <v>9446</v>
      </c>
      <c r="CF758" t="s">
        <v>648</v>
      </c>
      <c r="CG758" t="s">
        <v>649</v>
      </c>
      <c r="CH758">
        <v>1971</v>
      </c>
    </row>
    <row r="759" spans="1:86" hidden="1" x14ac:dyDescent="0.25">
      <c r="A759">
        <v>330541</v>
      </c>
      <c r="B759" t="s">
        <v>86</v>
      </c>
      <c r="D759" t="s">
        <v>115</v>
      </c>
      <c r="K759" t="s">
        <v>195</v>
      </c>
      <c r="L759" t="s">
        <v>89</v>
      </c>
      <c r="M759" t="s">
        <v>90</v>
      </c>
      <c r="N759" t="s">
        <v>118</v>
      </c>
      <c r="V759" t="s">
        <v>91</v>
      </c>
      <c r="W759" t="s">
        <v>107</v>
      </c>
      <c r="X759" t="s">
        <v>93</v>
      </c>
      <c r="Z759" t="s">
        <v>137</v>
      </c>
      <c r="AB759">
        <v>0.01</v>
      </c>
      <c r="AG759" t="s">
        <v>95</v>
      </c>
      <c r="AX759" t="s">
        <v>201</v>
      </c>
      <c r="AY759" t="s">
        <v>646</v>
      </c>
      <c r="BC759">
        <v>7</v>
      </c>
      <c r="BH759" t="s">
        <v>99</v>
      </c>
      <c r="BO759" t="s">
        <v>111</v>
      </c>
      <c r="CD759" t="s">
        <v>647</v>
      </c>
      <c r="CE759">
        <v>9446</v>
      </c>
      <c r="CF759" t="s">
        <v>648</v>
      </c>
      <c r="CG759" t="s">
        <v>649</v>
      </c>
      <c r="CH759">
        <v>1971</v>
      </c>
    </row>
    <row r="760" spans="1:86" hidden="1" x14ac:dyDescent="0.25">
      <c r="A760">
        <v>330541</v>
      </c>
      <c r="B760" t="s">
        <v>86</v>
      </c>
      <c r="D760" t="s">
        <v>115</v>
      </c>
      <c r="K760" t="s">
        <v>189</v>
      </c>
      <c r="L760" t="s">
        <v>190</v>
      </c>
      <c r="M760" t="s">
        <v>90</v>
      </c>
      <c r="N760" t="s">
        <v>118</v>
      </c>
      <c r="V760" t="s">
        <v>91</v>
      </c>
      <c r="W760" t="s">
        <v>107</v>
      </c>
      <c r="X760" t="s">
        <v>93</v>
      </c>
      <c r="Z760" t="s">
        <v>137</v>
      </c>
      <c r="AB760">
        <v>0.01</v>
      </c>
      <c r="AG760" t="s">
        <v>95</v>
      </c>
      <c r="AX760" t="s">
        <v>201</v>
      </c>
      <c r="AY760" t="s">
        <v>646</v>
      </c>
      <c r="BC760">
        <v>7</v>
      </c>
      <c r="BH760" t="s">
        <v>99</v>
      </c>
      <c r="BO760" t="s">
        <v>111</v>
      </c>
      <c r="CD760" t="s">
        <v>647</v>
      </c>
      <c r="CE760">
        <v>9446</v>
      </c>
      <c r="CF760" t="s">
        <v>648</v>
      </c>
      <c r="CG760" t="s">
        <v>649</v>
      </c>
      <c r="CH760">
        <v>1971</v>
      </c>
    </row>
    <row r="761" spans="1:86" hidden="1" x14ac:dyDescent="0.25">
      <c r="A761">
        <v>330541</v>
      </c>
      <c r="B761" t="s">
        <v>86</v>
      </c>
      <c r="D761" t="s">
        <v>115</v>
      </c>
      <c r="K761" t="s">
        <v>180</v>
      </c>
      <c r="L761" t="s">
        <v>117</v>
      </c>
      <c r="M761" t="s">
        <v>90</v>
      </c>
      <c r="W761" t="s">
        <v>92</v>
      </c>
      <c r="X761" t="s">
        <v>93</v>
      </c>
      <c r="Y761">
        <v>3</v>
      </c>
      <c r="Z761" t="s">
        <v>137</v>
      </c>
      <c r="AB761">
        <v>5.0000000000000001E-3</v>
      </c>
      <c r="AG761" t="s">
        <v>95</v>
      </c>
      <c r="AX761" t="s">
        <v>108</v>
      </c>
      <c r="AY761" t="s">
        <v>160</v>
      </c>
      <c r="BC761">
        <v>1</v>
      </c>
      <c r="BH761" t="s">
        <v>99</v>
      </c>
      <c r="BO761" t="s">
        <v>111</v>
      </c>
      <c r="CD761" t="s">
        <v>719</v>
      </c>
      <c r="CE761">
        <v>184006</v>
      </c>
      <c r="CF761" t="s">
        <v>720</v>
      </c>
      <c r="CG761" t="s">
        <v>721</v>
      </c>
      <c r="CH761">
        <v>2020</v>
      </c>
    </row>
    <row r="762" spans="1:86" hidden="1" x14ac:dyDescent="0.25">
      <c r="A762">
        <v>330541</v>
      </c>
      <c r="B762" t="s">
        <v>86</v>
      </c>
      <c r="D762" t="s">
        <v>115</v>
      </c>
      <c r="K762" t="s">
        <v>446</v>
      </c>
      <c r="L762" t="s">
        <v>143</v>
      </c>
      <c r="M762" t="s">
        <v>90</v>
      </c>
      <c r="V762" t="s">
        <v>91</v>
      </c>
      <c r="W762" t="s">
        <v>92</v>
      </c>
      <c r="X762" t="s">
        <v>93</v>
      </c>
      <c r="Z762" t="s">
        <v>137</v>
      </c>
      <c r="AB762">
        <v>1000</v>
      </c>
      <c r="AG762" t="s">
        <v>95</v>
      </c>
      <c r="AX762" t="s">
        <v>523</v>
      </c>
      <c r="AY762" t="s">
        <v>523</v>
      </c>
      <c r="BC762">
        <v>15</v>
      </c>
      <c r="BH762" t="s">
        <v>99</v>
      </c>
      <c r="BO762" t="s">
        <v>111</v>
      </c>
      <c r="CD762" t="s">
        <v>652</v>
      </c>
      <c r="CE762">
        <v>9206</v>
      </c>
      <c r="CF762" t="s">
        <v>653</v>
      </c>
      <c r="CG762" t="s">
        <v>654</v>
      </c>
      <c r="CH762">
        <v>1972</v>
      </c>
    </row>
    <row r="763" spans="1:86" hidden="1" x14ac:dyDescent="0.25">
      <c r="A763">
        <v>330541</v>
      </c>
      <c r="B763" t="s">
        <v>86</v>
      </c>
      <c r="D763" t="s">
        <v>115</v>
      </c>
      <c r="K763" t="s">
        <v>484</v>
      </c>
      <c r="L763" t="s">
        <v>143</v>
      </c>
      <c r="M763" t="s">
        <v>90</v>
      </c>
      <c r="N763" t="s">
        <v>118</v>
      </c>
      <c r="V763" t="s">
        <v>91</v>
      </c>
      <c r="W763" t="s">
        <v>92</v>
      </c>
      <c r="X763" t="s">
        <v>93</v>
      </c>
      <c r="Y763">
        <v>2</v>
      </c>
      <c r="Z763" t="s">
        <v>137</v>
      </c>
      <c r="AB763">
        <v>1.165486</v>
      </c>
      <c r="AG763" t="s">
        <v>95</v>
      </c>
      <c r="AX763" t="s">
        <v>201</v>
      </c>
      <c r="AY763" t="s">
        <v>605</v>
      </c>
      <c r="BD763" t="s">
        <v>234</v>
      </c>
      <c r="BE763">
        <v>6.8999999999999999E-3</v>
      </c>
      <c r="BG763">
        <v>1.3899999999999999E-2</v>
      </c>
      <c r="BH763" t="s">
        <v>99</v>
      </c>
      <c r="BO763" t="s">
        <v>111</v>
      </c>
      <c r="CD763" t="s">
        <v>487</v>
      </c>
      <c r="CE763">
        <v>167045</v>
      </c>
      <c r="CF763" t="s">
        <v>488</v>
      </c>
      <c r="CG763" t="s">
        <v>489</v>
      </c>
      <c r="CH763">
        <v>2010</v>
      </c>
    </row>
    <row r="764" spans="1:86" hidden="1" x14ac:dyDescent="0.25">
      <c r="A764">
        <v>330541</v>
      </c>
      <c r="B764" t="s">
        <v>86</v>
      </c>
      <c r="D764" t="s">
        <v>115</v>
      </c>
      <c r="K764" t="s">
        <v>195</v>
      </c>
      <c r="L764" t="s">
        <v>89</v>
      </c>
      <c r="M764" t="s">
        <v>90</v>
      </c>
      <c r="N764" t="s">
        <v>118</v>
      </c>
      <c r="V764" t="s">
        <v>91</v>
      </c>
      <c r="W764" t="s">
        <v>107</v>
      </c>
      <c r="X764" t="s">
        <v>93</v>
      </c>
      <c r="Z764" t="s">
        <v>137</v>
      </c>
      <c r="AB764">
        <v>0.01</v>
      </c>
      <c r="AG764" t="s">
        <v>95</v>
      </c>
      <c r="AX764" t="s">
        <v>201</v>
      </c>
      <c r="AY764" t="s">
        <v>311</v>
      </c>
      <c r="BC764">
        <v>7</v>
      </c>
      <c r="BH764" t="s">
        <v>99</v>
      </c>
      <c r="BO764" t="s">
        <v>111</v>
      </c>
      <c r="CD764" t="s">
        <v>647</v>
      </c>
      <c r="CE764">
        <v>9446</v>
      </c>
      <c r="CF764" t="s">
        <v>648</v>
      </c>
      <c r="CG764" t="s">
        <v>649</v>
      </c>
      <c r="CH764">
        <v>1971</v>
      </c>
    </row>
    <row r="765" spans="1:86" hidden="1" x14ac:dyDescent="0.25">
      <c r="A765">
        <v>330541</v>
      </c>
      <c r="B765" t="s">
        <v>86</v>
      </c>
      <c r="D765" t="s">
        <v>115</v>
      </c>
      <c r="K765" t="s">
        <v>90</v>
      </c>
      <c r="L765" t="s">
        <v>90</v>
      </c>
      <c r="M765" t="s">
        <v>90</v>
      </c>
      <c r="V765" t="s">
        <v>91</v>
      </c>
      <c r="W765" t="s">
        <v>107</v>
      </c>
      <c r="X765" t="s">
        <v>93</v>
      </c>
      <c r="Y765">
        <v>2</v>
      </c>
      <c r="Z765" t="s">
        <v>137</v>
      </c>
      <c r="AB765">
        <v>3.0000000000000001E-3</v>
      </c>
      <c r="AG765" t="s">
        <v>95</v>
      </c>
      <c r="AX765" t="s">
        <v>201</v>
      </c>
      <c r="AY765" t="s">
        <v>202</v>
      </c>
      <c r="BE765">
        <v>4.1700000000000001E-2</v>
      </c>
      <c r="BG765">
        <v>0.33329999999999999</v>
      </c>
      <c r="BH765" t="s">
        <v>99</v>
      </c>
      <c r="BO765" t="s">
        <v>111</v>
      </c>
      <c r="CD765" t="s">
        <v>204</v>
      </c>
      <c r="CE765">
        <v>75334</v>
      </c>
      <c r="CF765" t="s">
        <v>205</v>
      </c>
      <c r="CG765" t="s">
        <v>206</v>
      </c>
      <c r="CH765">
        <v>2003</v>
      </c>
    </row>
    <row r="766" spans="1:86" hidden="1" x14ac:dyDescent="0.25">
      <c r="A766">
        <v>330541</v>
      </c>
      <c r="B766" t="s">
        <v>86</v>
      </c>
      <c r="D766" t="s">
        <v>115</v>
      </c>
      <c r="K766" t="s">
        <v>195</v>
      </c>
      <c r="L766" t="s">
        <v>89</v>
      </c>
      <c r="M766" t="s">
        <v>90</v>
      </c>
      <c r="N766" t="s">
        <v>118</v>
      </c>
      <c r="V766" t="s">
        <v>91</v>
      </c>
      <c r="W766" t="s">
        <v>107</v>
      </c>
      <c r="X766" t="s">
        <v>93</v>
      </c>
      <c r="Z766" t="s">
        <v>137</v>
      </c>
      <c r="AB766">
        <v>0.01</v>
      </c>
      <c r="AG766" t="s">
        <v>95</v>
      </c>
      <c r="AX766" t="s">
        <v>201</v>
      </c>
      <c r="AY766" t="s">
        <v>311</v>
      </c>
      <c r="BC766">
        <v>7</v>
      </c>
      <c r="BH766" t="s">
        <v>99</v>
      </c>
      <c r="BO766" t="s">
        <v>111</v>
      </c>
      <c r="CD766" t="s">
        <v>647</v>
      </c>
      <c r="CE766">
        <v>9446</v>
      </c>
      <c r="CF766" t="s">
        <v>648</v>
      </c>
      <c r="CG766" t="s">
        <v>649</v>
      </c>
      <c r="CH766">
        <v>1971</v>
      </c>
    </row>
    <row r="767" spans="1:86" hidden="1" x14ac:dyDescent="0.25">
      <c r="A767">
        <v>330541</v>
      </c>
      <c r="B767" t="s">
        <v>86</v>
      </c>
      <c r="D767" t="s">
        <v>115</v>
      </c>
      <c r="K767" t="s">
        <v>189</v>
      </c>
      <c r="L767" t="s">
        <v>190</v>
      </c>
      <c r="M767" t="s">
        <v>90</v>
      </c>
      <c r="V767" t="s">
        <v>91</v>
      </c>
      <c r="W767" t="s">
        <v>107</v>
      </c>
      <c r="X767" t="s">
        <v>93</v>
      </c>
      <c r="Z767" t="s">
        <v>465</v>
      </c>
      <c r="AB767"/>
      <c r="AD767">
        <v>2.3309720000000002E-3</v>
      </c>
      <c r="AF767">
        <v>2.330972</v>
      </c>
      <c r="AG767" t="s">
        <v>95</v>
      </c>
      <c r="AX767" t="s">
        <v>144</v>
      </c>
      <c r="AY767" t="s">
        <v>109</v>
      </c>
      <c r="BC767">
        <v>1.04E-2</v>
      </c>
      <c r="BH767" t="s">
        <v>99</v>
      </c>
      <c r="BO767" t="s">
        <v>111</v>
      </c>
      <c r="CD767" t="s">
        <v>423</v>
      </c>
      <c r="CE767">
        <v>15868</v>
      </c>
      <c r="CF767" t="s">
        <v>424</v>
      </c>
      <c r="CG767" t="s">
        <v>425</v>
      </c>
      <c r="CH767">
        <v>1976</v>
      </c>
    </row>
    <row r="768" spans="1:86" hidden="1" x14ac:dyDescent="0.25">
      <c r="A768">
        <v>330541</v>
      </c>
      <c r="B768" t="s">
        <v>86</v>
      </c>
      <c r="D768" t="s">
        <v>115</v>
      </c>
      <c r="K768" t="s">
        <v>700</v>
      </c>
      <c r="L768" t="s">
        <v>117</v>
      </c>
      <c r="M768" t="s">
        <v>90</v>
      </c>
      <c r="W768" t="s">
        <v>107</v>
      </c>
      <c r="X768" t="s">
        <v>93</v>
      </c>
      <c r="Z768" t="s">
        <v>137</v>
      </c>
      <c r="AB768"/>
      <c r="AD768">
        <v>2.3309719999999999E-4</v>
      </c>
      <c r="AF768">
        <v>0.2330972</v>
      </c>
      <c r="AG768" t="s">
        <v>95</v>
      </c>
      <c r="AX768" t="s">
        <v>108</v>
      </c>
      <c r="AY768" t="s">
        <v>160</v>
      </c>
      <c r="BE768">
        <v>4</v>
      </c>
      <c r="BG768">
        <v>7</v>
      </c>
      <c r="BH768" t="s">
        <v>99</v>
      </c>
      <c r="BO768" t="s">
        <v>111</v>
      </c>
      <c r="CD768" t="s">
        <v>678</v>
      </c>
      <c r="CE768">
        <v>20539</v>
      </c>
      <c r="CF768" t="s">
        <v>679</v>
      </c>
      <c r="CG768" t="s">
        <v>680</v>
      </c>
      <c r="CH768">
        <v>1996</v>
      </c>
    </row>
    <row r="769" spans="1:86" hidden="1" x14ac:dyDescent="0.25">
      <c r="A769">
        <v>330541</v>
      </c>
      <c r="B769" t="s">
        <v>86</v>
      </c>
      <c r="D769" t="s">
        <v>115</v>
      </c>
      <c r="K769" t="s">
        <v>195</v>
      </c>
      <c r="L769" t="s">
        <v>89</v>
      </c>
      <c r="M769" t="s">
        <v>90</v>
      </c>
      <c r="N769" t="s">
        <v>118</v>
      </c>
      <c r="V769" t="s">
        <v>91</v>
      </c>
      <c r="W769" t="s">
        <v>107</v>
      </c>
      <c r="X769" t="s">
        <v>93</v>
      </c>
      <c r="Z769" t="s">
        <v>137</v>
      </c>
      <c r="AB769">
        <v>0.01</v>
      </c>
      <c r="AG769" t="s">
        <v>95</v>
      </c>
      <c r="AX769" t="s">
        <v>108</v>
      </c>
      <c r="AY769" t="s">
        <v>308</v>
      </c>
      <c r="BC769">
        <v>10</v>
      </c>
      <c r="BH769" t="s">
        <v>99</v>
      </c>
      <c r="BO769" t="s">
        <v>111</v>
      </c>
      <c r="CD769" t="s">
        <v>647</v>
      </c>
      <c r="CE769">
        <v>9446</v>
      </c>
      <c r="CF769" t="s">
        <v>648</v>
      </c>
      <c r="CG769" t="s">
        <v>649</v>
      </c>
      <c r="CH769">
        <v>1971</v>
      </c>
    </row>
    <row r="770" spans="1:86" hidden="1" x14ac:dyDescent="0.25">
      <c r="A770">
        <v>330541</v>
      </c>
      <c r="B770" t="s">
        <v>86</v>
      </c>
      <c r="D770" t="s">
        <v>115</v>
      </c>
      <c r="K770" t="s">
        <v>484</v>
      </c>
      <c r="L770" t="s">
        <v>143</v>
      </c>
      <c r="M770" t="s">
        <v>90</v>
      </c>
      <c r="N770" t="s">
        <v>118</v>
      </c>
      <c r="V770" t="s">
        <v>91</v>
      </c>
      <c r="W770" t="s">
        <v>92</v>
      </c>
      <c r="X770" t="s">
        <v>93</v>
      </c>
      <c r="Y770">
        <v>2</v>
      </c>
      <c r="Z770" t="s">
        <v>137</v>
      </c>
      <c r="AB770"/>
      <c r="AC770" t="s">
        <v>234</v>
      </c>
      <c r="AD770">
        <v>5.8274299999999997</v>
      </c>
      <c r="AE770" t="s">
        <v>234</v>
      </c>
      <c r="AF770">
        <v>23.309719999999999</v>
      </c>
      <c r="AG770" t="s">
        <v>95</v>
      </c>
      <c r="AX770" t="s">
        <v>201</v>
      </c>
      <c r="AY770" t="s">
        <v>757</v>
      </c>
      <c r="BC770">
        <v>2.0799999999999999E-2</v>
      </c>
      <c r="BH770" t="s">
        <v>99</v>
      </c>
      <c r="BO770" t="s">
        <v>111</v>
      </c>
      <c r="CD770" t="s">
        <v>487</v>
      </c>
      <c r="CE770">
        <v>167045</v>
      </c>
      <c r="CF770" t="s">
        <v>488</v>
      </c>
      <c r="CG770" t="s">
        <v>489</v>
      </c>
      <c r="CH770">
        <v>2010</v>
      </c>
    </row>
    <row r="771" spans="1:86" hidden="1" x14ac:dyDescent="0.25">
      <c r="A771">
        <v>330541</v>
      </c>
      <c r="B771" t="s">
        <v>86</v>
      </c>
      <c r="D771" t="s">
        <v>115</v>
      </c>
      <c r="K771" t="s">
        <v>686</v>
      </c>
      <c r="L771" t="s">
        <v>190</v>
      </c>
      <c r="M771" t="s">
        <v>90</v>
      </c>
      <c r="N771" t="s">
        <v>118</v>
      </c>
      <c r="V771" t="s">
        <v>91</v>
      </c>
      <c r="W771" t="s">
        <v>107</v>
      </c>
      <c r="X771" t="s">
        <v>93</v>
      </c>
      <c r="Z771" t="s">
        <v>137</v>
      </c>
      <c r="AB771">
        <v>0.01</v>
      </c>
      <c r="AG771" t="s">
        <v>95</v>
      </c>
      <c r="AX771" t="s">
        <v>201</v>
      </c>
      <c r="AY771" t="s">
        <v>311</v>
      </c>
      <c r="BC771">
        <v>7</v>
      </c>
      <c r="BH771" t="s">
        <v>99</v>
      </c>
      <c r="BO771" t="s">
        <v>111</v>
      </c>
      <c r="CD771" t="s">
        <v>647</v>
      </c>
      <c r="CE771">
        <v>9446</v>
      </c>
      <c r="CF771" t="s">
        <v>648</v>
      </c>
      <c r="CG771" t="s">
        <v>649</v>
      </c>
      <c r="CH771">
        <v>1971</v>
      </c>
    </row>
    <row r="772" spans="1:86" hidden="1" x14ac:dyDescent="0.25">
      <c r="A772">
        <v>330541</v>
      </c>
      <c r="B772" t="s">
        <v>86</v>
      </c>
      <c r="D772" t="s">
        <v>115</v>
      </c>
      <c r="K772" t="s">
        <v>758</v>
      </c>
      <c r="L772" t="s">
        <v>89</v>
      </c>
      <c r="M772" t="s">
        <v>759</v>
      </c>
      <c r="N772" t="s">
        <v>118</v>
      </c>
      <c r="V772" t="s">
        <v>91</v>
      </c>
      <c r="W772" t="s">
        <v>92</v>
      </c>
      <c r="X772" t="s">
        <v>93</v>
      </c>
      <c r="Z772" t="s">
        <v>137</v>
      </c>
      <c r="AB772">
        <v>1.2999999999999999E-3</v>
      </c>
      <c r="AD772">
        <v>1E-3</v>
      </c>
      <c r="AF772">
        <v>1.6000000000000001E-3</v>
      </c>
      <c r="AG772" t="s">
        <v>95</v>
      </c>
      <c r="AX772" t="s">
        <v>108</v>
      </c>
      <c r="AY772" t="s">
        <v>109</v>
      </c>
      <c r="AZ772" t="s">
        <v>138</v>
      </c>
      <c r="BC772">
        <v>4.1700000000000001E-2</v>
      </c>
      <c r="BH772" t="s">
        <v>99</v>
      </c>
      <c r="BO772" t="s">
        <v>111</v>
      </c>
      <c r="CD772" t="s">
        <v>760</v>
      </c>
      <c r="CE772">
        <v>103266</v>
      </c>
      <c r="CF772" t="s">
        <v>761</v>
      </c>
      <c r="CG772" t="s">
        <v>762</v>
      </c>
      <c r="CH772">
        <v>2008</v>
      </c>
    </row>
    <row r="773" spans="1:86" hidden="1" x14ac:dyDescent="0.25">
      <c r="A773">
        <v>330541</v>
      </c>
      <c r="B773" t="s">
        <v>86</v>
      </c>
      <c r="D773" t="s">
        <v>115</v>
      </c>
      <c r="F773">
        <v>98</v>
      </c>
      <c r="K773" t="s">
        <v>763</v>
      </c>
      <c r="L773" t="s">
        <v>117</v>
      </c>
      <c r="M773" t="s">
        <v>759</v>
      </c>
      <c r="V773" t="s">
        <v>507</v>
      </c>
      <c r="W773" t="s">
        <v>107</v>
      </c>
      <c r="X773" t="s">
        <v>93</v>
      </c>
      <c r="Z773" t="s">
        <v>94</v>
      </c>
      <c r="AB773">
        <v>3.8E-3</v>
      </c>
      <c r="AD773">
        <v>2.5000000000000001E-3</v>
      </c>
      <c r="AF773">
        <v>5.7000000000000002E-3</v>
      </c>
      <c r="AG773" t="s">
        <v>95</v>
      </c>
      <c r="AX773" t="s">
        <v>108</v>
      </c>
      <c r="AY773" t="s">
        <v>160</v>
      </c>
      <c r="AZ773" t="s">
        <v>138</v>
      </c>
      <c r="BC773">
        <v>4</v>
      </c>
      <c r="BH773" t="s">
        <v>99</v>
      </c>
      <c r="BO773" t="s">
        <v>111</v>
      </c>
      <c r="CD773" t="s">
        <v>169</v>
      </c>
      <c r="CE773">
        <v>156339</v>
      </c>
      <c r="CF773" t="s">
        <v>170</v>
      </c>
      <c r="CG773" t="s">
        <v>171</v>
      </c>
      <c r="CH773">
        <v>2011</v>
      </c>
    </row>
    <row r="774" spans="1:86" hidden="1" x14ac:dyDescent="0.25">
      <c r="A774">
        <v>330541</v>
      </c>
      <c r="B774" t="s">
        <v>86</v>
      </c>
      <c r="D774" t="s">
        <v>115</v>
      </c>
      <c r="F774">
        <v>98</v>
      </c>
      <c r="K774" t="s">
        <v>764</v>
      </c>
      <c r="L774" t="s">
        <v>117</v>
      </c>
      <c r="M774" t="s">
        <v>759</v>
      </c>
      <c r="V774" t="s">
        <v>507</v>
      </c>
      <c r="W774" t="s">
        <v>107</v>
      </c>
      <c r="X774" t="s">
        <v>93</v>
      </c>
      <c r="Z774" t="s">
        <v>94</v>
      </c>
      <c r="AB774">
        <v>1.5920000000000001E-3</v>
      </c>
      <c r="AD774">
        <v>1E-3</v>
      </c>
      <c r="AF774">
        <v>2.3999999999999998E-3</v>
      </c>
      <c r="AG774" t="s">
        <v>95</v>
      </c>
      <c r="AX774" t="s">
        <v>108</v>
      </c>
      <c r="AY774" t="s">
        <v>160</v>
      </c>
      <c r="AZ774" t="s">
        <v>138</v>
      </c>
      <c r="BC774">
        <v>4</v>
      </c>
      <c r="BH774" t="s">
        <v>99</v>
      </c>
      <c r="BO774" t="s">
        <v>111</v>
      </c>
      <c r="CD774" t="s">
        <v>169</v>
      </c>
      <c r="CE774">
        <v>156339</v>
      </c>
      <c r="CF774" t="s">
        <v>170</v>
      </c>
      <c r="CG774" t="s">
        <v>171</v>
      </c>
      <c r="CH774">
        <v>2011</v>
      </c>
    </row>
    <row r="775" spans="1:86" hidden="1" x14ac:dyDescent="0.25">
      <c r="A775">
        <v>330541</v>
      </c>
      <c r="B775" t="s">
        <v>86</v>
      </c>
      <c r="D775" t="s">
        <v>115</v>
      </c>
      <c r="F775">
        <v>98</v>
      </c>
      <c r="K775" t="s">
        <v>765</v>
      </c>
      <c r="L775" t="s">
        <v>143</v>
      </c>
      <c r="M775" t="s">
        <v>759</v>
      </c>
      <c r="V775" t="s">
        <v>507</v>
      </c>
      <c r="W775" t="s">
        <v>107</v>
      </c>
      <c r="X775" t="s">
        <v>93</v>
      </c>
      <c r="Z775" t="s">
        <v>94</v>
      </c>
      <c r="AB775">
        <v>1.2E-2</v>
      </c>
      <c r="AD775">
        <v>7.4000000000000003E-3</v>
      </c>
      <c r="AF775">
        <v>1.9E-2</v>
      </c>
      <c r="AG775" t="s">
        <v>95</v>
      </c>
      <c r="AX775" t="s">
        <v>108</v>
      </c>
      <c r="AY775" t="s">
        <v>160</v>
      </c>
      <c r="AZ775" t="s">
        <v>138</v>
      </c>
      <c r="BC775">
        <v>4</v>
      </c>
      <c r="BH775" t="s">
        <v>99</v>
      </c>
      <c r="BO775" t="s">
        <v>111</v>
      </c>
      <c r="CD775" t="s">
        <v>169</v>
      </c>
      <c r="CE775">
        <v>156339</v>
      </c>
      <c r="CF775" t="s">
        <v>170</v>
      </c>
      <c r="CG775" t="s">
        <v>171</v>
      </c>
      <c r="CH775">
        <v>2011</v>
      </c>
    </row>
    <row r="776" spans="1:86" hidden="1" x14ac:dyDescent="0.25">
      <c r="A776">
        <v>330541</v>
      </c>
      <c r="B776" t="s">
        <v>86</v>
      </c>
      <c r="D776" t="s">
        <v>115</v>
      </c>
      <c r="K776" t="s">
        <v>766</v>
      </c>
      <c r="L776" t="s">
        <v>117</v>
      </c>
      <c r="M776" t="s">
        <v>759</v>
      </c>
      <c r="N776" t="s">
        <v>118</v>
      </c>
      <c r="V776" t="s">
        <v>91</v>
      </c>
      <c r="W776" t="s">
        <v>107</v>
      </c>
      <c r="X776" t="s">
        <v>93</v>
      </c>
      <c r="Z776" t="s">
        <v>137</v>
      </c>
      <c r="AB776">
        <v>8.4000000000000003E-4</v>
      </c>
      <c r="AD776">
        <v>7.1000000000000002E-4</v>
      </c>
      <c r="AF776">
        <v>9.5E-4</v>
      </c>
      <c r="AG776" t="s">
        <v>95</v>
      </c>
      <c r="AX776" t="s">
        <v>108</v>
      </c>
      <c r="AY776" t="s">
        <v>109</v>
      </c>
      <c r="AZ776" t="s">
        <v>138</v>
      </c>
      <c r="BC776">
        <v>4.1700000000000001E-2</v>
      </c>
      <c r="BH776" t="s">
        <v>99</v>
      </c>
      <c r="BO776" t="s">
        <v>111</v>
      </c>
      <c r="CD776" t="s">
        <v>760</v>
      </c>
      <c r="CE776">
        <v>103266</v>
      </c>
      <c r="CF776" t="s">
        <v>761</v>
      </c>
      <c r="CG776" t="s">
        <v>762</v>
      </c>
      <c r="CH776">
        <v>2008</v>
      </c>
    </row>
    <row r="777" spans="1:86" hidden="1" x14ac:dyDescent="0.25">
      <c r="A777">
        <v>330541</v>
      </c>
      <c r="B777" t="s">
        <v>86</v>
      </c>
      <c r="C777" t="s">
        <v>183</v>
      </c>
      <c r="D777" t="s">
        <v>115</v>
      </c>
      <c r="K777" t="s">
        <v>766</v>
      </c>
      <c r="L777" t="s">
        <v>117</v>
      </c>
      <c r="M777" t="s">
        <v>759</v>
      </c>
      <c r="N777" t="s">
        <v>118</v>
      </c>
      <c r="V777" t="s">
        <v>91</v>
      </c>
      <c r="W777" t="s">
        <v>107</v>
      </c>
      <c r="X777" t="s">
        <v>93</v>
      </c>
      <c r="Z777" t="s">
        <v>94</v>
      </c>
      <c r="AB777">
        <v>0.02</v>
      </c>
      <c r="AG777" t="s">
        <v>95</v>
      </c>
      <c r="AX777" t="s">
        <v>144</v>
      </c>
      <c r="AY777" t="s">
        <v>109</v>
      </c>
      <c r="AZ777" t="s">
        <v>185</v>
      </c>
      <c r="BC777">
        <v>6.25E-2</v>
      </c>
      <c r="BH777" t="s">
        <v>99</v>
      </c>
      <c r="BO777" t="s">
        <v>111</v>
      </c>
      <c r="CD777" t="s">
        <v>191</v>
      </c>
      <c r="CE777">
        <v>9211</v>
      </c>
      <c r="CF777" t="s">
        <v>192</v>
      </c>
      <c r="CG777" t="s">
        <v>193</v>
      </c>
      <c r="CH777">
        <v>1972</v>
      </c>
    </row>
    <row r="778" spans="1:86" hidden="1" x14ac:dyDescent="0.25">
      <c r="A778">
        <v>330541</v>
      </c>
      <c r="B778" t="s">
        <v>86</v>
      </c>
      <c r="D778" t="s">
        <v>115</v>
      </c>
      <c r="H778">
        <v>95</v>
      </c>
      <c r="J778">
        <v>99</v>
      </c>
      <c r="K778" t="s">
        <v>767</v>
      </c>
      <c r="L778" t="s">
        <v>89</v>
      </c>
      <c r="M778" t="s">
        <v>759</v>
      </c>
      <c r="N778" t="s">
        <v>118</v>
      </c>
      <c r="V778" t="s">
        <v>91</v>
      </c>
      <c r="W778" t="s">
        <v>92</v>
      </c>
      <c r="X778" t="s">
        <v>93</v>
      </c>
      <c r="Z778" t="s">
        <v>94</v>
      </c>
      <c r="AB778">
        <v>0.1165486</v>
      </c>
      <c r="AG778" t="s">
        <v>95</v>
      </c>
      <c r="AX778" t="s">
        <v>108</v>
      </c>
      <c r="AY778" t="s">
        <v>160</v>
      </c>
      <c r="AZ778" t="s">
        <v>185</v>
      </c>
      <c r="BE778">
        <v>7</v>
      </c>
      <c r="BG778">
        <v>15</v>
      </c>
      <c r="BH778" t="s">
        <v>99</v>
      </c>
      <c r="BO778" t="s">
        <v>111</v>
      </c>
      <c r="CD778" t="s">
        <v>768</v>
      </c>
      <c r="CE778">
        <v>71603</v>
      </c>
      <c r="CF778" t="s">
        <v>769</v>
      </c>
      <c r="CG778" t="s">
        <v>770</v>
      </c>
      <c r="CH778">
        <v>1997</v>
      </c>
    </row>
    <row r="779" spans="1:86" hidden="1" x14ac:dyDescent="0.25">
      <c r="A779">
        <v>330541</v>
      </c>
      <c r="B779" t="s">
        <v>86</v>
      </c>
      <c r="D779" t="s">
        <v>115</v>
      </c>
      <c r="H779">
        <v>95</v>
      </c>
      <c r="J779">
        <v>99</v>
      </c>
      <c r="K779" t="s">
        <v>767</v>
      </c>
      <c r="L779" t="s">
        <v>89</v>
      </c>
      <c r="M779" t="s">
        <v>759</v>
      </c>
      <c r="N779" t="s">
        <v>118</v>
      </c>
      <c r="V779" t="s">
        <v>91</v>
      </c>
      <c r="W779" t="s">
        <v>92</v>
      </c>
      <c r="X779" t="s">
        <v>93</v>
      </c>
      <c r="Z779" t="s">
        <v>94</v>
      </c>
      <c r="AB779">
        <v>9.3238880000000002</v>
      </c>
      <c r="AG779" t="s">
        <v>95</v>
      </c>
      <c r="AX779" t="s">
        <v>108</v>
      </c>
      <c r="AY779" t="s">
        <v>160</v>
      </c>
      <c r="AZ779" t="s">
        <v>185</v>
      </c>
      <c r="BE779">
        <v>7</v>
      </c>
      <c r="BG779">
        <v>15</v>
      </c>
      <c r="BH779" t="s">
        <v>99</v>
      </c>
      <c r="BO779" t="s">
        <v>111</v>
      </c>
      <c r="CD779" t="s">
        <v>768</v>
      </c>
      <c r="CE779">
        <v>71603</v>
      </c>
      <c r="CF779" t="s">
        <v>769</v>
      </c>
      <c r="CG779" t="s">
        <v>770</v>
      </c>
      <c r="CH779">
        <v>1997</v>
      </c>
    </row>
    <row r="780" spans="1:86" hidden="1" x14ac:dyDescent="0.25">
      <c r="A780">
        <v>330541</v>
      </c>
      <c r="B780" t="s">
        <v>86</v>
      </c>
      <c r="D780" t="s">
        <v>115</v>
      </c>
      <c r="H780">
        <v>95</v>
      </c>
      <c r="J780">
        <v>99</v>
      </c>
      <c r="K780" t="s">
        <v>767</v>
      </c>
      <c r="L780" t="s">
        <v>89</v>
      </c>
      <c r="M780" t="s">
        <v>759</v>
      </c>
      <c r="N780" t="s">
        <v>118</v>
      </c>
      <c r="V780" t="s">
        <v>91</v>
      </c>
      <c r="W780" t="s">
        <v>92</v>
      </c>
      <c r="X780" t="s">
        <v>93</v>
      </c>
      <c r="Z780" t="s">
        <v>94</v>
      </c>
      <c r="AB780">
        <v>0.1165486</v>
      </c>
      <c r="AG780" t="s">
        <v>95</v>
      </c>
      <c r="AX780" t="s">
        <v>108</v>
      </c>
      <c r="AY780" t="s">
        <v>160</v>
      </c>
      <c r="AZ780" t="s">
        <v>185</v>
      </c>
      <c r="BE780">
        <v>7</v>
      </c>
      <c r="BG780">
        <v>15</v>
      </c>
      <c r="BH780" t="s">
        <v>99</v>
      </c>
      <c r="BO780" t="s">
        <v>111</v>
      </c>
      <c r="CD780" t="s">
        <v>768</v>
      </c>
      <c r="CE780">
        <v>71603</v>
      </c>
      <c r="CF780" t="s">
        <v>769</v>
      </c>
      <c r="CG780" t="s">
        <v>770</v>
      </c>
      <c r="CH780">
        <v>1997</v>
      </c>
    </row>
    <row r="781" spans="1:86" hidden="1" x14ac:dyDescent="0.25">
      <c r="A781">
        <v>330541</v>
      </c>
      <c r="B781" t="s">
        <v>86</v>
      </c>
      <c r="C781" t="s">
        <v>183</v>
      </c>
      <c r="D781" t="s">
        <v>115</v>
      </c>
      <c r="K781" t="s">
        <v>766</v>
      </c>
      <c r="L781" t="s">
        <v>117</v>
      </c>
      <c r="M781" t="s">
        <v>759</v>
      </c>
      <c r="N781" t="s">
        <v>118</v>
      </c>
      <c r="V781" t="s">
        <v>91</v>
      </c>
      <c r="W781" t="s">
        <v>107</v>
      </c>
      <c r="X781" t="s">
        <v>93</v>
      </c>
      <c r="Z781" t="s">
        <v>94</v>
      </c>
      <c r="AB781">
        <v>0.03</v>
      </c>
      <c r="AG781" t="s">
        <v>95</v>
      </c>
      <c r="AX781" t="s">
        <v>108</v>
      </c>
      <c r="AY781" t="s">
        <v>160</v>
      </c>
      <c r="AZ781" t="s">
        <v>185</v>
      </c>
      <c r="BC781">
        <v>10</v>
      </c>
      <c r="BH781" t="s">
        <v>99</v>
      </c>
      <c r="BO781" t="s">
        <v>111</v>
      </c>
      <c r="CD781" t="s">
        <v>191</v>
      </c>
      <c r="CE781">
        <v>9211</v>
      </c>
      <c r="CF781" t="s">
        <v>192</v>
      </c>
      <c r="CG781" t="s">
        <v>193</v>
      </c>
      <c r="CH781">
        <v>1972</v>
      </c>
    </row>
    <row r="782" spans="1:86" hidden="1" x14ac:dyDescent="0.25">
      <c r="A782">
        <v>330541</v>
      </c>
      <c r="B782" t="s">
        <v>86</v>
      </c>
      <c r="D782" t="s">
        <v>115</v>
      </c>
      <c r="H782">
        <v>95</v>
      </c>
      <c r="J782">
        <v>99</v>
      </c>
      <c r="K782" t="s">
        <v>767</v>
      </c>
      <c r="L782" t="s">
        <v>89</v>
      </c>
      <c r="M782" t="s">
        <v>759</v>
      </c>
      <c r="N782" t="s">
        <v>118</v>
      </c>
      <c r="V782" t="s">
        <v>91</v>
      </c>
      <c r="W782" t="s">
        <v>92</v>
      </c>
      <c r="X782" t="s">
        <v>93</v>
      </c>
      <c r="Z782" t="s">
        <v>94</v>
      </c>
      <c r="AB782">
        <v>0.2330972</v>
      </c>
      <c r="AG782" t="s">
        <v>95</v>
      </c>
      <c r="AX782" t="s">
        <v>108</v>
      </c>
      <c r="AY782" t="s">
        <v>160</v>
      </c>
      <c r="AZ782" t="s">
        <v>185</v>
      </c>
      <c r="BE782">
        <v>7</v>
      </c>
      <c r="BG782">
        <v>15</v>
      </c>
      <c r="BH782" t="s">
        <v>99</v>
      </c>
      <c r="BO782" t="s">
        <v>111</v>
      </c>
      <c r="CD782" t="s">
        <v>768</v>
      </c>
      <c r="CE782">
        <v>71603</v>
      </c>
      <c r="CF782" t="s">
        <v>769</v>
      </c>
      <c r="CG782" t="s">
        <v>770</v>
      </c>
      <c r="CH782">
        <v>1997</v>
      </c>
    </row>
    <row r="783" spans="1:86" hidden="1" x14ac:dyDescent="0.25">
      <c r="A783">
        <v>330541</v>
      </c>
      <c r="B783" t="s">
        <v>86</v>
      </c>
      <c r="D783" t="s">
        <v>115</v>
      </c>
      <c r="H783">
        <v>95</v>
      </c>
      <c r="J783">
        <v>99</v>
      </c>
      <c r="K783" t="s">
        <v>767</v>
      </c>
      <c r="L783" t="s">
        <v>89</v>
      </c>
      <c r="M783" t="s">
        <v>759</v>
      </c>
      <c r="N783" t="s">
        <v>118</v>
      </c>
      <c r="V783" t="s">
        <v>91</v>
      </c>
      <c r="W783" t="s">
        <v>92</v>
      </c>
      <c r="X783" t="s">
        <v>93</v>
      </c>
      <c r="Z783" t="s">
        <v>94</v>
      </c>
      <c r="AB783">
        <v>0.34964580000000001</v>
      </c>
      <c r="AG783" t="s">
        <v>95</v>
      </c>
      <c r="AX783" t="s">
        <v>108</v>
      </c>
      <c r="AY783" t="s">
        <v>160</v>
      </c>
      <c r="AZ783" t="s">
        <v>185</v>
      </c>
      <c r="BE783">
        <v>7</v>
      </c>
      <c r="BG783">
        <v>15</v>
      </c>
      <c r="BH783" t="s">
        <v>99</v>
      </c>
      <c r="BO783" t="s">
        <v>111</v>
      </c>
      <c r="CD783" t="s">
        <v>768</v>
      </c>
      <c r="CE783">
        <v>71603</v>
      </c>
      <c r="CF783" t="s">
        <v>769</v>
      </c>
      <c r="CG783" t="s">
        <v>770</v>
      </c>
      <c r="CH783">
        <v>1997</v>
      </c>
    </row>
    <row r="784" spans="1:86" hidden="1" x14ac:dyDescent="0.25">
      <c r="A784">
        <v>330541</v>
      </c>
      <c r="B784" t="s">
        <v>86</v>
      </c>
      <c r="D784" t="s">
        <v>115</v>
      </c>
      <c r="H784">
        <v>95</v>
      </c>
      <c r="J784">
        <v>99</v>
      </c>
      <c r="K784" t="s">
        <v>767</v>
      </c>
      <c r="L784" t="s">
        <v>89</v>
      </c>
      <c r="M784" t="s">
        <v>759</v>
      </c>
      <c r="N784" t="s">
        <v>118</v>
      </c>
      <c r="V784" t="s">
        <v>91</v>
      </c>
      <c r="W784" t="s">
        <v>92</v>
      </c>
      <c r="X784" t="s">
        <v>93</v>
      </c>
      <c r="Z784" t="s">
        <v>94</v>
      </c>
      <c r="AB784">
        <v>2.0978748</v>
      </c>
      <c r="AG784" t="s">
        <v>95</v>
      </c>
      <c r="AX784" t="s">
        <v>108</v>
      </c>
      <c r="AY784" t="s">
        <v>160</v>
      </c>
      <c r="AZ784" t="s">
        <v>185</v>
      </c>
      <c r="BE784">
        <v>7</v>
      </c>
      <c r="BG784">
        <v>15</v>
      </c>
      <c r="BH784" t="s">
        <v>99</v>
      </c>
      <c r="BO784" t="s">
        <v>111</v>
      </c>
      <c r="CD784" t="s">
        <v>768</v>
      </c>
      <c r="CE784">
        <v>71603</v>
      </c>
      <c r="CF784" t="s">
        <v>769</v>
      </c>
      <c r="CG784" t="s">
        <v>770</v>
      </c>
      <c r="CH784">
        <v>1997</v>
      </c>
    </row>
    <row r="785" spans="1:86" hidden="1" x14ac:dyDescent="0.25">
      <c r="A785">
        <v>330541</v>
      </c>
      <c r="B785" t="s">
        <v>86</v>
      </c>
      <c r="D785" t="s">
        <v>115</v>
      </c>
      <c r="H785">
        <v>95</v>
      </c>
      <c r="J785">
        <v>99</v>
      </c>
      <c r="K785" t="s">
        <v>767</v>
      </c>
      <c r="L785" t="s">
        <v>89</v>
      </c>
      <c r="M785" t="s">
        <v>759</v>
      </c>
      <c r="N785" t="s">
        <v>118</v>
      </c>
      <c r="V785" t="s">
        <v>91</v>
      </c>
      <c r="W785" t="s">
        <v>92</v>
      </c>
      <c r="X785" t="s">
        <v>93</v>
      </c>
      <c r="Z785" t="s">
        <v>94</v>
      </c>
      <c r="AB785">
        <v>0.1165486</v>
      </c>
      <c r="AG785" t="s">
        <v>95</v>
      </c>
      <c r="AX785" t="s">
        <v>108</v>
      </c>
      <c r="AY785" t="s">
        <v>160</v>
      </c>
      <c r="AZ785" t="s">
        <v>185</v>
      </c>
      <c r="BE785">
        <v>7</v>
      </c>
      <c r="BG785">
        <v>15</v>
      </c>
      <c r="BH785" t="s">
        <v>99</v>
      </c>
      <c r="BO785" t="s">
        <v>111</v>
      </c>
      <c r="CD785" t="s">
        <v>768</v>
      </c>
      <c r="CE785">
        <v>71603</v>
      </c>
      <c r="CF785" t="s">
        <v>769</v>
      </c>
      <c r="CG785" t="s">
        <v>770</v>
      </c>
      <c r="CH785">
        <v>1997</v>
      </c>
    </row>
    <row r="786" spans="1:86" hidden="1" x14ac:dyDescent="0.25">
      <c r="A786">
        <v>330541</v>
      </c>
      <c r="B786" t="s">
        <v>86</v>
      </c>
      <c r="D786" t="s">
        <v>115</v>
      </c>
      <c r="H786">
        <v>95</v>
      </c>
      <c r="J786">
        <v>99</v>
      </c>
      <c r="K786" t="s">
        <v>767</v>
      </c>
      <c r="L786" t="s">
        <v>89</v>
      </c>
      <c r="M786" t="s">
        <v>759</v>
      </c>
      <c r="N786" t="s">
        <v>118</v>
      </c>
      <c r="V786" t="s">
        <v>91</v>
      </c>
      <c r="W786" t="s">
        <v>92</v>
      </c>
      <c r="X786" t="s">
        <v>93</v>
      </c>
      <c r="Z786" t="s">
        <v>94</v>
      </c>
      <c r="AB786">
        <v>0.69929160000000001</v>
      </c>
      <c r="AG786" t="s">
        <v>95</v>
      </c>
      <c r="AX786" t="s">
        <v>108</v>
      </c>
      <c r="AY786" t="s">
        <v>160</v>
      </c>
      <c r="AZ786" t="s">
        <v>185</v>
      </c>
      <c r="BE786">
        <v>7</v>
      </c>
      <c r="BG786">
        <v>15</v>
      </c>
      <c r="BH786" t="s">
        <v>99</v>
      </c>
      <c r="BO786" t="s">
        <v>111</v>
      </c>
      <c r="CD786" t="s">
        <v>768</v>
      </c>
      <c r="CE786">
        <v>71603</v>
      </c>
      <c r="CF786" t="s">
        <v>769</v>
      </c>
      <c r="CG786" t="s">
        <v>770</v>
      </c>
      <c r="CH786">
        <v>1997</v>
      </c>
    </row>
    <row r="787" spans="1:86" hidden="1" x14ac:dyDescent="0.25">
      <c r="A787">
        <v>330541</v>
      </c>
      <c r="B787" t="s">
        <v>86</v>
      </c>
      <c r="D787" t="s">
        <v>115</v>
      </c>
      <c r="H787">
        <v>95</v>
      </c>
      <c r="J787">
        <v>99</v>
      </c>
      <c r="K787" t="s">
        <v>767</v>
      </c>
      <c r="L787" t="s">
        <v>89</v>
      </c>
      <c r="M787" t="s">
        <v>759</v>
      </c>
      <c r="N787" t="s">
        <v>118</v>
      </c>
      <c r="V787" t="s">
        <v>91</v>
      </c>
      <c r="W787" t="s">
        <v>92</v>
      </c>
      <c r="X787" t="s">
        <v>93</v>
      </c>
      <c r="Z787" t="s">
        <v>94</v>
      </c>
      <c r="AB787">
        <v>0.69929160000000001</v>
      </c>
      <c r="AG787" t="s">
        <v>95</v>
      </c>
      <c r="AX787" t="s">
        <v>108</v>
      </c>
      <c r="AY787" t="s">
        <v>160</v>
      </c>
      <c r="AZ787" t="s">
        <v>185</v>
      </c>
      <c r="BE787">
        <v>7</v>
      </c>
      <c r="BG787">
        <v>15</v>
      </c>
      <c r="BH787" t="s">
        <v>99</v>
      </c>
      <c r="BO787" t="s">
        <v>111</v>
      </c>
      <c r="CD787" t="s">
        <v>768</v>
      </c>
      <c r="CE787">
        <v>71603</v>
      </c>
      <c r="CF787" t="s">
        <v>769</v>
      </c>
      <c r="CG787" t="s">
        <v>770</v>
      </c>
      <c r="CH787">
        <v>1997</v>
      </c>
    </row>
    <row r="788" spans="1:86" hidden="1" x14ac:dyDescent="0.25">
      <c r="A788">
        <v>330541</v>
      </c>
      <c r="B788" t="s">
        <v>86</v>
      </c>
      <c r="D788" t="s">
        <v>115</v>
      </c>
      <c r="H788">
        <v>95</v>
      </c>
      <c r="J788">
        <v>99</v>
      </c>
      <c r="K788" t="s">
        <v>767</v>
      </c>
      <c r="L788" t="s">
        <v>89</v>
      </c>
      <c r="M788" t="s">
        <v>759</v>
      </c>
      <c r="N788" t="s">
        <v>118</v>
      </c>
      <c r="V788" t="s">
        <v>91</v>
      </c>
      <c r="W788" t="s">
        <v>92</v>
      </c>
      <c r="X788" t="s">
        <v>93</v>
      </c>
      <c r="Z788" t="s">
        <v>94</v>
      </c>
      <c r="AB788">
        <v>0.69929160000000001</v>
      </c>
      <c r="AG788" t="s">
        <v>95</v>
      </c>
      <c r="AX788" t="s">
        <v>108</v>
      </c>
      <c r="AY788" t="s">
        <v>160</v>
      </c>
      <c r="AZ788" t="s">
        <v>185</v>
      </c>
      <c r="BE788">
        <v>7</v>
      </c>
      <c r="BG788">
        <v>15</v>
      </c>
      <c r="BH788" t="s">
        <v>99</v>
      </c>
      <c r="BO788" t="s">
        <v>111</v>
      </c>
      <c r="CD788" t="s">
        <v>768</v>
      </c>
      <c r="CE788">
        <v>71603</v>
      </c>
      <c r="CF788" t="s">
        <v>769</v>
      </c>
      <c r="CG788" t="s">
        <v>770</v>
      </c>
      <c r="CH788">
        <v>1997</v>
      </c>
    </row>
    <row r="789" spans="1:86" hidden="1" x14ac:dyDescent="0.25">
      <c r="A789">
        <v>330541</v>
      </c>
      <c r="B789" t="s">
        <v>86</v>
      </c>
      <c r="C789" t="s">
        <v>183</v>
      </c>
      <c r="D789" t="s">
        <v>115</v>
      </c>
      <c r="K789" t="s">
        <v>771</v>
      </c>
      <c r="L789" t="s">
        <v>89</v>
      </c>
      <c r="M789" t="s">
        <v>759</v>
      </c>
      <c r="N789" t="s">
        <v>118</v>
      </c>
      <c r="V789" t="s">
        <v>91</v>
      </c>
      <c r="W789" t="s">
        <v>107</v>
      </c>
      <c r="X789" t="s">
        <v>93</v>
      </c>
      <c r="Z789" t="s">
        <v>94</v>
      </c>
      <c r="AB789">
        <v>0.05</v>
      </c>
      <c r="AG789" t="s">
        <v>95</v>
      </c>
      <c r="AX789" t="s">
        <v>108</v>
      </c>
      <c r="AY789" t="s">
        <v>160</v>
      </c>
      <c r="AZ789" t="s">
        <v>185</v>
      </c>
      <c r="BC789">
        <v>10</v>
      </c>
      <c r="BH789" t="s">
        <v>99</v>
      </c>
      <c r="BO789" t="s">
        <v>111</v>
      </c>
      <c r="CD789" t="s">
        <v>191</v>
      </c>
      <c r="CE789">
        <v>9211</v>
      </c>
      <c r="CF789" t="s">
        <v>192</v>
      </c>
      <c r="CG789" t="s">
        <v>193</v>
      </c>
      <c r="CH789">
        <v>1972</v>
      </c>
    </row>
    <row r="790" spans="1:86" hidden="1" x14ac:dyDescent="0.25">
      <c r="A790">
        <v>330541</v>
      </c>
      <c r="B790" t="s">
        <v>86</v>
      </c>
      <c r="D790" t="s">
        <v>115</v>
      </c>
      <c r="H790">
        <v>95</v>
      </c>
      <c r="J790">
        <v>99</v>
      </c>
      <c r="K790" t="s">
        <v>767</v>
      </c>
      <c r="L790" t="s">
        <v>89</v>
      </c>
      <c r="M790" t="s">
        <v>759</v>
      </c>
      <c r="N790" t="s">
        <v>118</v>
      </c>
      <c r="V790" t="s">
        <v>91</v>
      </c>
      <c r="W790" t="s">
        <v>92</v>
      </c>
      <c r="X790" t="s">
        <v>93</v>
      </c>
      <c r="Z790" t="s">
        <v>94</v>
      </c>
      <c r="AB790">
        <v>0.69929160000000001</v>
      </c>
      <c r="AG790" t="s">
        <v>95</v>
      </c>
      <c r="AX790" t="s">
        <v>108</v>
      </c>
      <c r="AY790" t="s">
        <v>160</v>
      </c>
      <c r="AZ790" t="s">
        <v>185</v>
      </c>
      <c r="BE790">
        <v>7</v>
      </c>
      <c r="BG790">
        <v>15</v>
      </c>
      <c r="BH790" t="s">
        <v>99</v>
      </c>
      <c r="BO790" t="s">
        <v>111</v>
      </c>
      <c r="CD790" t="s">
        <v>768</v>
      </c>
      <c r="CE790">
        <v>71603</v>
      </c>
      <c r="CF790" t="s">
        <v>769</v>
      </c>
      <c r="CG790" t="s">
        <v>770</v>
      </c>
      <c r="CH790">
        <v>1997</v>
      </c>
    </row>
    <row r="791" spans="1:86" hidden="1" x14ac:dyDescent="0.25">
      <c r="A791">
        <v>330541</v>
      </c>
      <c r="B791" t="s">
        <v>86</v>
      </c>
      <c r="C791" t="s">
        <v>183</v>
      </c>
      <c r="D791" t="s">
        <v>115</v>
      </c>
      <c r="K791" t="s">
        <v>771</v>
      </c>
      <c r="L791" t="s">
        <v>89</v>
      </c>
      <c r="M791" t="s">
        <v>759</v>
      </c>
      <c r="N791" t="s">
        <v>118</v>
      </c>
      <c r="V791" t="s">
        <v>91</v>
      </c>
      <c r="W791" t="s">
        <v>107</v>
      </c>
      <c r="X791" t="s">
        <v>93</v>
      </c>
      <c r="Z791" t="s">
        <v>94</v>
      </c>
      <c r="AB791">
        <v>0.03</v>
      </c>
      <c r="AG791" t="s">
        <v>95</v>
      </c>
      <c r="AX791" t="s">
        <v>144</v>
      </c>
      <c r="AY791" t="s">
        <v>109</v>
      </c>
      <c r="AZ791" t="s">
        <v>185</v>
      </c>
      <c r="BC791">
        <v>6.25E-2</v>
      </c>
      <c r="BH791" t="s">
        <v>99</v>
      </c>
      <c r="BO791" t="s">
        <v>111</v>
      </c>
      <c r="CD791" t="s">
        <v>191</v>
      </c>
      <c r="CE791">
        <v>9211</v>
      </c>
      <c r="CF791" t="s">
        <v>192</v>
      </c>
      <c r="CG791" t="s">
        <v>193</v>
      </c>
      <c r="CH791">
        <v>1972</v>
      </c>
    </row>
    <row r="792" spans="1:86" hidden="1" x14ac:dyDescent="0.25">
      <c r="A792">
        <v>330541</v>
      </c>
      <c r="B792" t="s">
        <v>86</v>
      </c>
      <c r="D792" t="s">
        <v>115</v>
      </c>
      <c r="H792">
        <v>95</v>
      </c>
      <c r="J792">
        <v>99</v>
      </c>
      <c r="K792" t="s">
        <v>767</v>
      </c>
      <c r="L792" t="s">
        <v>89</v>
      </c>
      <c r="M792" t="s">
        <v>759</v>
      </c>
      <c r="N792" t="s">
        <v>118</v>
      </c>
      <c r="V792" t="s">
        <v>91</v>
      </c>
      <c r="W792" t="s">
        <v>92</v>
      </c>
      <c r="X792" t="s">
        <v>93</v>
      </c>
      <c r="Z792" t="s">
        <v>94</v>
      </c>
      <c r="AB792">
        <v>0.69929160000000001</v>
      </c>
      <c r="AG792" t="s">
        <v>95</v>
      </c>
      <c r="AX792" t="s">
        <v>108</v>
      </c>
      <c r="AY792" t="s">
        <v>160</v>
      </c>
      <c r="AZ792" t="s">
        <v>185</v>
      </c>
      <c r="BE792">
        <v>7</v>
      </c>
      <c r="BG792">
        <v>15</v>
      </c>
      <c r="BH792" t="s">
        <v>99</v>
      </c>
      <c r="BO792" t="s">
        <v>111</v>
      </c>
      <c r="CD792" t="s">
        <v>768</v>
      </c>
      <c r="CE792">
        <v>71603</v>
      </c>
      <c r="CF792" t="s">
        <v>769</v>
      </c>
      <c r="CG792" t="s">
        <v>770</v>
      </c>
      <c r="CH792">
        <v>1997</v>
      </c>
    </row>
    <row r="793" spans="1:86" hidden="1" x14ac:dyDescent="0.25">
      <c r="A793">
        <v>330541</v>
      </c>
      <c r="B793" t="s">
        <v>86</v>
      </c>
      <c r="D793" t="s">
        <v>105</v>
      </c>
      <c r="K793" t="s">
        <v>767</v>
      </c>
      <c r="L793" t="s">
        <v>89</v>
      </c>
      <c r="M793" t="s">
        <v>759</v>
      </c>
      <c r="N793" t="s">
        <v>118</v>
      </c>
      <c r="V793" t="s">
        <v>91</v>
      </c>
      <c r="W793" t="s">
        <v>92</v>
      </c>
      <c r="X793" t="s">
        <v>93</v>
      </c>
      <c r="Y793">
        <v>13</v>
      </c>
      <c r="Z793" t="s">
        <v>137</v>
      </c>
      <c r="AB793">
        <v>2.7971664E-2</v>
      </c>
      <c r="AD793">
        <v>2.5640692E-2</v>
      </c>
      <c r="AF793">
        <v>3.2633608000000001E-2</v>
      </c>
      <c r="AG793" t="s">
        <v>95</v>
      </c>
      <c r="AX793" t="s">
        <v>108</v>
      </c>
      <c r="AY793" t="s">
        <v>438</v>
      </c>
      <c r="AZ793" t="s">
        <v>214</v>
      </c>
      <c r="BC793">
        <v>1</v>
      </c>
      <c r="BH793" t="s">
        <v>99</v>
      </c>
      <c r="BO793" t="s">
        <v>111</v>
      </c>
      <c r="CD793" t="s">
        <v>772</v>
      </c>
      <c r="CE793">
        <v>160529</v>
      </c>
      <c r="CF793" t="s">
        <v>773</v>
      </c>
      <c r="CG793" t="s">
        <v>774</v>
      </c>
      <c r="CH793">
        <v>2012</v>
      </c>
    </row>
    <row r="794" spans="1:86" hidden="1" x14ac:dyDescent="0.25">
      <c r="A794">
        <v>330541</v>
      </c>
      <c r="B794" t="s">
        <v>86</v>
      </c>
      <c r="D794" t="s">
        <v>105</v>
      </c>
      <c r="K794" t="s">
        <v>767</v>
      </c>
      <c r="L794" t="s">
        <v>89</v>
      </c>
      <c r="M794" t="s">
        <v>759</v>
      </c>
      <c r="N794" t="s">
        <v>118</v>
      </c>
      <c r="V794" t="s">
        <v>91</v>
      </c>
      <c r="W794" t="s">
        <v>92</v>
      </c>
      <c r="X794" t="s">
        <v>93</v>
      </c>
      <c r="Y794">
        <v>13</v>
      </c>
      <c r="Z794" t="s">
        <v>137</v>
      </c>
      <c r="AB794">
        <v>1.93470676E-2</v>
      </c>
      <c r="AD794">
        <v>1.23541516E-2</v>
      </c>
      <c r="AF794">
        <v>3.0302636000000001E-2</v>
      </c>
      <c r="AG794" t="s">
        <v>95</v>
      </c>
      <c r="AX794" t="s">
        <v>108</v>
      </c>
      <c r="AY794" t="s">
        <v>617</v>
      </c>
      <c r="AZ794" t="s">
        <v>214</v>
      </c>
      <c r="BC794">
        <v>0.25</v>
      </c>
      <c r="BH794" t="s">
        <v>99</v>
      </c>
      <c r="BO794" t="s">
        <v>111</v>
      </c>
      <c r="CD794" t="s">
        <v>772</v>
      </c>
      <c r="CE794">
        <v>160529</v>
      </c>
      <c r="CF794" t="s">
        <v>773</v>
      </c>
      <c r="CG794" t="s">
        <v>774</v>
      </c>
      <c r="CH794">
        <v>2012</v>
      </c>
    </row>
    <row r="795" spans="1:86" hidden="1" x14ac:dyDescent="0.25">
      <c r="A795">
        <v>330541</v>
      </c>
      <c r="B795" t="s">
        <v>86</v>
      </c>
      <c r="D795" t="s">
        <v>105</v>
      </c>
      <c r="K795" t="s">
        <v>767</v>
      </c>
      <c r="L795" t="s">
        <v>89</v>
      </c>
      <c r="M795" t="s">
        <v>759</v>
      </c>
      <c r="N795" t="s">
        <v>118</v>
      </c>
      <c r="V795" t="s">
        <v>91</v>
      </c>
      <c r="W795" t="s">
        <v>92</v>
      </c>
      <c r="X795" t="s">
        <v>93</v>
      </c>
      <c r="Y795">
        <v>13</v>
      </c>
      <c r="Z795" t="s">
        <v>137</v>
      </c>
      <c r="AB795">
        <v>1.8647776000000001E-2</v>
      </c>
      <c r="AD795">
        <v>1.44520264E-2</v>
      </c>
      <c r="AF795">
        <v>2.3309719999999999E-2</v>
      </c>
      <c r="AG795" t="s">
        <v>95</v>
      </c>
      <c r="AX795" t="s">
        <v>108</v>
      </c>
      <c r="AY795" t="s">
        <v>438</v>
      </c>
      <c r="AZ795" t="s">
        <v>214</v>
      </c>
      <c r="BC795">
        <v>0.25</v>
      </c>
      <c r="BH795" t="s">
        <v>99</v>
      </c>
      <c r="BO795" t="s">
        <v>111</v>
      </c>
      <c r="CD795" t="s">
        <v>772</v>
      </c>
      <c r="CE795">
        <v>160529</v>
      </c>
      <c r="CF795" t="s">
        <v>773</v>
      </c>
      <c r="CG795" t="s">
        <v>774</v>
      </c>
      <c r="CH795">
        <v>2012</v>
      </c>
    </row>
    <row r="796" spans="1:86" hidden="1" x14ac:dyDescent="0.25">
      <c r="A796">
        <v>330541</v>
      </c>
      <c r="B796" t="s">
        <v>86</v>
      </c>
      <c r="D796" t="s">
        <v>115</v>
      </c>
      <c r="K796" t="s">
        <v>767</v>
      </c>
      <c r="L796" t="s">
        <v>89</v>
      </c>
      <c r="M796" t="s">
        <v>759</v>
      </c>
      <c r="V796" t="s">
        <v>91</v>
      </c>
      <c r="W796" t="s">
        <v>92</v>
      </c>
      <c r="X796" t="s">
        <v>93</v>
      </c>
      <c r="Y796">
        <v>10</v>
      </c>
      <c r="Z796" t="s">
        <v>137</v>
      </c>
      <c r="AB796">
        <v>1.9113970399999999E-2</v>
      </c>
      <c r="AD796">
        <v>1.6549901200000001E-2</v>
      </c>
      <c r="AF796">
        <v>2.2144233999999999E-2</v>
      </c>
      <c r="AG796" t="s">
        <v>95</v>
      </c>
      <c r="AX796" t="s">
        <v>144</v>
      </c>
      <c r="AY796" t="s">
        <v>109</v>
      </c>
      <c r="AZ796" t="s">
        <v>214</v>
      </c>
      <c r="BC796">
        <v>0.25</v>
      </c>
      <c r="BH796" t="s">
        <v>99</v>
      </c>
      <c r="BO796" t="s">
        <v>111</v>
      </c>
      <c r="CD796" t="s">
        <v>775</v>
      </c>
      <c r="CE796">
        <v>172392</v>
      </c>
      <c r="CF796" t="s">
        <v>776</v>
      </c>
      <c r="CG796" t="s">
        <v>777</v>
      </c>
      <c r="CH796">
        <v>2015</v>
      </c>
    </row>
    <row r="797" spans="1:86" hidden="1" x14ac:dyDescent="0.25">
      <c r="A797">
        <v>330541</v>
      </c>
      <c r="B797" t="s">
        <v>86</v>
      </c>
      <c r="D797" t="s">
        <v>115</v>
      </c>
      <c r="K797" t="s">
        <v>766</v>
      </c>
      <c r="L797" t="s">
        <v>117</v>
      </c>
      <c r="M797" t="s">
        <v>759</v>
      </c>
      <c r="V797" t="s">
        <v>91</v>
      </c>
      <c r="W797" t="s">
        <v>107</v>
      </c>
      <c r="X797" t="s">
        <v>93</v>
      </c>
      <c r="Z797" t="s">
        <v>137</v>
      </c>
      <c r="AB797">
        <v>0.05</v>
      </c>
      <c r="AG797" t="s">
        <v>95</v>
      </c>
      <c r="AX797" t="s">
        <v>144</v>
      </c>
      <c r="AY797" t="s">
        <v>109</v>
      </c>
      <c r="AZ797" t="s">
        <v>214</v>
      </c>
      <c r="BC797">
        <v>6.25E-2</v>
      </c>
      <c r="BH797" t="s">
        <v>99</v>
      </c>
      <c r="BO797" t="s">
        <v>111</v>
      </c>
      <c r="CD797" t="s">
        <v>229</v>
      </c>
      <c r="CE797">
        <v>8860</v>
      </c>
      <c r="CF797" t="s">
        <v>230</v>
      </c>
      <c r="CG797" t="s">
        <v>231</v>
      </c>
      <c r="CH797">
        <v>1973</v>
      </c>
    </row>
    <row r="798" spans="1:86" hidden="1" x14ac:dyDescent="0.25">
      <c r="A798">
        <v>330541</v>
      </c>
      <c r="B798" t="s">
        <v>86</v>
      </c>
      <c r="D798" t="s">
        <v>115</v>
      </c>
      <c r="K798" t="s">
        <v>767</v>
      </c>
      <c r="L798" t="s">
        <v>89</v>
      </c>
      <c r="M798" t="s">
        <v>759</v>
      </c>
      <c r="V798" t="s">
        <v>91</v>
      </c>
      <c r="W798" t="s">
        <v>92</v>
      </c>
      <c r="X798" t="s">
        <v>93</v>
      </c>
      <c r="Z798" t="s">
        <v>137</v>
      </c>
      <c r="AB798">
        <v>0.10605922600000001</v>
      </c>
      <c r="AG798" t="s">
        <v>95</v>
      </c>
      <c r="AX798" t="s">
        <v>108</v>
      </c>
      <c r="AY798" t="s">
        <v>160</v>
      </c>
      <c r="AZ798" t="s">
        <v>214</v>
      </c>
      <c r="BC798">
        <v>2</v>
      </c>
      <c r="BH798" t="s">
        <v>99</v>
      </c>
      <c r="BO798" t="s">
        <v>111</v>
      </c>
      <c r="CD798" t="s">
        <v>778</v>
      </c>
      <c r="CE798">
        <v>172723</v>
      </c>
      <c r="CF798" t="s">
        <v>779</v>
      </c>
      <c r="CG798" t="s">
        <v>780</v>
      </c>
      <c r="CH798">
        <v>2012</v>
      </c>
    </row>
    <row r="799" spans="1:86" hidden="1" x14ac:dyDescent="0.25">
      <c r="A799">
        <v>330541</v>
      </c>
      <c r="B799" t="s">
        <v>86</v>
      </c>
      <c r="D799" t="s">
        <v>115</v>
      </c>
      <c r="K799" t="s">
        <v>781</v>
      </c>
      <c r="L799" t="s">
        <v>89</v>
      </c>
      <c r="M799" t="s">
        <v>759</v>
      </c>
      <c r="V799" t="s">
        <v>91</v>
      </c>
      <c r="W799" t="s">
        <v>92</v>
      </c>
      <c r="X799" t="s">
        <v>93</v>
      </c>
      <c r="Z799" t="s">
        <v>137</v>
      </c>
      <c r="AB799">
        <v>7.2999999999999995E-2</v>
      </c>
      <c r="AG799" t="s">
        <v>95</v>
      </c>
      <c r="AX799" t="s">
        <v>108</v>
      </c>
      <c r="AY799" t="s">
        <v>109</v>
      </c>
      <c r="AZ799" t="s">
        <v>214</v>
      </c>
      <c r="BD799" t="s">
        <v>149</v>
      </c>
      <c r="BE799">
        <v>3.4000000000000002E-2</v>
      </c>
      <c r="BF799" t="s">
        <v>499</v>
      </c>
      <c r="BG799">
        <v>5.4899999999999997E-2</v>
      </c>
      <c r="BH799" t="s">
        <v>99</v>
      </c>
      <c r="BO799" t="s">
        <v>111</v>
      </c>
      <c r="CD799" t="s">
        <v>782</v>
      </c>
      <c r="CE799">
        <v>119380</v>
      </c>
      <c r="CF799" t="s">
        <v>783</v>
      </c>
      <c r="CG799" t="s">
        <v>784</v>
      </c>
      <c r="CH799">
        <v>2006</v>
      </c>
    </row>
    <row r="800" spans="1:86" hidden="1" x14ac:dyDescent="0.25">
      <c r="A800">
        <v>330541</v>
      </c>
      <c r="B800" t="s">
        <v>86</v>
      </c>
      <c r="D800" t="s">
        <v>115</v>
      </c>
      <c r="F800">
        <v>50</v>
      </c>
      <c r="K800" t="s">
        <v>758</v>
      </c>
      <c r="L800" t="s">
        <v>89</v>
      </c>
      <c r="M800" t="s">
        <v>759</v>
      </c>
      <c r="V800" t="s">
        <v>91</v>
      </c>
      <c r="W800" t="s">
        <v>92</v>
      </c>
      <c r="X800" t="s">
        <v>93</v>
      </c>
      <c r="Z800" t="s">
        <v>137</v>
      </c>
      <c r="AB800">
        <v>4.3E-3</v>
      </c>
      <c r="AG800" t="s">
        <v>95</v>
      </c>
      <c r="AX800" t="s">
        <v>108</v>
      </c>
      <c r="AY800" t="s">
        <v>160</v>
      </c>
      <c r="AZ800" t="s">
        <v>214</v>
      </c>
      <c r="BC800">
        <v>4</v>
      </c>
      <c r="BH800" t="s">
        <v>99</v>
      </c>
      <c r="BO800" t="s">
        <v>111</v>
      </c>
      <c r="CD800" t="s">
        <v>785</v>
      </c>
      <c r="CE800">
        <v>65938</v>
      </c>
      <c r="CF800" t="s">
        <v>786</v>
      </c>
      <c r="CG800" t="s">
        <v>787</v>
      </c>
      <c r="CH800">
        <v>2002</v>
      </c>
    </row>
    <row r="801" spans="1:86" hidden="1" x14ac:dyDescent="0.25">
      <c r="A801">
        <v>330541</v>
      </c>
      <c r="B801" t="s">
        <v>86</v>
      </c>
      <c r="C801" t="s">
        <v>788</v>
      </c>
      <c r="D801" t="s">
        <v>115</v>
      </c>
      <c r="K801" t="s">
        <v>771</v>
      </c>
      <c r="L801" t="s">
        <v>89</v>
      </c>
      <c r="M801" t="s">
        <v>759</v>
      </c>
      <c r="V801" t="s">
        <v>91</v>
      </c>
      <c r="W801" t="s">
        <v>107</v>
      </c>
      <c r="X801" t="s">
        <v>93</v>
      </c>
      <c r="Z801" t="s">
        <v>94</v>
      </c>
      <c r="AB801" s="281">
        <v>2.8000000000000001E-2</v>
      </c>
      <c r="AG801" t="s">
        <v>95</v>
      </c>
      <c r="AX801" t="s">
        <v>108</v>
      </c>
      <c r="AY801" t="s">
        <v>109</v>
      </c>
      <c r="AZ801" t="s">
        <v>214</v>
      </c>
      <c r="BC801">
        <v>4.1700000000000001E-2</v>
      </c>
      <c r="BH801" t="s">
        <v>99</v>
      </c>
      <c r="BO801" t="s">
        <v>111</v>
      </c>
      <c r="CD801" t="s">
        <v>789</v>
      </c>
      <c r="CE801">
        <v>66270</v>
      </c>
      <c r="CF801" t="s">
        <v>790</v>
      </c>
      <c r="CG801" t="s">
        <v>791</v>
      </c>
      <c r="CH801">
        <v>1983</v>
      </c>
    </row>
    <row r="802" spans="1:86" hidden="1" x14ac:dyDescent="0.25">
      <c r="A802">
        <v>330541</v>
      </c>
      <c r="B802" t="s">
        <v>86</v>
      </c>
      <c r="C802" t="s">
        <v>158</v>
      </c>
      <c r="D802" t="s">
        <v>115</v>
      </c>
      <c r="K802" t="s">
        <v>792</v>
      </c>
      <c r="L802" t="s">
        <v>793</v>
      </c>
      <c r="M802" t="s">
        <v>759</v>
      </c>
      <c r="N802" t="s">
        <v>794</v>
      </c>
      <c r="V802" t="s">
        <v>91</v>
      </c>
      <c r="W802" t="s">
        <v>107</v>
      </c>
      <c r="X802" t="s">
        <v>93</v>
      </c>
      <c r="Y802">
        <v>2</v>
      </c>
      <c r="Z802" t="s">
        <v>94</v>
      </c>
      <c r="AB802">
        <v>1.65E-3</v>
      </c>
      <c r="AG802" t="s">
        <v>95</v>
      </c>
      <c r="AX802" t="s">
        <v>144</v>
      </c>
      <c r="AY802" t="s">
        <v>438</v>
      </c>
      <c r="AZ802" t="s">
        <v>214</v>
      </c>
      <c r="BC802">
        <v>2</v>
      </c>
      <c r="BH802" t="s">
        <v>99</v>
      </c>
      <c r="BO802" t="s">
        <v>111</v>
      </c>
      <c r="CD802" t="s">
        <v>795</v>
      </c>
      <c r="CE802">
        <v>90414</v>
      </c>
      <c r="CF802" t="s">
        <v>796</v>
      </c>
      <c r="CG802" t="s">
        <v>797</v>
      </c>
      <c r="CH802">
        <v>2006</v>
      </c>
    </row>
    <row r="803" spans="1:86" hidden="1" x14ac:dyDescent="0.25">
      <c r="A803">
        <v>330541</v>
      </c>
      <c r="B803" t="s">
        <v>86</v>
      </c>
      <c r="D803" t="s">
        <v>115</v>
      </c>
      <c r="K803" t="s">
        <v>767</v>
      </c>
      <c r="L803" t="s">
        <v>89</v>
      </c>
      <c r="M803" t="s">
        <v>759</v>
      </c>
      <c r="V803" t="s">
        <v>91</v>
      </c>
      <c r="W803" t="s">
        <v>92</v>
      </c>
      <c r="X803" t="s">
        <v>93</v>
      </c>
      <c r="Z803" t="s">
        <v>137</v>
      </c>
      <c r="AB803">
        <v>9.6269143599999996E-2</v>
      </c>
      <c r="AG803" t="s">
        <v>95</v>
      </c>
      <c r="AX803" t="s">
        <v>108</v>
      </c>
      <c r="AY803" t="s">
        <v>160</v>
      </c>
      <c r="AZ803" t="s">
        <v>214</v>
      </c>
      <c r="BC803">
        <v>2</v>
      </c>
      <c r="BH803" t="s">
        <v>99</v>
      </c>
      <c r="BO803" t="s">
        <v>111</v>
      </c>
      <c r="CD803" t="s">
        <v>778</v>
      </c>
      <c r="CE803">
        <v>172723</v>
      </c>
      <c r="CF803" t="s">
        <v>779</v>
      </c>
      <c r="CG803" t="s">
        <v>780</v>
      </c>
      <c r="CH803">
        <v>2012</v>
      </c>
    </row>
    <row r="804" spans="1:86" hidden="1" x14ac:dyDescent="0.25">
      <c r="A804">
        <v>330541</v>
      </c>
      <c r="B804" t="s">
        <v>86</v>
      </c>
      <c r="D804" t="s">
        <v>115</v>
      </c>
      <c r="F804">
        <v>98</v>
      </c>
      <c r="K804" t="s">
        <v>763</v>
      </c>
      <c r="L804" t="s">
        <v>117</v>
      </c>
      <c r="M804" t="s">
        <v>759</v>
      </c>
      <c r="V804" t="s">
        <v>507</v>
      </c>
      <c r="W804" t="s">
        <v>107</v>
      </c>
      <c r="X804" t="s">
        <v>93</v>
      </c>
      <c r="Z804" t="s">
        <v>94</v>
      </c>
      <c r="AB804" s="281">
        <v>5.8999999999999999E-3</v>
      </c>
      <c r="AD804">
        <v>4.7000000000000002E-3</v>
      </c>
      <c r="AF804">
        <v>7.4000000000000003E-3</v>
      </c>
      <c r="AG804" t="s">
        <v>95</v>
      </c>
      <c r="AX804" t="s">
        <v>108</v>
      </c>
      <c r="AY804" t="s">
        <v>160</v>
      </c>
      <c r="AZ804" t="s">
        <v>214</v>
      </c>
      <c r="BC804">
        <v>4</v>
      </c>
      <c r="BH804" t="s">
        <v>99</v>
      </c>
      <c r="BO804" t="s">
        <v>111</v>
      </c>
      <c r="CD804" t="s">
        <v>169</v>
      </c>
      <c r="CE804">
        <v>156339</v>
      </c>
      <c r="CF804" t="s">
        <v>170</v>
      </c>
      <c r="CG804" t="s">
        <v>171</v>
      </c>
      <c r="CH804">
        <v>2011</v>
      </c>
    </row>
    <row r="805" spans="1:86" hidden="1" x14ac:dyDescent="0.25">
      <c r="A805">
        <v>330541</v>
      </c>
      <c r="B805" t="s">
        <v>86</v>
      </c>
      <c r="D805" t="s">
        <v>115</v>
      </c>
      <c r="K805" t="s">
        <v>764</v>
      </c>
      <c r="L805" t="s">
        <v>117</v>
      </c>
      <c r="M805" t="s">
        <v>759</v>
      </c>
      <c r="N805" t="s">
        <v>118</v>
      </c>
      <c r="V805" t="s">
        <v>91</v>
      </c>
      <c r="W805" t="s">
        <v>107</v>
      </c>
      <c r="X805" t="s">
        <v>93</v>
      </c>
      <c r="Y805">
        <v>6</v>
      </c>
      <c r="Z805" t="s">
        <v>137</v>
      </c>
      <c r="AB805">
        <v>2.8999999999999998E-3</v>
      </c>
      <c r="AD805">
        <v>2.3E-3</v>
      </c>
      <c r="AF805">
        <v>3.3999999999999998E-3</v>
      </c>
      <c r="AG805" t="s">
        <v>95</v>
      </c>
      <c r="AX805" t="s">
        <v>108</v>
      </c>
      <c r="AY805" t="s">
        <v>438</v>
      </c>
      <c r="AZ805" t="s">
        <v>214</v>
      </c>
      <c r="BC805">
        <v>0.1875</v>
      </c>
      <c r="BH805" t="s">
        <v>99</v>
      </c>
      <c r="BO805" t="s">
        <v>111</v>
      </c>
      <c r="CD805" t="s">
        <v>798</v>
      </c>
      <c r="CE805">
        <v>165280</v>
      </c>
      <c r="CF805" t="s">
        <v>799</v>
      </c>
      <c r="CG805" t="s">
        <v>800</v>
      </c>
      <c r="CH805">
        <v>2014</v>
      </c>
    </row>
    <row r="806" spans="1:86" hidden="1" x14ac:dyDescent="0.25">
      <c r="A806">
        <v>330541</v>
      </c>
      <c r="B806" t="s">
        <v>86</v>
      </c>
      <c r="C806" t="s">
        <v>801</v>
      </c>
      <c r="D806" t="s">
        <v>115</v>
      </c>
      <c r="K806" t="s">
        <v>771</v>
      </c>
      <c r="L806" t="s">
        <v>89</v>
      </c>
      <c r="M806" t="s">
        <v>759</v>
      </c>
      <c r="V806" t="s">
        <v>91</v>
      </c>
      <c r="W806" t="s">
        <v>107</v>
      </c>
      <c r="X806" t="s">
        <v>93</v>
      </c>
      <c r="Z806" t="s">
        <v>94</v>
      </c>
      <c r="AB806" s="281">
        <v>1.7999999999999999E-2</v>
      </c>
      <c r="AG806" t="s">
        <v>95</v>
      </c>
      <c r="AX806" t="s">
        <v>108</v>
      </c>
      <c r="AY806" t="s">
        <v>109</v>
      </c>
      <c r="AZ806" t="s">
        <v>214</v>
      </c>
      <c r="BC806">
        <v>4.1700000000000001E-2</v>
      </c>
      <c r="BH806" t="s">
        <v>99</v>
      </c>
      <c r="BO806" t="s">
        <v>111</v>
      </c>
      <c r="CD806" t="s">
        <v>789</v>
      </c>
      <c r="CE806">
        <v>66270</v>
      </c>
      <c r="CF806" t="s">
        <v>790</v>
      </c>
      <c r="CG806" t="s">
        <v>791</v>
      </c>
      <c r="CH806">
        <v>1983</v>
      </c>
    </row>
    <row r="807" spans="1:86" hidden="1" x14ac:dyDescent="0.25">
      <c r="A807">
        <v>330541</v>
      </c>
      <c r="B807" t="s">
        <v>86</v>
      </c>
      <c r="D807" t="s">
        <v>115</v>
      </c>
      <c r="K807" t="s">
        <v>763</v>
      </c>
      <c r="L807" t="s">
        <v>117</v>
      </c>
      <c r="M807" t="s">
        <v>759</v>
      </c>
      <c r="V807" t="s">
        <v>91</v>
      </c>
      <c r="W807" t="s">
        <v>92</v>
      </c>
      <c r="X807" t="s">
        <v>93</v>
      </c>
      <c r="Z807" t="s">
        <v>137</v>
      </c>
      <c r="AB807">
        <v>13</v>
      </c>
      <c r="AG807" t="s">
        <v>95</v>
      </c>
      <c r="AX807" t="s">
        <v>108</v>
      </c>
      <c r="AY807" t="s">
        <v>109</v>
      </c>
      <c r="AZ807" t="s">
        <v>214</v>
      </c>
      <c r="BC807">
        <v>2</v>
      </c>
      <c r="BH807" t="s">
        <v>99</v>
      </c>
      <c r="BO807" t="s">
        <v>111</v>
      </c>
      <c r="CD807" t="s">
        <v>802</v>
      </c>
      <c r="CE807">
        <v>101984</v>
      </c>
      <c r="CF807" t="s">
        <v>803</v>
      </c>
      <c r="CG807" t="s">
        <v>804</v>
      </c>
      <c r="CH807">
        <v>2008</v>
      </c>
    </row>
    <row r="808" spans="1:86" hidden="1" x14ac:dyDescent="0.25">
      <c r="A808">
        <v>330541</v>
      </c>
      <c r="B808" t="s">
        <v>86</v>
      </c>
      <c r="C808" t="s">
        <v>104</v>
      </c>
      <c r="D808" t="s">
        <v>115</v>
      </c>
      <c r="K808" t="s">
        <v>758</v>
      </c>
      <c r="L808" t="s">
        <v>89</v>
      </c>
      <c r="M808" t="s">
        <v>759</v>
      </c>
      <c r="R808">
        <v>14</v>
      </c>
      <c r="T808">
        <v>28</v>
      </c>
      <c r="U808" t="s">
        <v>99</v>
      </c>
      <c r="V808" t="s">
        <v>91</v>
      </c>
      <c r="W808" t="s">
        <v>92</v>
      </c>
      <c r="X808" t="s">
        <v>93</v>
      </c>
      <c r="Z808" t="s">
        <v>94</v>
      </c>
      <c r="AB808" s="281">
        <v>2.7400000000000001E-2</v>
      </c>
      <c r="AD808">
        <v>2.1100000000000001E-2</v>
      </c>
      <c r="AF808">
        <v>3.5499999999999997E-2</v>
      </c>
      <c r="AG808" t="s">
        <v>95</v>
      </c>
      <c r="AX808" t="s">
        <v>108</v>
      </c>
      <c r="AY808" t="s">
        <v>109</v>
      </c>
      <c r="AZ808" t="s">
        <v>214</v>
      </c>
      <c r="BC808">
        <v>1.3899999999999999E-2</v>
      </c>
      <c r="BH808" t="s">
        <v>99</v>
      </c>
      <c r="BO808" t="s">
        <v>111</v>
      </c>
      <c r="CD808" t="s">
        <v>225</v>
      </c>
      <c r="CE808">
        <v>83755</v>
      </c>
      <c r="CF808" t="s">
        <v>226</v>
      </c>
      <c r="CG808" t="s">
        <v>227</v>
      </c>
      <c r="CH808">
        <v>2005</v>
      </c>
    </row>
    <row r="809" spans="1:86" hidden="1" x14ac:dyDescent="0.25">
      <c r="A809">
        <v>330541</v>
      </c>
      <c r="B809" t="s">
        <v>86</v>
      </c>
      <c r="D809" t="s">
        <v>105</v>
      </c>
      <c r="K809" t="s">
        <v>767</v>
      </c>
      <c r="L809" t="s">
        <v>89</v>
      </c>
      <c r="M809" t="s">
        <v>759</v>
      </c>
      <c r="N809" t="s">
        <v>118</v>
      </c>
      <c r="V809" t="s">
        <v>91</v>
      </c>
      <c r="W809" t="s">
        <v>92</v>
      </c>
      <c r="X809" t="s">
        <v>93</v>
      </c>
      <c r="Y809">
        <v>13</v>
      </c>
      <c r="Z809" t="s">
        <v>137</v>
      </c>
      <c r="AB809">
        <v>2.02794564E-2</v>
      </c>
      <c r="AD809">
        <v>1.3752734799999999E-2</v>
      </c>
      <c r="AF809">
        <v>3.0302636000000001E-2</v>
      </c>
      <c r="AG809" t="s">
        <v>95</v>
      </c>
      <c r="AX809" t="s">
        <v>108</v>
      </c>
      <c r="AY809" t="s">
        <v>532</v>
      </c>
      <c r="AZ809" t="s">
        <v>214</v>
      </c>
      <c r="BC809">
        <v>0.25</v>
      </c>
      <c r="BH809" t="s">
        <v>99</v>
      </c>
      <c r="BO809" t="s">
        <v>111</v>
      </c>
      <c r="CD809" t="s">
        <v>772</v>
      </c>
      <c r="CE809">
        <v>160529</v>
      </c>
      <c r="CF809" t="s">
        <v>773</v>
      </c>
      <c r="CG809" t="s">
        <v>774</v>
      </c>
      <c r="CH809">
        <v>2012</v>
      </c>
    </row>
    <row r="810" spans="1:86" hidden="1" x14ac:dyDescent="0.25">
      <c r="A810">
        <v>330541</v>
      </c>
      <c r="B810" t="s">
        <v>86</v>
      </c>
      <c r="D810" t="s">
        <v>115</v>
      </c>
      <c r="K810" t="s">
        <v>767</v>
      </c>
      <c r="L810" t="s">
        <v>89</v>
      </c>
      <c r="M810" t="s">
        <v>759</v>
      </c>
      <c r="V810" t="s">
        <v>91</v>
      </c>
      <c r="W810" t="s">
        <v>92</v>
      </c>
      <c r="X810" t="s">
        <v>93</v>
      </c>
      <c r="Y810">
        <v>10</v>
      </c>
      <c r="Z810" t="s">
        <v>137</v>
      </c>
      <c r="AB810">
        <v>0.111886656</v>
      </c>
      <c r="AD810">
        <v>9.7900823999999997E-2</v>
      </c>
      <c r="AF810">
        <v>0.12820345999999999</v>
      </c>
      <c r="AG810" t="s">
        <v>95</v>
      </c>
      <c r="AX810" t="s">
        <v>108</v>
      </c>
      <c r="AY810" t="s">
        <v>160</v>
      </c>
      <c r="AZ810" t="s">
        <v>214</v>
      </c>
      <c r="BC810">
        <v>1</v>
      </c>
      <c r="BH810" t="s">
        <v>99</v>
      </c>
      <c r="BO810" t="s">
        <v>111</v>
      </c>
      <c r="CD810" t="s">
        <v>775</v>
      </c>
      <c r="CE810">
        <v>172392</v>
      </c>
      <c r="CF810" t="s">
        <v>776</v>
      </c>
      <c r="CG810" t="s">
        <v>777</v>
      </c>
      <c r="CH810">
        <v>2015</v>
      </c>
    </row>
    <row r="811" spans="1:86" hidden="1" x14ac:dyDescent="0.25">
      <c r="A811">
        <v>330541</v>
      </c>
      <c r="B811" t="s">
        <v>86</v>
      </c>
      <c r="D811" t="s">
        <v>105</v>
      </c>
      <c r="K811" t="s">
        <v>767</v>
      </c>
      <c r="L811" t="s">
        <v>89</v>
      </c>
      <c r="M811" t="s">
        <v>759</v>
      </c>
      <c r="N811" t="s">
        <v>118</v>
      </c>
      <c r="V811" t="s">
        <v>91</v>
      </c>
      <c r="W811" t="s">
        <v>92</v>
      </c>
      <c r="X811" t="s">
        <v>93</v>
      </c>
      <c r="Y811">
        <v>13</v>
      </c>
      <c r="Z811" t="s">
        <v>137</v>
      </c>
      <c r="AB811">
        <v>6.0605272000000002E-2</v>
      </c>
      <c r="AD811">
        <v>5.1281383999999999E-2</v>
      </c>
      <c r="AF811">
        <v>7.4591104000000005E-2</v>
      </c>
      <c r="AG811" t="s">
        <v>95</v>
      </c>
      <c r="AX811" t="s">
        <v>108</v>
      </c>
      <c r="AY811" t="s">
        <v>174</v>
      </c>
      <c r="AZ811" t="s">
        <v>214</v>
      </c>
      <c r="BC811">
        <v>1</v>
      </c>
      <c r="BH811" t="s">
        <v>99</v>
      </c>
      <c r="BO811" t="s">
        <v>111</v>
      </c>
      <c r="CD811" t="s">
        <v>772</v>
      </c>
      <c r="CE811">
        <v>160529</v>
      </c>
      <c r="CF811" t="s">
        <v>773</v>
      </c>
      <c r="CG811" t="s">
        <v>774</v>
      </c>
      <c r="CH811">
        <v>2012</v>
      </c>
    </row>
    <row r="812" spans="1:86" hidden="1" x14ac:dyDescent="0.25">
      <c r="A812">
        <v>330541</v>
      </c>
      <c r="B812" t="s">
        <v>86</v>
      </c>
      <c r="D812" t="s">
        <v>105</v>
      </c>
      <c r="K812" t="s">
        <v>767</v>
      </c>
      <c r="L812" t="s">
        <v>89</v>
      </c>
      <c r="M812" t="s">
        <v>759</v>
      </c>
      <c r="N812" t="s">
        <v>118</v>
      </c>
      <c r="V812" t="s">
        <v>91</v>
      </c>
      <c r="W812" t="s">
        <v>92</v>
      </c>
      <c r="X812" t="s">
        <v>93</v>
      </c>
      <c r="Y812">
        <v>13</v>
      </c>
      <c r="Z812" t="s">
        <v>137</v>
      </c>
      <c r="AB812">
        <v>1.0955568400000001E-2</v>
      </c>
      <c r="AD812">
        <v>9.5569851999999997E-3</v>
      </c>
      <c r="AF812">
        <v>1.2587248800000001E-2</v>
      </c>
      <c r="AG812" t="s">
        <v>95</v>
      </c>
      <c r="AX812" t="s">
        <v>108</v>
      </c>
      <c r="AY812" t="s">
        <v>438</v>
      </c>
      <c r="AZ812" t="s">
        <v>214</v>
      </c>
      <c r="BC812">
        <v>8.3299999999999999E-2</v>
      </c>
      <c r="BH812" t="s">
        <v>99</v>
      </c>
      <c r="BO812" t="s">
        <v>111</v>
      </c>
      <c r="CD812" t="s">
        <v>772</v>
      </c>
      <c r="CE812">
        <v>160529</v>
      </c>
      <c r="CF812" t="s">
        <v>773</v>
      </c>
      <c r="CG812" t="s">
        <v>774</v>
      </c>
      <c r="CH812">
        <v>2012</v>
      </c>
    </row>
    <row r="813" spans="1:86" hidden="1" x14ac:dyDescent="0.25">
      <c r="A813">
        <v>330541</v>
      </c>
      <c r="B813" t="s">
        <v>86</v>
      </c>
      <c r="D813" t="s">
        <v>115</v>
      </c>
      <c r="K813" t="s">
        <v>767</v>
      </c>
      <c r="L813" t="s">
        <v>89</v>
      </c>
      <c r="M813" t="s">
        <v>759</v>
      </c>
      <c r="V813" t="s">
        <v>91</v>
      </c>
      <c r="W813" t="s">
        <v>92</v>
      </c>
      <c r="X813" t="s">
        <v>93</v>
      </c>
      <c r="Y813">
        <v>10</v>
      </c>
      <c r="Z813" t="s">
        <v>137</v>
      </c>
      <c r="AB813">
        <v>1.23541516E-2</v>
      </c>
      <c r="AD813">
        <v>1.18879572E-2</v>
      </c>
      <c r="AF813">
        <v>1.2820346E-2</v>
      </c>
      <c r="AG813" t="s">
        <v>95</v>
      </c>
      <c r="AX813" t="s">
        <v>144</v>
      </c>
      <c r="AY813" t="s">
        <v>438</v>
      </c>
      <c r="AZ813" t="s">
        <v>214</v>
      </c>
      <c r="BC813">
        <v>4.1700000000000001E-2</v>
      </c>
      <c r="BH813" t="s">
        <v>99</v>
      </c>
      <c r="BO813" t="s">
        <v>111</v>
      </c>
      <c r="CD813" t="s">
        <v>775</v>
      </c>
      <c r="CE813">
        <v>172392</v>
      </c>
      <c r="CF813" t="s">
        <v>776</v>
      </c>
      <c r="CG813" t="s">
        <v>777</v>
      </c>
      <c r="CH813">
        <v>2015</v>
      </c>
    </row>
    <row r="814" spans="1:86" hidden="1" x14ac:dyDescent="0.25">
      <c r="A814">
        <v>330541</v>
      </c>
      <c r="B814" t="s">
        <v>86</v>
      </c>
      <c r="D814" t="s">
        <v>105</v>
      </c>
      <c r="K814" t="s">
        <v>767</v>
      </c>
      <c r="L814" t="s">
        <v>89</v>
      </c>
      <c r="M814" t="s">
        <v>759</v>
      </c>
      <c r="N814" t="s">
        <v>118</v>
      </c>
      <c r="V814" t="s">
        <v>91</v>
      </c>
      <c r="W814" t="s">
        <v>92</v>
      </c>
      <c r="X814" t="s">
        <v>93</v>
      </c>
      <c r="Y814">
        <v>13</v>
      </c>
      <c r="Z814" t="s">
        <v>137</v>
      </c>
      <c r="AB814">
        <v>0.22610428399999999</v>
      </c>
      <c r="AD814">
        <v>0.13985832000000001</v>
      </c>
      <c r="AF814">
        <v>0.37295551999999998</v>
      </c>
      <c r="AG814" t="s">
        <v>95</v>
      </c>
      <c r="AX814" t="s">
        <v>108</v>
      </c>
      <c r="AY814" t="s">
        <v>438</v>
      </c>
      <c r="AZ814" t="s">
        <v>214</v>
      </c>
      <c r="BC814">
        <v>1</v>
      </c>
      <c r="BH814" t="s">
        <v>99</v>
      </c>
      <c r="BO814" t="s">
        <v>111</v>
      </c>
      <c r="CD814" t="s">
        <v>772</v>
      </c>
      <c r="CE814">
        <v>160529</v>
      </c>
      <c r="CF814" t="s">
        <v>773</v>
      </c>
      <c r="CG814" t="s">
        <v>774</v>
      </c>
      <c r="CH814">
        <v>2012</v>
      </c>
    </row>
    <row r="815" spans="1:86" hidden="1" x14ac:dyDescent="0.25">
      <c r="A815">
        <v>330541</v>
      </c>
      <c r="B815" t="s">
        <v>86</v>
      </c>
      <c r="D815" t="s">
        <v>105</v>
      </c>
      <c r="K815" t="s">
        <v>767</v>
      </c>
      <c r="L815" t="s">
        <v>89</v>
      </c>
      <c r="M815" t="s">
        <v>759</v>
      </c>
      <c r="N815" t="s">
        <v>118</v>
      </c>
      <c r="V815" t="s">
        <v>91</v>
      </c>
      <c r="W815" t="s">
        <v>92</v>
      </c>
      <c r="X815" t="s">
        <v>93</v>
      </c>
      <c r="Y815">
        <v>13</v>
      </c>
      <c r="Z815" t="s">
        <v>137</v>
      </c>
      <c r="AB815">
        <v>2.5640692E-2</v>
      </c>
      <c r="AD815">
        <v>1.49182208E-2</v>
      </c>
      <c r="AF815">
        <v>3.9626524000000003E-2</v>
      </c>
      <c r="AG815" t="s">
        <v>95</v>
      </c>
      <c r="AX815" t="s">
        <v>201</v>
      </c>
      <c r="AY815" t="s">
        <v>490</v>
      </c>
      <c r="AZ815" t="s">
        <v>214</v>
      </c>
      <c r="BC815">
        <v>8.3299999999999999E-2</v>
      </c>
      <c r="BH815" t="s">
        <v>99</v>
      </c>
      <c r="BO815" t="s">
        <v>111</v>
      </c>
      <c r="CD815" t="s">
        <v>772</v>
      </c>
      <c r="CE815">
        <v>160529</v>
      </c>
      <c r="CF815" t="s">
        <v>773</v>
      </c>
      <c r="CG815" t="s">
        <v>774</v>
      </c>
      <c r="CH815">
        <v>2012</v>
      </c>
    </row>
    <row r="816" spans="1:86" hidden="1" x14ac:dyDescent="0.25">
      <c r="A816">
        <v>330541</v>
      </c>
      <c r="B816" t="s">
        <v>86</v>
      </c>
      <c r="D816" t="s">
        <v>105</v>
      </c>
      <c r="K816" t="s">
        <v>767</v>
      </c>
      <c r="L816" t="s">
        <v>89</v>
      </c>
      <c r="M816" t="s">
        <v>759</v>
      </c>
      <c r="N816" t="s">
        <v>118</v>
      </c>
      <c r="V816" t="s">
        <v>91</v>
      </c>
      <c r="W816" t="s">
        <v>92</v>
      </c>
      <c r="X816" t="s">
        <v>93</v>
      </c>
      <c r="Y816">
        <v>13</v>
      </c>
      <c r="Z816" t="s">
        <v>137</v>
      </c>
      <c r="AB816">
        <v>5.8274300000000001E-2</v>
      </c>
      <c r="AD816">
        <v>1.35196376E-2</v>
      </c>
      <c r="AF816">
        <v>0.25640691999999998</v>
      </c>
      <c r="AG816" t="s">
        <v>95</v>
      </c>
      <c r="AX816" t="s">
        <v>108</v>
      </c>
      <c r="AY816" t="s">
        <v>617</v>
      </c>
      <c r="AZ816" t="s">
        <v>214</v>
      </c>
      <c r="BC816">
        <v>1</v>
      </c>
      <c r="BH816" t="s">
        <v>99</v>
      </c>
      <c r="BO816" t="s">
        <v>111</v>
      </c>
      <c r="CD816" t="s">
        <v>772</v>
      </c>
      <c r="CE816">
        <v>160529</v>
      </c>
      <c r="CF816" t="s">
        <v>773</v>
      </c>
      <c r="CG816" t="s">
        <v>774</v>
      </c>
      <c r="CH816">
        <v>2012</v>
      </c>
    </row>
    <row r="817" spans="1:86" hidden="1" x14ac:dyDescent="0.25">
      <c r="A817">
        <v>330541</v>
      </c>
      <c r="B817" t="s">
        <v>86</v>
      </c>
      <c r="D817" t="s">
        <v>105</v>
      </c>
      <c r="K817" t="s">
        <v>767</v>
      </c>
      <c r="L817" t="s">
        <v>89</v>
      </c>
      <c r="M817" t="s">
        <v>759</v>
      </c>
      <c r="N817" t="s">
        <v>118</v>
      </c>
      <c r="V817" t="s">
        <v>91</v>
      </c>
      <c r="W817" t="s">
        <v>92</v>
      </c>
      <c r="X817" t="s">
        <v>93</v>
      </c>
      <c r="Y817">
        <v>13</v>
      </c>
      <c r="Z817" t="s">
        <v>137</v>
      </c>
      <c r="AB817">
        <v>9.7900824000000004E-3</v>
      </c>
      <c r="AD817">
        <v>4.8950412000000002E-3</v>
      </c>
      <c r="AF817">
        <v>1.9580164800000001E-2</v>
      </c>
      <c r="AG817" t="s">
        <v>95</v>
      </c>
      <c r="AX817" t="s">
        <v>201</v>
      </c>
      <c r="AY817" t="s">
        <v>490</v>
      </c>
      <c r="AZ817" t="s">
        <v>214</v>
      </c>
      <c r="BC817">
        <v>0.25</v>
      </c>
      <c r="BH817" t="s">
        <v>99</v>
      </c>
      <c r="BO817" t="s">
        <v>111</v>
      </c>
      <c r="CD817" t="s">
        <v>772</v>
      </c>
      <c r="CE817">
        <v>160529</v>
      </c>
      <c r="CF817" t="s">
        <v>773</v>
      </c>
      <c r="CG817" t="s">
        <v>774</v>
      </c>
      <c r="CH817">
        <v>2012</v>
      </c>
    </row>
    <row r="818" spans="1:86" hidden="1" x14ac:dyDescent="0.25">
      <c r="A818">
        <v>330541</v>
      </c>
      <c r="B818" t="s">
        <v>86</v>
      </c>
      <c r="D818" t="s">
        <v>105</v>
      </c>
      <c r="K818" t="s">
        <v>767</v>
      </c>
      <c r="L818" t="s">
        <v>89</v>
      </c>
      <c r="M818" t="s">
        <v>759</v>
      </c>
      <c r="N818" t="s">
        <v>118</v>
      </c>
      <c r="V818" t="s">
        <v>91</v>
      </c>
      <c r="W818" t="s">
        <v>92</v>
      </c>
      <c r="X818" t="s">
        <v>93</v>
      </c>
      <c r="Y818">
        <v>13</v>
      </c>
      <c r="Z818" t="s">
        <v>137</v>
      </c>
      <c r="AB818">
        <v>2.5640692E-2</v>
      </c>
      <c r="AD818">
        <v>2.2843525600000001E-2</v>
      </c>
      <c r="AF818">
        <v>2.5640692E-2</v>
      </c>
      <c r="AG818" t="s">
        <v>95</v>
      </c>
      <c r="AX818" t="s">
        <v>108</v>
      </c>
      <c r="AY818" t="s">
        <v>438</v>
      </c>
      <c r="AZ818" t="s">
        <v>214</v>
      </c>
      <c r="BC818">
        <v>0.25</v>
      </c>
      <c r="BH818" t="s">
        <v>99</v>
      </c>
      <c r="BO818" t="s">
        <v>111</v>
      </c>
      <c r="CD818" t="s">
        <v>772</v>
      </c>
      <c r="CE818">
        <v>160529</v>
      </c>
      <c r="CF818" t="s">
        <v>773</v>
      </c>
      <c r="CG818" t="s">
        <v>774</v>
      </c>
      <c r="CH818">
        <v>2012</v>
      </c>
    </row>
    <row r="819" spans="1:86" hidden="1" x14ac:dyDescent="0.25">
      <c r="A819">
        <v>330541</v>
      </c>
      <c r="B819" t="s">
        <v>86</v>
      </c>
      <c r="D819" t="s">
        <v>105</v>
      </c>
      <c r="K819" t="s">
        <v>767</v>
      </c>
      <c r="L819" t="s">
        <v>89</v>
      </c>
      <c r="M819" t="s">
        <v>759</v>
      </c>
      <c r="N819" t="s">
        <v>118</v>
      </c>
      <c r="V819" t="s">
        <v>91</v>
      </c>
      <c r="W819" t="s">
        <v>92</v>
      </c>
      <c r="X819" t="s">
        <v>93</v>
      </c>
      <c r="Y819">
        <v>13</v>
      </c>
      <c r="Z819" t="s">
        <v>137</v>
      </c>
      <c r="AB819">
        <v>2.3309719999999999E-2</v>
      </c>
      <c r="AD819">
        <v>1.4218929199999999E-2</v>
      </c>
      <c r="AF819">
        <v>3.9626524000000003E-2</v>
      </c>
      <c r="AG819" t="s">
        <v>95</v>
      </c>
      <c r="AX819" t="s">
        <v>201</v>
      </c>
      <c r="AY819" t="s">
        <v>805</v>
      </c>
      <c r="AZ819" t="s">
        <v>214</v>
      </c>
      <c r="BC819">
        <v>0.25</v>
      </c>
      <c r="BH819" t="s">
        <v>99</v>
      </c>
      <c r="BO819" t="s">
        <v>111</v>
      </c>
      <c r="CD819" t="s">
        <v>772</v>
      </c>
      <c r="CE819">
        <v>160529</v>
      </c>
      <c r="CF819" t="s">
        <v>773</v>
      </c>
      <c r="CG819" t="s">
        <v>774</v>
      </c>
      <c r="CH819">
        <v>2012</v>
      </c>
    </row>
    <row r="820" spans="1:86" hidden="1" x14ac:dyDescent="0.25">
      <c r="A820">
        <v>330541</v>
      </c>
      <c r="B820" t="s">
        <v>86</v>
      </c>
      <c r="D820" t="s">
        <v>105</v>
      </c>
      <c r="K820" t="s">
        <v>767</v>
      </c>
      <c r="L820" t="s">
        <v>89</v>
      </c>
      <c r="M820" t="s">
        <v>759</v>
      </c>
      <c r="N820" t="s">
        <v>118</v>
      </c>
      <c r="V820" t="s">
        <v>91</v>
      </c>
      <c r="W820" t="s">
        <v>92</v>
      </c>
      <c r="X820" t="s">
        <v>93</v>
      </c>
      <c r="Y820">
        <v>13</v>
      </c>
      <c r="Z820" t="s">
        <v>137</v>
      </c>
      <c r="AB820">
        <v>2.3309719999999999E-2</v>
      </c>
      <c r="AD820">
        <v>1.7482290000000001E-2</v>
      </c>
      <c r="AF820">
        <v>3.2633608000000001E-2</v>
      </c>
      <c r="AG820" t="s">
        <v>95</v>
      </c>
      <c r="AX820" t="s">
        <v>108</v>
      </c>
      <c r="AY820" t="s">
        <v>150</v>
      </c>
      <c r="AZ820" t="s">
        <v>214</v>
      </c>
      <c r="BC820">
        <v>0.25</v>
      </c>
      <c r="BH820" t="s">
        <v>99</v>
      </c>
      <c r="BO820" t="s">
        <v>111</v>
      </c>
      <c r="CD820" t="s">
        <v>772</v>
      </c>
      <c r="CE820">
        <v>160529</v>
      </c>
      <c r="CF820" t="s">
        <v>773</v>
      </c>
      <c r="CG820" t="s">
        <v>774</v>
      </c>
      <c r="CH820">
        <v>2012</v>
      </c>
    </row>
    <row r="821" spans="1:86" hidden="1" x14ac:dyDescent="0.25">
      <c r="A821">
        <v>330541</v>
      </c>
      <c r="B821" t="s">
        <v>86</v>
      </c>
      <c r="D821" t="s">
        <v>105</v>
      </c>
      <c r="K821" t="s">
        <v>767</v>
      </c>
      <c r="L821" t="s">
        <v>89</v>
      </c>
      <c r="M821" t="s">
        <v>759</v>
      </c>
      <c r="N821" t="s">
        <v>118</v>
      </c>
      <c r="V821" t="s">
        <v>91</v>
      </c>
      <c r="W821" t="s">
        <v>92</v>
      </c>
      <c r="X821" t="s">
        <v>93</v>
      </c>
      <c r="Y821">
        <v>13</v>
      </c>
      <c r="Z821" t="s">
        <v>137</v>
      </c>
      <c r="AB821">
        <v>2.2843525600000001E-2</v>
      </c>
      <c r="AD821">
        <v>1.5151318E-2</v>
      </c>
      <c r="AF821">
        <v>3.4964580000000002E-2</v>
      </c>
      <c r="AG821" t="s">
        <v>95</v>
      </c>
      <c r="AX821" t="s">
        <v>108</v>
      </c>
      <c r="AY821" t="s">
        <v>120</v>
      </c>
      <c r="AZ821" t="s">
        <v>214</v>
      </c>
      <c r="BC821">
        <v>0.25</v>
      </c>
      <c r="BH821" t="s">
        <v>99</v>
      </c>
      <c r="BO821" t="s">
        <v>111</v>
      </c>
      <c r="CD821" t="s">
        <v>772</v>
      </c>
      <c r="CE821">
        <v>160529</v>
      </c>
      <c r="CF821" t="s">
        <v>773</v>
      </c>
      <c r="CG821" t="s">
        <v>774</v>
      </c>
      <c r="CH821">
        <v>2012</v>
      </c>
    </row>
    <row r="822" spans="1:86" hidden="1" x14ac:dyDescent="0.25">
      <c r="A822">
        <v>330541</v>
      </c>
      <c r="B822" t="s">
        <v>86</v>
      </c>
      <c r="D822" t="s">
        <v>105</v>
      </c>
      <c r="K822" t="s">
        <v>767</v>
      </c>
      <c r="L822" t="s">
        <v>89</v>
      </c>
      <c r="M822" t="s">
        <v>759</v>
      </c>
      <c r="N822" t="s">
        <v>118</v>
      </c>
      <c r="V822" t="s">
        <v>91</v>
      </c>
      <c r="W822" t="s">
        <v>92</v>
      </c>
      <c r="X822" t="s">
        <v>93</v>
      </c>
      <c r="Y822">
        <v>13</v>
      </c>
      <c r="Z822" t="s">
        <v>137</v>
      </c>
      <c r="AB822">
        <v>1.7948484399999999E-2</v>
      </c>
      <c r="AD822">
        <v>1.70160956E-2</v>
      </c>
      <c r="AF822">
        <v>1.9113970399999999E-2</v>
      </c>
      <c r="AG822" t="s">
        <v>95</v>
      </c>
      <c r="AX822" t="s">
        <v>108</v>
      </c>
      <c r="AY822" t="s">
        <v>438</v>
      </c>
      <c r="AZ822" t="s">
        <v>214</v>
      </c>
      <c r="BC822">
        <v>8.3299999999999999E-2</v>
      </c>
      <c r="BH822" t="s">
        <v>99</v>
      </c>
      <c r="BO822" t="s">
        <v>111</v>
      </c>
      <c r="CD822" t="s">
        <v>772</v>
      </c>
      <c r="CE822">
        <v>160529</v>
      </c>
      <c r="CF822" t="s">
        <v>773</v>
      </c>
      <c r="CG822" t="s">
        <v>774</v>
      </c>
      <c r="CH822">
        <v>2012</v>
      </c>
    </row>
    <row r="823" spans="1:86" hidden="1" x14ac:dyDescent="0.25">
      <c r="A823">
        <v>330541</v>
      </c>
      <c r="B823" t="s">
        <v>86</v>
      </c>
      <c r="D823" t="s">
        <v>105</v>
      </c>
      <c r="K823" t="s">
        <v>767</v>
      </c>
      <c r="L823" t="s">
        <v>89</v>
      </c>
      <c r="M823" t="s">
        <v>759</v>
      </c>
      <c r="N823" t="s">
        <v>118</v>
      </c>
      <c r="V823" t="s">
        <v>91</v>
      </c>
      <c r="W823" t="s">
        <v>92</v>
      </c>
      <c r="X823" t="s">
        <v>93</v>
      </c>
      <c r="Y823">
        <v>13</v>
      </c>
      <c r="Z823" t="s">
        <v>137</v>
      </c>
      <c r="AB823">
        <v>2.5640692E-2</v>
      </c>
      <c r="AD823">
        <v>2.0046359199999999E-2</v>
      </c>
      <c r="AF823">
        <v>3.2633608000000001E-2</v>
      </c>
      <c r="AG823" t="s">
        <v>95</v>
      </c>
      <c r="AX823" t="s">
        <v>108</v>
      </c>
      <c r="AY823" t="s">
        <v>150</v>
      </c>
      <c r="AZ823" t="s">
        <v>214</v>
      </c>
      <c r="BC823">
        <v>1</v>
      </c>
      <c r="BH823" t="s">
        <v>99</v>
      </c>
      <c r="BO823" t="s">
        <v>111</v>
      </c>
      <c r="CD823" t="s">
        <v>772</v>
      </c>
      <c r="CE823">
        <v>160529</v>
      </c>
      <c r="CF823" t="s">
        <v>773</v>
      </c>
      <c r="CG823" t="s">
        <v>774</v>
      </c>
      <c r="CH823">
        <v>2012</v>
      </c>
    </row>
    <row r="824" spans="1:86" hidden="1" x14ac:dyDescent="0.25">
      <c r="A824">
        <v>330541</v>
      </c>
      <c r="B824" t="s">
        <v>86</v>
      </c>
      <c r="D824" t="s">
        <v>105</v>
      </c>
      <c r="K824" t="s">
        <v>767</v>
      </c>
      <c r="L824" t="s">
        <v>89</v>
      </c>
      <c r="M824" t="s">
        <v>759</v>
      </c>
      <c r="N824" t="s">
        <v>118</v>
      </c>
      <c r="V824" t="s">
        <v>91</v>
      </c>
      <c r="W824" t="s">
        <v>92</v>
      </c>
      <c r="X824" t="s">
        <v>93</v>
      </c>
      <c r="Y824">
        <v>13</v>
      </c>
      <c r="Z824" t="s">
        <v>137</v>
      </c>
      <c r="AB824">
        <v>4.6619439999999998E-2</v>
      </c>
      <c r="AD824">
        <v>2.0978747999999998E-2</v>
      </c>
      <c r="AF824">
        <v>0.10489374</v>
      </c>
      <c r="AG824" t="s">
        <v>95</v>
      </c>
      <c r="AX824" t="s">
        <v>201</v>
      </c>
      <c r="AY824" t="s">
        <v>490</v>
      </c>
      <c r="AZ824" t="s">
        <v>214</v>
      </c>
      <c r="BC824">
        <v>1</v>
      </c>
      <c r="BH824" t="s">
        <v>99</v>
      </c>
      <c r="BO824" t="s">
        <v>111</v>
      </c>
      <c r="CD824" t="s">
        <v>772</v>
      </c>
      <c r="CE824">
        <v>160529</v>
      </c>
      <c r="CF824" t="s">
        <v>773</v>
      </c>
      <c r="CG824" t="s">
        <v>774</v>
      </c>
      <c r="CH824">
        <v>2012</v>
      </c>
    </row>
    <row r="825" spans="1:86" hidden="1" x14ac:dyDescent="0.25">
      <c r="A825">
        <v>330541</v>
      </c>
      <c r="B825" t="s">
        <v>86</v>
      </c>
      <c r="D825" t="s">
        <v>105</v>
      </c>
      <c r="K825" t="s">
        <v>767</v>
      </c>
      <c r="L825" t="s">
        <v>89</v>
      </c>
      <c r="M825" t="s">
        <v>759</v>
      </c>
      <c r="N825" t="s">
        <v>118</v>
      </c>
      <c r="V825" t="s">
        <v>91</v>
      </c>
      <c r="W825" t="s">
        <v>92</v>
      </c>
      <c r="X825" t="s">
        <v>93</v>
      </c>
      <c r="Y825">
        <v>13</v>
      </c>
      <c r="Z825" t="s">
        <v>137</v>
      </c>
      <c r="AB825">
        <v>3.9626524000000003E-2</v>
      </c>
      <c r="AD825">
        <v>3.2633608000000001E-2</v>
      </c>
      <c r="AF825">
        <v>4.6619439999999998E-2</v>
      </c>
      <c r="AG825" t="s">
        <v>95</v>
      </c>
      <c r="AX825" t="s">
        <v>108</v>
      </c>
      <c r="AY825" t="s">
        <v>160</v>
      </c>
      <c r="AZ825" t="s">
        <v>214</v>
      </c>
      <c r="BC825">
        <v>1</v>
      </c>
      <c r="BH825" t="s">
        <v>99</v>
      </c>
      <c r="BO825" t="s">
        <v>111</v>
      </c>
      <c r="CD825" t="s">
        <v>772</v>
      </c>
      <c r="CE825">
        <v>160529</v>
      </c>
      <c r="CF825" t="s">
        <v>773</v>
      </c>
      <c r="CG825" t="s">
        <v>774</v>
      </c>
      <c r="CH825">
        <v>2012</v>
      </c>
    </row>
    <row r="826" spans="1:86" hidden="1" x14ac:dyDescent="0.25">
      <c r="A826">
        <v>330541</v>
      </c>
      <c r="B826" t="s">
        <v>86</v>
      </c>
      <c r="D826" t="s">
        <v>105</v>
      </c>
      <c r="K826" t="s">
        <v>767</v>
      </c>
      <c r="L826" t="s">
        <v>89</v>
      </c>
      <c r="M826" t="s">
        <v>759</v>
      </c>
      <c r="N826" t="s">
        <v>118</v>
      </c>
      <c r="V826" t="s">
        <v>91</v>
      </c>
      <c r="W826" t="s">
        <v>92</v>
      </c>
      <c r="X826" t="s">
        <v>93</v>
      </c>
      <c r="Y826">
        <v>13</v>
      </c>
      <c r="Z826" t="s">
        <v>137</v>
      </c>
      <c r="AB826">
        <v>1.9113970399999999E-2</v>
      </c>
      <c r="AD826">
        <v>1.07224712E-2</v>
      </c>
      <c r="AF826">
        <v>3.4964580000000002E-2</v>
      </c>
      <c r="AG826" t="s">
        <v>95</v>
      </c>
      <c r="AX826" t="s">
        <v>282</v>
      </c>
      <c r="AY826" t="s">
        <v>806</v>
      </c>
      <c r="AZ826" t="s">
        <v>214</v>
      </c>
      <c r="BC826">
        <v>8.3299999999999999E-2</v>
      </c>
      <c r="BH826" t="s">
        <v>99</v>
      </c>
      <c r="BO826" t="s">
        <v>111</v>
      </c>
      <c r="CD826" t="s">
        <v>772</v>
      </c>
      <c r="CE826">
        <v>160529</v>
      </c>
      <c r="CF826" t="s">
        <v>773</v>
      </c>
      <c r="CG826" t="s">
        <v>774</v>
      </c>
      <c r="CH826">
        <v>2012</v>
      </c>
    </row>
    <row r="827" spans="1:86" hidden="1" x14ac:dyDescent="0.25">
      <c r="A827">
        <v>330541</v>
      </c>
      <c r="B827" t="s">
        <v>86</v>
      </c>
      <c r="D827" t="s">
        <v>115</v>
      </c>
      <c r="K827" t="s">
        <v>766</v>
      </c>
      <c r="L827" t="s">
        <v>117</v>
      </c>
      <c r="M827" t="s">
        <v>759</v>
      </c>
      <c r="V827" t="s">
        <v>91</v>
      </c>
      <c r="W827" t="s">
        <v>107</v>
      </c>
      <c r="X827" t="s">
        <v>93</v>
      </c>
      <c r="Z827" t="s">
        <v>137</v>
      </c>
      <c r="AB827">
        <v>0.01</v>
      </c>
      <c r="AG827" t="s">
        <v>95</v>
      </c>
      <c r="AX827" t="s">
        <v>144</v>
      </c>
      <c r="AY827" t="s">
        <v>109</v>
      </c>
      <c r="AZ827" t="s">
        <v>214</v>
      </c>
      <c r="BC827">
        <v>6.25E-2</v>
      </c>
      <c r="BH827" t="s">
        <v>99</v>
      </c>
      <c r="BO827" t="s">
        <v>111</v>
      </c>
      <c r="CD827" t="s">
        <v>229</v>
      </c>
      <c r="CE827">
        <v>8860</v>
      </c>
      <c r="CF827" t="s">
        <v>230</v>
      </c>
      <c r="CG827" t="s">
        <v>231</v>
      </c>
      <c r="CH827">
        <v>1973</v>
      </c>
    </row>
    <row r="828" spans="1:86" hidden="1" x14ac:dyDescent="0.25">
      <c r="A828">
        <v>330541</v>
      </c>
      <c r="B828" t="s">
        <v>86</v>
      </c>
      <c r="D828" t="s">
        <v>115</v>
      </c>
      <c r="K828" t="s">
        <v>767</v>
      </c>
      <c r="L828" t="s">
        <v>89</v>
      </c>
      <c r="M828" t="s">
        <v>759</v>
      </c>
      <c r="V828" t="s">
        <v>91</v>
      </c>
      <c r="W828" t="s">
        <v>92</v>
      </c>
      <c r="X828" t="s">
        <v>93</v>
      </c>
      <c r="Y828">
        <v>10</v>
      </c>
      <c r="Z828" t="s">
        <v>137</v>
      </c>
      <c r="AB828">
        <v>1.7482290000000001E-2</v>
      </c>
      <c r="AD828">
        <v>1.5384415199999999E-2</v>
      </c>
      <c r="AF828">
        <v>1.9580164800000001E-2</v>
      </c>
      <c r="AG828" t="s">
        <v>95</v>
      </c>
      <c r="AX828" t="s">
        <v>144</v>
      </c>
      <c r="AY828" t="s">
        <v>438</v>
      </c>
      <c r="AZ828" t="s">
        <v>214</v>
      </c>
      <c r="BC828">
        <v>0.25</v>
      </c>
      <c r="BH828" t="s">
        <v>99</v>
      </c>
      <c r="BO828" t="s">
        <v>111</v>
      </c>
      <c r="CD828" t="s">
        <v>775</v>
      </c>
      <c r="CE828">
        <v>172392</v>
      </c>
      <c r="CF828" t="s">
        <v>776</v>
      </c>
      <c r="CG828" t="s">
        <v>777</v>
      </c>
      <c r="CH828">
        <v>2015</v>
      </c>
    </row>
    <row r="829" spans="1:86" hidden="1" x14ac:dyDescent="0.25">
      <c r="A829">
        <v>330541</v>
      </c>
      <c r="B829" t="s">
        <v>86</v>
      </c>
      <c r="D829" t="s">
        <v>105</v>
      </c>
      <c r="K829" t="s">
        <v>767</v>
      </c>
      <c r="L829" t="s">
        <v>89</v>
      </c>
      <c r="M829" t="s">
        <v>759</v>
      </c>
      <c r="N829" t="s">
        <v>118</v>
      </c>
      <c r="V829" t="s">
        <v>91</v>
      </c>
      <c r="W829" t="s">
        <v>92</v>
      </c>
      <c r="X829" t="s">
        <v>93</v>
      </c>
      <c r="Y829">
        <v>13</v>
      </c>
      <c r="Z829" t="s">
        <v>137</v>
      </c>
      <c r="AB829">
        <v>2.3309719999999999E-2</v>
      </c>
      <c r="AD829">
        <v>1.6549901200000001E-2</v>
      </c>
      <c r="AF829">
        <v>3.4964580000000002E-2</v>
      </c>
      <c r="AG829" t="s">
        <v>95</v>
      </c>
      <c r="AX829" t="s">
        <v>108</v>
      </c>
      <c r="AY829" t="s">
        <v>160</v>
      </c>
      <c r="AZ829" t="s">
        <v>214</v>
      </c>
      <c r="BC829">
        <v>0.25</v>
      </c>
      <c r="BH829" t="s">
        <v>99</v>
      </c>
      <c r="BO829" t="s">
        <v>111</v>
      </c>
      <c r="CD829" t="s">
        <v>772</v>
      </c>
      <c r="CE829">
        <v>160529</v>
      </c>
      <c r="CF829" t="s">
        <v>773</v>
      </c>
      <c r="CG829" t="s">
        <v>774</v>
      </c>
      <c r="CH829">
        <v>2012</v>
      </c>
    </row>
    <row r="830" spans="1:86" hidden="1" x14ac:dyDescent="0.25">
      <c r="A830">
        <v>330541</v>
      </c>
      <c r="B830" t="s">
        <v>86</v>
      </c>
      <c r="D830" t="s">
        <v>105</v>
      </c>
      <c r="K830" t="s">
        <v>767</v>
      </c>
      <c r="L830" t="s">
        <v>89</v>
      </c>
      <c r="M830" t="s">
        <v>759</v>
      </c>
      <c r="N830" t="s">
        <v>118</v>
      </c>
      <c r="V830" t="s">
        <v>91</v>
      </c>
      <c r="W830" t="s">
        <v>92</v>
      </c>
      <c r="X830" t="s">
        <v>93</v>
      </c>
      <c r="Y830">
        <v>13</v>
      </c>
      <c r="Z830" t="s">
        <v>137</v>
      </c>
      <c r="AB830">
        <v>2.1911136800000001E-2</v>
      </c>
      <c r="AD830">
        <v>1.44520264E-2</v>
      </c>
      <c r="AF830">
        <v>3.2633608000000001E-2</v>
      </c>
      <c r="AG830" t="s">
        <v>95</v>
      </c>
      <c r="AX830" t="s">
        <v>108</v>
      </c>
      <c r="AY830" t="s">
        <v>174</v>
      </c>
      <c r="AZ830" t="s">
        <v>214</v>
      </c>
      <c r="BC830">
        <v>8.3299999999999999E-2</v>
      </c>
      <c r="BH830" t="s">
        <v>99</v>
      </c>
      <c r="BO830" t="s">
        <v>111</v>
      </c>
      <c r="CD830" t="s">
        <v>772</v>
      </c>
      <c r="CE830">
        <v>160529</v>
      </c>
      <c r="CF830" t="s">
        <v>773</v>
      </c>
      <c r="CG830" t="s">
        <v>774</v>
      </c>
      <c r="CH830">
        <v>2012</v>
      </c>
    </row>
    <row r="831" spans="1:86" hidden="1" x14ac:dyDescent="0.25">
      <c r="A831">
        <v>330541</v>
      </c>
      <c r="B831" t="s">
        <v>86</v>
      </c>
      <c r="D831" t="s">
        <v>105</v>
      </c>
      <c r="K831" t="s">
        <v>767</v>
      </c>
      <c r="L831" t="s">
        <v>89</v>
      </c>
      <c r="M831" t="s">
        <v>759</v>
      </c>
      <c r="N831" t="s">
        <v>118</v>
      </c>
      <c r="V831" t="s">
        <v>91</v>
      </c>
      <c r="W831" t="s">
        <v>92</v>
      </c>
      <c r="X831" t="s">
        <v>93</v>
      </c>
      <c r="Y831">
        <v>13</v>
      </c>
      <c r="Z831" t="s">
        <v>137</v>
      </c>
      <c r="AB831">
        <v>5.3612356E-2</v>
      </c>
      <c r="AD831">
        <v>3.4964580000000002E-2</v>
      </c>
      <c r="AF831">
        <v>7.6922076000000006E-2</v>
      </c>
      <c r="AG831" t="s">
        <v>95</v>
      </c>
      <c r="AX831" t="s">
        <v>108</v>
      </c>
      <c r="AY831" t="s">
        <v>532</v>
      </c>
      <c r="AZ831" t="s">
        <v>214</v>
      </c>
      <c r="BC831">
        <v>1</v>
      </c>
      <c r="BH831" t="s">
        <v>99</v>
      </c>
      <c r="BO831" t="s">
        <v>111</v>
      </c>
      <c r="CD831" t="s">
        <v>772</v>
      </c>
      <c r="CE831">
        <v>160529</v>
      </c>
      <c r="CF831" t="s">
        <v>773</v>
      </c>
      <c r="CG831" t="s">
        <v>774</v>
      </c>
      <c r="CH831">
        <v>2012</v>
      </c>
    </row>
    <row r="832" spans="1:86" hidden="1" x14ac:dyDescent="0.25">
      <c r="A832">
        <v>330541</v>
      </c>
      <c r="B832" t="s">
        <v>86</v>
      </c>
      <c r="D832" t="s">
        <v>115</v>
      </c>
      <c r="K832" t="s">
        <v>771</v>
      </c>
      <c r="L832" t="s">
        <v>89</v>
      </c>
      <c r="M832" t="s">
        <v>759</v>
      </c>
      <c r="N832" t="s">
        <v>118</v>
      </c>
      <c r="V832" t="s">
        <v>91</v>
      </c>
      <c r="W832" t="s">
        <v>107</v>
      </c>
      <c r="X832" t="s">
        <v>93</v>
      </c>
      <c r="Z832" t="s">
        <v>137</v>
      </c>
      <c r="AB832">
        <v>0.2330972</v>
      </c>
      <c r="AG832" t="s">
        <v>95</v>
      </c>
      <c r="AX832" t="s">
        <v>144</v>
      </c>
      <c r="AY832" t="s">
        <v>109</v>
      </c>
      <c r="AZ832" t="s">
        <v>214</v>
      </c>
      <c r="BC832">
        <v>1.04E-2</v>
      </c>
      <c r="BH832" t="s">
        <v>99</v>
      </c>
      <c r="BO832" t="s">
        <v>111</v>
      </c>
      <c r="CD832" t="s">
        <v>807</v>
      </c>
      <c r="CE832">
        <v>13246</v>
      </c>
      <c r="CF832" t="s">
        <v>808</v>
      </c>
      <c r="CG832" t="s">
        <v>809</v>
      </c>
      <c r="CH832">
        <v>1988</v>
      </c>
    </row>
    <row r="833" spans="1:86" hidden="1" x14ac:dyDescent="0.25">
      <c r="A833">
        <v>330541</v>
      </c>
      <c r="B833" t="s">
        <v>86</v>
      </c>
      <c r="D833" t="s">
        <v>115</v>
      </c>
      <c r="K833" t="s">
        <v>767</v>
      </c>
      <c r="L833" t="s">
        <v>89</v>
      </c>
      <c r="M833" t="s">
        <v>759</v>
      </c>
      <c r="V833" t="s">
        <v>91</v>
      </c>
      <c r="W833" t="s">
        <v>92</v>
      </c>
      <c r="X833" t="s">
        <v>93</v>
      </c>
      <c r="Z833" t="s">
        <v>137</v>
      </c>
      <c r="AB833">
        <v>9.3238879999999996E-2</v>
      </c>
      <c r="AG833" t="s">
        <v>95</v>
      </c>
      <c r="AX833" t="s">
        <v>144</v>
      </c>
      <c r="AY833" t="s">
        <v>810</v>
      </c>
      <c r="AZ833" t="s">
        <v>214</v>
      </c>
      <c r="BA833" t="s">
        <v>179</v>
      </c>
      <c r="BC833">
        <v>1.04E-2</v>
      </c>
      <c r="BH833" t="s">
        <v>99</v>
      </c>
      <c r="BO833" t="s">
        <v>111</v>
      </c>
      <c r="CD833" t="s">
        <v>423</v>
      </c>
      <c r="CE833">
        <v>15663</v>
      </c>
      <c r="CF833" t="s">
        <v>811</v>
      </c>
      <c r="CG833" t="s">
        <v>812</v>
      </c>
      <c r="CH833">
        <v>1975</v>
      </c>
    </row>
    <row r="834" spans="1:86" hidden="1" x14ac:dyDescent="0.25">
      <c r="A834">
        <v>330541</v>
      </c>
      <c r="B834" t="s">
        <v>86</v>
      </c>
      <c r="D834" t="s">
        <v>115</v>
      </c>
      <c r="F834">
        <v>99.7</v>
      </c>
      <c r="K834" t="s">
        <v>758</v>
      </c>
      <c r="L834" t="s">
        <v>89</v>
      </c>
      <c r="M834" t="s">
        <v>759</v>
      </c>
      <c r="V834" t="s">
        <v>91</v>
      </c>
      <c r="W834" t="s">
        <v>92</v>
      </c>
      <c r="X834" t="s">
        <v>93</v>
      </c>
      <c r="Y834">
        <v>7</v>
      </c>
      <c r="Z834" t="s">
        <v>94</v>
      </c>
      <c r="AB834" s="281">
        <v>4.4999999999999998E-2</v>
      </c>
      <c r="AG834" t="s">
        <v>95</v>
      </c>
      <c r="AX834" t="s">
        <v>108</v>
      </c>
      <c r="AY834" t="s">
        <v>160</v>
      </c>
      <c r="AZ834" t="s">
        <v>214</v>
      </c>
      <c r="BC834">
        <v>3</v>
      </c>
      <c r="BH834" t="s">
        <v>99</v>
      </c>
      <c r="BO834" t="s">
        <v>111</v>
      </c>
      <c r="CD834" t="s">
        <v>813</v>
      </c>
      <c r="CE834">
        <v>174031</v>
      </c>
      <c r="CF834" t="s">
        <v>814</v>
      </c>
      <c r="CG834" t="s">
        <v>815</v>
      </c>
      <c r="CH834">
        <v>2014</v>
      </c>
    </row>
    <row r="835" spans="1:86" hidden="1" x14ac:dyDescent="0.25">
      <c r="A835">
        <v>330541</v>
      </c>
      <c r="B835" t="s">
        <v>86</v>
      </c>
      <c r="D835" t="s">
        <v>115</v>
      </c>
      <c r="F835">
        <v>98</v>
      </c>
      <c r="K835" t="s">
        <v>764</v>
      </c>
      <c r="L835" t="s">
        <v>117</v>
      </c>
      <c r="M835" t="s">
        <v>759</v>
      </c>
      <c r="V835" t="s">
        <v>507</v>
      </c>
      <c r="W835" t="s">
        <v>107</v>
      </c>
      <c r="X835" t="s">
        <v>93</v>
      </c>
      <c r="Z835" t="s">
        <v>94</v>
      </c>
      <c r="AB835" s="281">
        <v>4.3E-3</v>
      </c>
      <c r="AD835">
        <v>3.7000000000000002E-3</v>
      </c>
      <c r="AF835">
        <v>4.8999999999999998E-3</v>
      </c>
      <c r="AG835" t="s">
        <v>95</v>
      </c>
      <c r="AX835" t="s">
        <v>108</v>
      </c>
      <c r="AY835" t="s">
        <v>160</v>
      </c>
      <c r="AZ835" t="s">
        <v>214</v>
      </c>
      <c r="BC835">
        <v>4</v>
      </c>
      <c r="BH835" t="s">
        <v>99</v>
      </c>
      <c r="BO835" t="s">
        <v>111</v>
      </c>
      <c r="CD835" t="s">
        <v>169</v>
      </c>
      <c r="CE835">
        <v>156339</v>
      </c>
      <c r="CF835" t="s">
        <v>170</v>
      </c>
      <c r="CG835" t="s">
        <v>171</v>
      </c>
      <c r="CH835">
        <v>2011</v>
      </c>
    </row>
    <row r="836" spans="1:86" hidden="1" x14ac:dyDescent="0.25">
      <c r="A836">
        <v>330541</v>
      </c>
      <c r="B836" t="s">
        <v>86</v>
      </c>
      <c r="D836" t="s">
        <v>115</v>
      </c>
      <c r="E836" t="s">
        <v>149</v>
      </c>
      <c r="F836">
        <v>99</v>
      </c>
      <c r="K836" t="s">
        <v>771</v>
      </c>
      <c r="L836" t="s">
        <v>89</v>
      </c>
      <c r="M836" t="s">
        <v>759</v>
      </c>
      <c r="N836" t="s">
        <v>118</v>
      </c>
      <c r="V836" t="s">
        <v>91</v>
      </c>
      <c r="W836" t="s">
        <v>92</v>
      </c>
      <c r="X836" t="s">
        <v>93</v>
      </c>
      <c r="Y836">
        <v>8</v>
      </c>
      <c r="Z836" t="s">
        <v>94</v>
      </c>
      <c r="AB836" s="281">
        <v>6.8999999999999999E-3</v>
      </c>
      <c r="AG836" t="s">
        <v>95</v>
      </c>
      <c r="AX836" t="s">
        <v>108</v>
      </c>
      <c r="AY836" t="s">
        <v>160</v>
      </c>
      <c r="AZ836" t="s">
        <v>214</v>
      </c>
      <c r="BC836">
        <v>4</v>
      </c>
      <c r="BH836" t="s">
        <v>99</v>
      </c>
      <c r="BO836" t="s">
        <v>111</v>
      </c>
      <c r="CD836" t="s">
        <v>254</v>
      </c>
      <c r="CE836">
        <v>101987</v>
      </c>
      <c r="CF836" t="s">
        <v>255</v>
      </c>
      <c r="CG836" t="s">
        <v>256</v>
      </c>
      <c r="CH836">
        <v>2007</v>
      </c>
    </row>
    <row r="837" spans="1:86" hidden="1" x14ac:dyDescent="0.25">
      <c r="A837">
        <v>330541</v>
      </c>
      <c r="B837" t="s">
        <v>86</v>
      </c>
      <c r="D837" t="s">
        <v>115</v>
      </c>
      <c r="K837" t="s">
        <v>766</v>
      </c>
      <c r="L837" t="s">
        <v>117</v>
      </c>
      <c r="M837" t="s">
        <v>759</v>
      </c>
      <c r="N837" t="s">
        <v>118</v>
      </c>
      <c r="V837" t="s">
        <v>91</v>
      </c>
      <c r="W837" t="s">
        <v>107</v>
      </c>
      <c r="X837" t="s">
        <v>93</v>
      </c>
      <c r="Z837" t="s">
        <v>137</v>
      </c>
      <c r="AB837">
        <v>1.7999999999999999E-2</v>
      </c>
      <c r="AD837">
        <v>1.4999999999999999E-2</v>
      </c>
      <c r="AF837">
        <v>2.1000000000000001E-2</v>
      </c>
      <c r="AG837" t="s">
        <v>95</v>
      </c>
      <c r="AX837" t="s">
        <v>108</v>
      </c>
      <c r="AY837" t="s">
        <v>109</v>
      </c>
      <c r="AZ837" t="s">
        <v>214</v>
      </c>
      <c r="BC837">
        <v>4.1700000000000001E-2</v>
      </c>
      <c r="BH837" t="s">
        <v>99</v>
      </c>
      <c r="BO837" t="s">
        <v>111</v>
      </c>
      <c r="CD837" t="s">
        <v>760</v>
      </c>
      <c r="CE837">
        <v>103266</v>
      </c>
      <c r="CF837" t="s">
        <v>761</v>
      </c>
      <c r="CG837" t="s">
        <v>762</v>
      </c>
      <c r="CH837">
        <v>2008</v>
      </c>
    </row>
    <row r="838" spans="1:86" hidden="1" x14ac:dyDescent="0.25">
      <c r="A838">
        <v>330541</v>
      </c>
      <c r="B838" t="s">
        <v>86</v>
      </c>
      <c r="D838" t="s">
        <v>105</v>
      </c>
      <c r="K838" t="s">
        <v>767</v>
      </c>
      <c r="L838" t="s">
        <v>89</v>
      </c>
      <c r="M838" t="s">
        <v>759</v>
      </c>
      <c r="N838" t="s">
        <v>118</v>
      </c>
      <c r="V838" t="s">
        <v>91</v>
      </c>
      <c r="W838" t="s">
        <v>92</v>
      </c>
      <c r="X838" t="s">
        <v>93</v>
      </c>
      <c r="Y838">
        <v>13</v>
      </c>
      <c r="Z838" t="s">
        <v>137</v>
      </c>
      <c r="AB838">
        <v>3.2633608000000001E-2</v>
      </c>
      <c r="AD838">
        <v>2.05125536E-2</v>
      </c>
      <c r="AF838">
        <v>5.1281383999999999E-2</v>
      </c>
      <c r="AG838" t="s">
        <v>95</v>
      </c>
      <c r="AX838" t="s">
        <v>282</v>
      </c>
      <c r="AY838" t="s">
        <v>806</v>
      </c>
      <c r="AZ838" t="s">
        <v>214</v>
      </c>
      <c r="BC838">
        <v>0.25</v>
      </c>
      <c r="BH838" t="s">
        <v>99</v>
      </c>
      <c r="BO838" t="s">
        <v>111</v>
      </c>
      <c r="CD838" t="s">
        <v>772</v>
      </c>
      <c r="CE838">
        <v>160529</v>
      </c>
      <c r="CF838" t="s">
        <v>773</v>
      </c>
      <c r="CG838" t="s">
        <v>774</v>
      </c>
      <c r="CH838">
        <v>2012</v>
      </c>
    </row>
    <row r="839" spans="1:86" hidden="1" x14ac:dyDescent="0.25">
      <c r="A839">
        <v>330541</v>
      </c>
      <c r="B839" t="s">
        <v>86</v>
      </c>
      <c r="D839" t="s">
        <v>105</v>
      </c>
      <c r="K839" t="s">
        <v>767</v>
      </c>
      <c r="L839" t="s">
        <v>89</v>
      </c>
      <c r="M839" t="s">
        <v>759</v>
      </c>
      <c r="N839" t="s">
        <v>118</v>
      </c>
      <c r="V839" t="s">
        <v>91</v>
      </c>
      <c r="W839" t="s">
        <v>92</v>
      </c>
      <c r="X839" t="s">
        <v>93</v>
      </c>
      <c r="Y839">
        <v>13</v>
      </c>
      <c r="Z839" t="s">
        <v>137</v>
      </c>
      <c r="AB839">
        <v>7.2260132000000005E-2</v>
      </c>
      <c r="AD839">
        <v>3.2633608000000001E-3</v>
      </c>
      <c r="AF839">
        <v>1.6083706799999999</v>
      </c>
      <c r="AG839" t="s">
        <v>95</v>
      </c>
      <c r="AX839" t="s">
        <v>201</v>
      </c>
      <c r="AY839" t="s">
        <v>805</v>
      </c>
      <c r="AZ839" t="s">
        <v>214</v>
      </c>
      <c r="BC839">
        <v>1</v>
      </c>
      <c r="BH839" t="s">
        <v>99</v>
      </c>
      <c r="BO839" t="s">
        <v>111</v>
      </c>
      <c r="CD839" t="s">
        <v>772</v>
      </c>
      <c r="CE839">
        <v>160529</v>
      </c>
      <c r="CF839" t="s">
        <v>773</v>
      </c>
      <c r="CG839" t="s">
        <v>774</v>
      </c>
      <c r="CH839">
        <v>2012</v>
      </c>
    </row>
    <row r="840" spans="1:86" hidden="1" x14ac:dyDescent="0.25">
      <c r="A840">
        <v>330541</v>
      </c>
      <c r="B840" t="s">
        <v>86</v>
      </c>
      <c r="D840" t="s">
        <v>115</v>
      </c>
      <c r="K840" t="s">
        <v>792</v>
      </c>
      <c r="L840" t="s">
        <v>793</v>
      </c>
      <c r="M840" t="s">
        <v>759</v>
      </c>
      <c r="N840" t="s">
        <v>816</v>
      </c>
      <c r="V840" t="s">
        <v>91</v>
      </c>
      <c r="W840" t="s">
        <v>107</v>
      </c>
      <c r="X840" t="s">
        <v>93</v>
      </c>
      <c r="Y840">
        <v>7</v>
      </c>
      <c r="Z840" t="s">
        <v>94</v>
      </c>
      <c r="AB840">
        <v>6.75</v>
      </c>
      <c r="AD840">
        <v>5.93</v>
      </c>
      <c r="AF840">
        <v>7.59</v>
      </c>
      <c r="AG840" t="s">
        <v>95</v>
      </c>
      <c r="AX840" t="s">
        <v>196</v>
      </c>
      <c r="AY840" t="s">
        <v>817</v>
      </c>
      <c r="AZ840" t="s">
        <v>214</v>
      </c>
      <c r="BA840" t="s">
        <v>818</v>
      </c>
      <c r="BC840">
        <v>2</v>
      </c>
      <c r="BH840" t="s">
        <v>99</v>
      </c>
      <c r="BO840" t="s">
        <v>111</v>
      </c>
      <c r="CD840" t="s">
        <v>819</v>
      </c>
      <c r="CE840">
        <v>98728</v>
      </c>
      <c r="CF840" t="s">
        <v>820</v>
      </c>
      <c r="CG840" t="s">
        <v>821</v>
      </c>
      <c r="CH840">
        <v>2006</v>
      </c>
    </row>
    <row r="841" spans="1:86" hidden="1" x14ac:dyDescent="0.25">
      <c r="A841">
        <v>330541</v>
      </c>
      <c r="B841" t="s">
        <v>86</v>
      </c>
      <c r="D841" t="s">
        <v>115</v>
      </c>
      <c r="K841" t="s">
        <v>822</v>
      </c>
      <c r="L841" t="s">
        <v>212</v>
      </c>
      <c r="M841" t="s">
        <v>759</v>
      </c>
      <c r="W841" t="s">
        <v>107</v>
      </c>
      <c r="X841" t="s">
        <v>93</v>
      </c>
      <c r="Z841" t="s">
        <v>137</v>
      </c>
      <c r="AB841">
        <v>3.3999999999999998E-3</v>
      </c>
      <c r="AD841">
        <v>2.8999999999999998E-3</v>
      </c>
      <c r="AF841">
        <v>3.8E-3</v>
      </c>
      <c r="AG841" t="s">
        <v>95</v>
      </c>
      <c r="AX841" t="s">
        <v>108</v>
      </c>
      <c r="AY841" t="s">
        <v>160</v>
      </c>
      <c r="AZ841" t="s">
        <v>214</v>
      </c>
      <c r="BC841">
        <v>7</v>
      </c>
      <c r="BH841" t="s">
        <v>99</v>
      </c>
      <c r="BO841" t="s">
        <v>111</v>
      </c>
      <c r="CD841" t="s">
        <v>823</v>
      </c>
      <c r="CE841">
        <v>102063</v>
      </c>
      <c r="CF841" t="s">
        <v>824</v>
      </c>
      <c r="CG841" t="s">
        <v>825</v>
      </c>
      <c r="CH841">
        <v>2006</v>
      </c>
    </row>
    <row r="842" spans="1:86" hidden="1" x14ac:dyDescent="0.25">
      <c r="A842">
        <v>330541</v>
      </c>
      <c r="B842" t="s">
        <v>86</v>
      </c>
      <c r="C842" t="s">
        <v>104</v>
      </c>
      <c r="D842" t="s">
        <v>115</v>
      </c>
      <c r="K842" t="s">
        <v>781</v>
      </c>
      <c r="L842" t="s">
        <v>89</v>
      </c>
      <c r="M842" t="s">
        <v>759</v>
      </c>
      <c r="N842" t="s">
        <v>118</v>
      </c>
      <c r="V842" t="s">
        <v>91</v>
      </c>
      <c r="W842" t="s">
        <v>92</v>
      </c>
      <c r="X842" t="s">
        <v>93</v>
      </c>
      <c r="Y842">
        <v>13</v>
      </c>
      <c r="Z842" t="s">
        <v>94</v>
      </c>
      <c r="AB842" s="281">
        <v>5.3999999999999999E-2</v>
      </c>
      <c r="AG842" t="s">
        <v>95</v>
      </c>
      <c r="AX842" t="s">
        <v>108</v>
      </c>
      <c r="AY842" t="s">
        <v>160</v>
      </c>
      <c r="AZ842" t="s">
        <v>214</v>
      </c>
      <c r="BC842">
        <v>3</v>
      </c>
      <c r="BH842" t="s">
        <v>99</v>
      </c>
      <c r="BO842" t="s">
        <v>111</v>
      </c>
      <c r="CD842" t="s">
        <v>826</v>
      </c>
      <c r="CE842">
        <v>153824</v>
      </c>
      <c r="CF842" t="s">
        <v>827</v>
      </c>
      <c r="CG842" t="s">
        <v>828</v>
      </c>
      <c r="CH842">
        <v>2011</v>
      </c>
    </row>
    <row r="843" spans="1:86" hidden="1" x14ac:dyDescent="0.25">
      <c r="A843">
        <v>330541</v>
      </c>
      <c r="B843" t="s">
        <v>86</v>
      </c>
      <c r="D843" t="s">
        <v>115</v>
      </c>
      <c r="K843" t="s">
        <v>767</v>
      </c>
      <c r="L843" t="s">
        <v>89</v>
      </c>
      <c r="M843" t="s">
        <v>759</v>
      </c>
      <c r="V843" t="s">
        <v>91</v>
      </c>
      <c r="W843" t="s">
        <v>92</v>
      </c>
      <c r="X843" t="s">
        <v>93</v>
      </c>
      <c r="Z843" t="s">
        <v>137</v>
      </c>
      <c r="AB843">
        <v>9.6036046400000005E-2</v>
      </c>
      <c r="AG843" t="s">
        <v>95</v>
      </c>
      <c r="AX843" t="s">
        <v>108</v>
      </c>
      <c r="AY843" t="s">
        <v>160</v>
      </c>
      <c r="AZ843" t="s">
        <v>214</v>
      </c>
      <c r="BC843">
        <v>2</v>
      </c>
      <c r="BH843" t="s">
        <v>99</v>
      </c>
      <c r="BO843" t="s">
        <v>111</v>
      </c>
      <c r="CD843" t="s">
        <v>778</v>
      </c>
      <c r="CE843">
        <v>172723</v>
      </c>
      <c r="CF843" t="s">
        <v>779</v>
      </c>
      <c r="CG843" t="s">
        <v>780</v>
      </c>
      <c r="CH843">
        <v>2012</v>
      </c>
    </row>
    <row r="844" spans="1:86" hidden="1" x14ac:dyDescent="0.25">
      <c r="A844">
        <v>330541</v>
      </c>
      <c r="B844" t="s">
        <v>86</v>
      </c>
      <c r="D844" t="s">
        <v>115</v>
      </c>
      <c r="K844" t="s">
        <v>771</v>
      </c>
      <c r="L844" t="s">
        <v>89</v>
      </c>
      <c r="M844" t="s">
        <v>759</v>
      </c>
      <c r="V844" t="s">
        <v>168</v>
      </c>
      <c r="W844" t="s">
        <v>107</v>
      </c>
      <c r="X844" t="s">
        <v>93</v>
      </c>
      <c r="Z844" t="s">
        <v>137</v>
      </c>
      <c r="AB844">
        <v>2.8999999999999998E-3</v>
      </c>
      <c r="AG844" t="s">
        <v>95</v>
      </c>
      <c r="AX844" t="s">
        <v>108</v>
      </c>
      <c r="AY844" t="s">
        <v>438</v>
      </c>
      <c r="AZ844" t="s">
        <v>214</v>
      </c>
      <c r="BC844">
        <v>0.1875</v>
      </c>
      <c r="BH844" t="s">
        <v>99</v>
      </c>
      <c r="BO844" t="s">
        <v>111</v>
      </c>
      <c r="CD844" t="s">
        <v>829</v>
      </c>
      <c r="CE844">
        <v>165582</v>
      </c>
      <c r="CF844" t="s">
        <v>830</v>
      </c>
      <c r="CG844" t="s">
        <v>831</v>
      </c>
      <c r="CH844">
        <v>2013</v>
      </c>
    </row>
    <row r="845" spans="1:86" hidden="1" x14ac:dyDescent="0.25">
      <c r="A845">
        <v>330541</v>
      </c>
      <c r="B845" t="s">
        <v>86</v>
      </c>
      <c r="D845" t="s">
        <v>105</v>
      </c>
      <c r="K845" t="s">
        <v>767</v>
      </c>
      <c r="L845" t="s">
        <v>89</v>
      </c>
      <c r="M845" t="s">
        <v>759</v>
      </c>
      <c r="N845" t="s">
        <v>118</v>
      </c>
      <c r="V845" t="s">
        <v>91</v>
      </c>
      <c r="W845" t="s">
        <v>92</v>
      </c>
      <c r="X845" t="s">
        <v>93</v>
      </c>
      <c r="Y845">
        <v>13</v>
      </c>
      <c r="Z845" t="s">
        <v>137</v>
      </c>
      <c r="AB845">
        <v>4.4288467999999998E-2</v>
      </c>
      <c r="AD845">
        <v>3.2633608000000001E-2</v>
      </c>
      <c r="AF845">
        <v>5.8274300000000001E-2</v>
      </c>
      <c r="AG845" t="s">
        <v>95</v>
      </c>
      <c r="AX845" t="s">
        <v>108</v>
      </c>
      <c r="AY845" t="s">
        <v>120</v>
      </c>
      <c r="AZ845" t="s">
        <v>214</v>
      </c>
      <c r="BC845">
        <v>1</v>
      </c>
      <c r="BH845" t="s">
        <v>99</v>
      </c>
      <c r="BO845" t="s">
        <v>111</v>
      </c>
      <c r="CD845" t="s">
        <v>772</v>
      </c>
      <c r="CE845">
        <v>160529</v>
      </c>
      <c r="CF845" t="s">
        <v>773</v>
      </c>
      <c r="CG845" t="s">
        <v>774</v>
      </c>
      <c r="CH845">
        <v>2012</v>
      </c>
    </row>
    <row r="846" spans="1:86" hidden="1" x14ac:dyDescent="0.25">
      <c r="A846">
        <v>330541</v>
      </c>
      <c r="B846" t="s">
        <v>86</v>
      </c>
      <c r="D846" t="s">
        <v>105</v>
      </c>
      <c r="K846" t="s">
        <v>767</v>
      </c>
      <c r="L846" t="s">
        <v>89</v>
      </c>
      <c r="M846" t="s">
        <v>759</v>
      </c>
      <c r="N846" t="s">
        <v>118</v>
      </c>
      <c r="V846" t="s">
        <v>91</v>
      </c>
      <c r="W846" t="s">
        <v>92</v>
      </c>
      <c r="X846" t="s">
        <v>93</v>
      </c>
      <c r="Y846">
        <v>13</v>
      </c>
      <c r="Z846" t="s">
        <v>137</v>
      </c>
      <c r="AB846">
        <v>3.0302636000000001E-2</v>
      </c>
      <c r="AD846">
        <v>1.93470676E-2</v>
      </c>
      <c r="AF846">
        <v>5.1281383999999999E-2</v>
      </c>
      <c r="AG846" t="s">
        <v>95</v>
      </c>
      <c r="AX846" t="s">
        <v>282</v>
      </c>
      <c r="AY846" t="s">
        <v>806</v>
      </c>
      <c r="AZ846" t="s">
        <v>214</v>
      </c>
      <c r="BC846">
        <v>1</v>
      </c>
      <c r="BH846" t="s">
        <v>99</v>
      </c>
      <c r="BO846" t="s">
        <v>111</v>
      </c>
      <c r="CD846" t="s">
        <v>772</v>
      </c>
      <c r="CE846">
        <v>160529</v>
      </c>
      <c r="CF846" t="s">
        <v>773</v>
      </c>
      <c r="CG846" t="s">
        <v>774</v>
      </c>
      <c r="CH846">
        <v>2012</v>
      </c>
    </row>
    <row r="847" spans="1:86" hidden="1" x14ac:dyDescent="0.25">
      <c r="A847">
        <v>330541</v>
      </c>
      <c r="B847" t="s">
        <v>86</v>
      </c>
      <c r="D847" t="s">
        <v>115</v>
      </c>
      <c r="K847" t="s">
        <v>767</v>
      </c>
      <c r="L847" t="s">
        <v>89</v>
      </c>
      <c r="M847" t="s">
        <v>759</v>
      </c>
      <c r="V847" t="s">
        <v>91</v>
      </c>
      <c r="W847" t="s">
        <v>92</v>
      </c>
      <c r="X847" t="s">
        <v>93</v>
      </c>
      <c r="Z847" t="s">
        <v>137</v>
      </c>
      <c r="AB847">
        <v>9.2772685600000002E-2</v>
      </c>
      <c r="AG847" t="s">
        <v>95</v>
      </c>
      <c r="AX847" t="s">
        <v>108</v>
      </c>
      <c r="AY847" t="s">
        <v>160</v>
      </c>
      <c r="AZ847" t="s">
        <v>214</v>
      </c>
      <c r="BC847">
        <v>2</v>
      </c>
      <c r="BH847" t="s">
        <v>99</v>
      </c>
      <c r="BO847" t="s">
        <v>111</v>
      </c>
      <c r="CD847" t="s">
        <v>778</v>
      </c>
      <c r="CE847">
        <v>172723</v>
      </c>
      <c r="CF847" t="s">
        <v>779</v>
      </c>
      <c r="CG847" t="s">
        <v>780</v>
      </c>
      <c r="CH847">
        <v>2012</v>
      </c>
    </row>
    <row r="848" spans="1:86" hidden="1" x14ac:dyDescent="0.25">
      <c r="A848">
        <v>330541</v>
      </c>
      <c r="B848" t="s">
        <v>86</v>
      </c>
      <c r="C848" t="s">
        <v>183</v>
      </c>
      <c r="D848" t="s">
        <v>115</v>
      </c>
      <c r="K848" t="s">
        <v>766</v>
      </c>
      <c r="L848" t="s">
        <v>117</v>
      </c>
      <c r="M848" t="s">
        <v>759</v>
      </c>
      <c r="N848" t="s">
        <v>118</v>
      </c>
      <c r="V848" t="s">
        <v>91</v>
      </c>
      <c r="W848" t="s">
        <v>107</v>
      </c>
      <c r="X848" t="s">
        <v>93</v>
      </c>
      <c r="Z848" t="s">
        <v>94</v>
      </c>
      <c r="AB848">
        <v>0.01</v>
      </c>
      <c r="AG848" t="s">
        <v>95</v>
      </c>
      <c r="AX848" t="s">
        <v>144</v>
      </c>
      <c r="AY848" t="s">
        <v>109</v>
      </c>
      <c r="AZ848" t="s">
        <v>214</v>
      </c>
      <c r="BC848">
        <v>6.25E-2</v>
      </c>
      <c r="BH848" t="s">
        <v>99</v>
      </c>
      <c r="BO848" t="s">
        <v>111</v>
      </c>
      <c r="CD848" t="s">
        <v>191</v>
      </c>
      <c r="CE848">
        <v>9211</v>
      </c>
      <c r="CF848" t="s">
        <v>192</v>
      </c>
      <c r="CG848" t="s">
        <v>193</v>
      </c>
      <c r="CH848">
        <v>1972</v>
      </c>
    </row>
    <row r="849" spans="1:86" hidden="1" x14ac:dyDescent="0.25">
      <c r="A849">
        <v>330541</v>
      </c>
      <c r="B849" t="s">
        <v>86</v>
      </c>
      <c r="D849" t="s">
        <v>115</v>
      </c>
      <c r="K849" t="s">
        <v>767</v>
      </c>
      <c r="L849" t="s">
        <v>89</v>
      </c>
      <c r="M849" t="s">
        <v>759</v>
      </c>
      <c r="V849" t="s">
        <v>91</v>
      </c>
      <c r="W849" t="s">
        <v>92</v>
      </c>
      <c r="X849" t="s">
        <v>93</v>
      </c>
      <c r="Z849" t="s">
        <v>137</v>
      </c>
      <c r="AB849">
        <v>8.9975519200000006E-2</v>
      </c>
      <c r="AG849" t="s">
        <v>95</v>
      </c>
      <c r="AX849" t="s">
        <v>108</v>
      </c>
      <c r="AY849" t="s">
        <v>160</v>
      </c>
      <c r="AZ849" t="s">
        <v>214</v>
      </c>
      <c r="BC849">
        <v>2</v>
      </c>
      <c r="BH849" t="s">
        <v>99</v>
      </c>
      <c r="BO849" t="s">
        <v>111</v>
      </c>
      <c r="CD849" t="s">
        <v>778</v>
      </c>
      <c r="CE849">
        <v>172723</v>
      </c>
      <c r="CF849" t="s">
        <v>779</v>
      </c>
      <c r="CG849" t="s">
        <v>780</v>
      </c>
      <c r="CH849">
        <v>2012</v>
      </c>
    </row>
    <row r="850" spans="1:86" hidden="1" x14ac:dyDescent="0.25">
      <c r="A850">
        <v>330541</v>
      </c>
      <c r="B850" t="s">
        <v>86</v>
      </c>
      <c r="D850" t="s">
        <v>115</v>
      </c>
      <c r="K850" t="s">
        <v>766</v>
      </c>
      <c r="L850" t="s">
        <v>117</v>
      </c>
      <c r="M850" t="s">
        <v>759</v>
      </c>
      <c r="N850" t="s">
        <v>118</v>
      </c>
      <c r="V850" t="s">
        <v>91</v>
      </c>
      <c r="W850" t="s">
        <v>107</v>
      </c>
      <c r="X850" t="s">
        <v>93</v>
      </c>
      <c r="Y850">
        <v>6</v>
      </c>
      <c r="Z850" t="s">
        <v>137</v>
      </c>
      <c r="AB850">
        <v>1.8E-3</v>
      </c>
      <c r="AD850">
        <v>1.5E-3</v>
      </c>
      <c r="AF850">
        <v>2.0999999999999999E-3</v>
      </c>
      <c r="AG850" t="s">
        <v>95</v>
      </c>
      <c r="AX850" t="s">
        <v>108</v>
      </c>
      <c r="AY850" t="s">
        <v>438</v>
      </c>
      <c r="AZ850" t="s">
        <v>214</v>
      </c>
      <c r="BC850">
        <v>0.1875</v>
      </c>
      <c r="BH850" t="s">
        <v>99</v>
      </c>
      <c r="BO850" t="s">
        <v>111</v>
      </c>
      <c r="CD850" t="s">
        <v>798</v>
      </c>
      <c r="CE850">
        <v>165280</v>
      </c>
      <c r="CF850" t="s">
        <v>799</v>
      </c>
      <c r="CG850" t="s">
        <v>800</v>
      </c>
      <c r="CH850">
        <v>2014</v>
      </c>
    </row>
    <row r="851" spans="1:86" hidden="1" x14ac:dyDescent="0.25">
      <c r="A851">
        <v>330541</v>
      </c>
      <c r="B851" t="s">
        <v>86</v>
      </c>
      <c r="C851" t="s">
        <v>183</v>
      </c>
      <c r="D851" t="s">
        <v>115</v>
      </c>
      <c r="K851" t="s">
        <v>771</v>
      </c>
      <c r="L851" t="s">
        <v>89</v>
      </c>
      <c r="M851" t="s">
        <v>759</v>
      </c>
      <c r="N851" t="s">
        <v>118</v>
      </c>
      <c r="V851" t="s">
        <v>91</v>
      </c>
      <c r="W851" t="s">
        <v>107</v>
      </c>
      <c r="X851" t="s">
        <v>93</v>
      </c>
      <c r="Z851" t="s">
        <v>94</v>
      </c>
      <c r="AB851" s="281">
        <v>0.02</v>
      </c>
      <c r="AG851" t="s">
        <v>95</v>
      </c>
      <c r="AX851" t="s">
        <v>108</v>
      </c>
      <c r="AY851" t="s">
        <v>160</v>
      </c>
      <c r="AZ851" t="s">
        <v>214</v>
      </c>
      <c r="BC851">
        <v>10</v>
      </c>
      <c r="BH851" t="s">
        <v>99</v>
      </c>
      <c r="BO851" t="s">
        <v>111</v>
      </c>
      <c r="CD851" t="s">
        <v>191</v>
      </c>
      <c r="CE851">
        <v>9211</v>
      </c>
      <c r="CF851" t="s">
        <v>192</v>
      </c>
      <c r="CG851" t="s">
        <v>193</v>
      </c>
      <c r="CH851">
        <v>1972</v>
      </c>
    </row>
    <row r="852" spans="1:86" hidden="1" x14ac:dyDescent="0.25">
      <c r="A852">
        <v>330541</v>
      </c>
      <c r="B852" t="s">
        <v>86</v>
      </c>
      <c r="D852" t="s">
        <v>115</v>
      </c>
      <c r="K852" t="s">
        <v>771</v>
      </c>
      <c r="L852" t="s">
        <v>89</v>
      </c>
      <c r="M852" t="s">
        <v>759</v>
      </c>
      <c r="N852" t="s">
        <v>118</v>
      </c>
      <c r="V852" t="s">
        <v>91</v>
      </c>
      <c r="W852" t="s">
        <v>107</v>
      </c>
      <c r="X852" t="s">
        <v>93</v>
      </c>
      <c r="Y852">
        <v>6</v>
      </c>
      <c r="Z852" t="s">
        <v>137</v>
      </c>
      <c r="AB852">
        <v>9.1999999999999998E-3</v>
      </c>
      <c r="AD852">
        <v>8.5000000000000006E-3</v>
      </c>
      <c r="AF852">
        <v>1.0200000000000001E-2</v>
      </c>
      <c r="AG852" t="s">
        <v>95</v>
      </c>
      <c r="AX852" t="s">
        <v>108</v>
      </c>
      <c r="AY852" t="s">
        <v>160</v>
      </c>
      <c r="AZ852" t="s">
        <v>214</v>
      </c>
      <c r="BC852">
        <v>4</v>
      </c>
      <c r="BH852" t="s">
        <v>99</v>
      </c>
      <c r="BO852" t="s">
        <v>111</v>
      </c>
      <c r="CD852" t="s">
        <v>832</v>
      </c>
      <c r="CE852">
        <v>165272</v>
      </c>
      <c r="CF852" t="s">
        <v>833</v>
      </c>
      <c r="CG852" t="s">
        <v>834</v>
      </c>
      <c r="CH852">
        <v>2013</v>
      </c>
    </row>
    <row r="853" spans="1:86" hidden="1" x14ac:dyDescent="0.25">
      <c r="A853">
        <v>330541</v>
      </c>
      <c r="B853" t="s">
        <v>86</v>
      </c>
      <c r="D853" t="s">
        <v>115</v>
      </c>
      <c r="K853" t="s">
        <v>767</v>
      </c>
      <c r="L853" t="s">
        <v>89</v>
      </c>
      <c r="M853" t="s">
        <v>759</v>
      </c>
      <c r="V853" t="s">
        <v>91</v>
      </c>
      <c r="W853" t="s">
        <v>92</v>
      </c>
      <c r="X853" t="s">
        <v>93</v>
      </c>
      <c r="Z853" t="s">
        <v>137</v>
      </c>
      <c r="AB853">
        <v>0.1058261288</v>
      </c>
      <c r="AG853" t="s">
        <v>95</v>
      </c>
      <c r="AX853" t="s">
        <v>108</v>
      </c>
      <c r="AY853" t="s">
        <v>160</v>
      </c>
      <c r="AZ853" t="s">
        <v>214</v>
      </c>
      <c r="BC853">
        <v>2</v>
      </c>
      <c r="BH853" t="s">
        <v>99</v>
      </c>
      <c r="BO853" t="s">
        <v>111</v>
      </c>
      <c r="CD853" t="s">
        <v>778</v>
      </c>
      <c r="CE853">
        <v>172723</v>
      </c>
      <c r="CF853" t="s">
        <v>779</v>
      </c>
      <c r="CG853" t="s">
        <v>780</v>
      </c>
      <c r="CH853">
        <v>2012</v>
      </c>
    </row>
    <row r="854" spans="1:86" hidden="1" x14ac:dyDescent="0.25">
      <c r="A854">
        <v>330541</v>
      </c>
      <c r="B854" t="s">
        <v>86</v>
      </c>
      <c r="D854" t="s">
        <v>115</v>
      </c>
      <c r="K854" t="s">
        <v>767</v>
      </c>
      <c r="L854" t="s">
        <v>89</v>
      </c>
      <c r="M854" t="s">
        <v>759</v>
      </c>
      <c r="V854" t="s">
        <v>91</v>
      </c>
      <c r="W854" t="s">
        <v>92</v>
      </c>
      <c r="X854" t="s">
        <v>93</v>
      </c>
      <c r="Z854" t="s">
        <v>137</v>
      </c>
      <c r="AB854">
        <v>0.12214293280000001</v>
      </c>
      <c r="AG854" t="s">
        <v>95</v>
      </c>
      <c r="AX854" t="s">
        <v>108</v>
      </c>
      <c r="AY854" t="s">
        <v>160</v>
      </c>
      <c r="AZ854" t="s">
        <v>214</v>
      </c>
      <c r="BC854">
        <v>2</v>
      </c>
      <c r="BH854" t="s">
        <v>99</v>
      </c>
      <c r="BO854" t="s">
        <v>111</v>
      </c>
      <c r="CD854" t="s">
        <v>778</v>
      </c>
      <c r="CE854">
        <v>172723</v>
      </c>
      <c r="CF854" t="s">
        <v>779</v>
      </c>
      <c r="CG854" t="s">
        <v>780</v>
      </c>
      <c r="CH854">
        <v>2012</v>
      </c>
    </row>
    <row r="855" spans="1:86" hidden="1" x14ac:dyDescent="0.25">
      <c r="A855">
        <v>330541</v>
      </c>
      <c r="B855" t="s">
        <v>86</v>
      </c>
      <c r="C855" t="s">
        <v>158</v>
      </c>
      <c r="D855" t="s">
        <v>115</v>
      </c>
      <c r="K855" t="s">
        <v>835</v>
      </c>
      <c r="L855" t="s">
        <v>89</v>
      </c>
      <c r="M855" t="s">
        <v>759</v>
      </c>
      <c r="P855">
        <v>3</v>
      </c>
      <c r="U855" t="s">
        <v>219</v>
      </c>
      <c r="V855" t="s">
        <v>91</v>
      </c>
      <c r="W855" t="s">
        <v>220</v>
      </c>
      <c r="X855" t="s">
        <v>93</v>
      </c>
      <c r="Y855">
        <v>11</v>
      </c>
      <c r="Z855" t="s">
        <v>94</v>
      </c>
      <c r="AD855">
        <v>2</v>
      </c>
      <c r="AF855">
        <v>5</v>
      </c>
      <c r="AG855" t="s">
        <v>95</v>
      </c>
      <c r="AX855" t="s">
        <v>108</v>
      </c>
      <c r="AY855" t="s">
        <v>160</v>
      </c>
      <c r="AZ855" t="s">
        <v>214</v>
      </c>
      <c r="BE855">
        <v>5</v>
      </c>
      <c r="BG855">
        <v>30</v>
      </c>
      <c r="BH855" t="s">
        <v>99</v>
      </c>
      <c r="BO855" t="s">
        <v>111</v>
      </c>
      <c r="CD855" t="s">
        <v>221</v>
      </c>
      <c r="CE855">
        <v>4871</v>
      </c>
      <c r="CF855" t="s">
        <v>222</v>
      </c>
      <c r="CG855" t="s">
        <v>223</v>
      </c>
      <c r="CH855">
        <v>1975</v>
      </c>
    </row>
    <row r="856" spans="1:86" hidden="1" x14ac:dyDescent="0.25">
      <c r="A856">
        <v>330541</v>
      </c>
      <c r="B856" t="s">
        <v>86</v>
      </c>
      <c r="C856" t="s">
        <v>380</v>
      </c>
      <c r="D856" t="s">
        <v>115</v>
      </c>
      <c r="K856" t="s">
        <v>758</v>
      </c>
      <c r="L856" t="s">
        <v>89</v>
      </c>
      <c r="M856" t="s">
        <v>759</v>
      </c>
      <c r="V856" t="s">
        <v>91</v>
      </c>
      <c r="W856" t="s">
        <v>92</v>
      </c>
      <c r="X856" t="s">
        <v>93</v>
      </c>
      <c r="Z856" t="s">
        <v>94</v>
      </c>
      <c r="AB856">
        <v>3.9E-2</v>
      </c>
      <c r="AG856" t="s">
        <v>95</v>
      </c>
      <c r="AX856" t="s">
        <v>144</v>
      </c>
      <c r="AY856" t="s">
        <v>438</v>
      </c>
      <c r="AZ856" t="s">
        <v>214</v>
      </c>
      <c r="BC856">
        <v>8.3299999999999999E-2</v>
      </c>
      <c r="BH856" t="s">
        <v>99</v>
      </c>
      <c r="BO856" t="s">
        <v>111</v>
      </c>
      <c r="CD856" t="s">
        <v>836</v>
      </c>
      <c r="CE856">
        <v>70033</v>
      </c>
      <c r="CF856" t="s">
        <v>837</v>
      </c>
      <c r="CG856" t="s">
        <v>838</v>
      </c>
      <c r="CH856">
        <v>2003</v>
      </c>
    </row>
    <row r="857" spans="1:86" hidden="1" x14ac:dyDescent="0.25">
      <c r="A857">
        <v>330541</v>
      </c>
      <c r="B857" t="s">
        <v>86</v>
      </c>
      <c r="D857" t="s">
        <v>115</v>
      </c>
      <c r="K857" t="s">
        <v>781</v>
      </c>
      <c r="L857" t="s">
        <v>89</v>
      </c>
      <c r="M857" t="s">
        <v>759</v>
      </c>
      <c r="V857" t="s">
        <v>91</v>
      </c>
      <c r="W857" t="s">
        <v>92</v>
      </c>
      <c r="X857" t="s">
        <v>93</v>
      </c>
      <c r="Z857" t="s">
        <v>137</v>
      </c>
      <c r="AB857">
        <v>3.5999999999999997E-2</v>
      </c>
      <c r="AG857" t="s">
        <v>95</v>
      </c>
      <c r="AX857" t="s">
        <v>108</v>
      </c>
      <c r="AY857" t="s">
        <v>160</v>
      </c>
      <c r="AZ857" t="s">
        <v>214</v>
      </c>
      <c r="BC857">
        <v>3</v>
      </c>
      <c r="BH857" t="s">
        <v>99</v>
      </c>
      <c r="BO857" t="s">
        <v>111</v>
      </c>
      <c r="CD857" t="s">
        <v>839</v>
      </c>
      <c r="CE857">
        <v>4008</v>
      </c>
      <c r="CF857" t="s">
        <v>840</v>
      </c>
      <c r="CG857" t="s">
        <v>841</v>
      </c>
      <c r="CH857">
        <v>1994</v>
      </c>
    </row>
    <row r="858" spans="1:86" hidden="1" x14ac:dyDescent="0.25">
      <c r="A858">
        <v>330541</v>
      </c>
      <c r="B858" t="s">
        <v>86</v>
      </c>
      <c r="D858" t="s">
        <v>115</v>
      </c>
      <c r="K858" t="s">
        <v>842</v>
      </c>
      <c r="L858" t="s">
        <v>117</v>
      </c>
      <c r="M858" t="s">
        <v>759</v>
      </c>
      <c r="V858" t="s">
        <v>91</v>
      </c>
      <c r="W858" t="s">
        <v>107</v>
      </c>
      <c r="X858" t="s">
        <v>93</v>
      </c>
      <c r="Z858" t="s">
        <v>137</v>
      </c>
      <c r="AB858">
        <v>0.16900000000000001</v>
      </c>
      <c r="AG858" t="s">
        <v>95</v>
      </c>
      <c r="AX858" t="s">
        <v>144</v>
      </c>
      <c r="AY858" t="s">
        <v>109</v>
      </c>
      <c r="AZ858" t="s">
        <v>214</v>
      </c>
      <c r="BC858">
        <v>6.25E-2</v>
      </c>
      <c r="BH858" t="s">
        <v>99</v>
      </c>
      <c r="BO858" t="s">
        <v>111</v>
      </c>
      <c r="CD858" t="s">
        <v>229</v>
      </c>
      <c r="CE858">
        <v>8860</v>
      </c>
      <c r="CF858" t="s">
        <v>230</v>
      </c>
      <c r="CG858" t="s">
        <v>231</v>
      </c>
      <c r="CH858">
        <v>1973</v>
      </c>
    </row>
    <row r="859" spans="1:86" hidden="1" x14ac:dyDescent="0.25">
      <c r="A859">
        <v>330541</v>
      </c>
      <c r="B859" t="s">
        <v>86</v>
      </c>
      <c r="D859" t="s">
        <v>115</v>
      </c>
      <c r="K859" t="s">
        <v>767</v>
      </c>
      <c r="L859" t="s">
        <v>89</v>
      </c>
      <c r="M859" t="s">
        <v>759</v>
      </c>
      <c r="V859" t="s">
        <v>91</v>
      </c>
      <c r="W859" t="s">
        <v>92</v>
      </c>
      <c r="X859" t="s">
        <v>93</v>
      </c>
      <c r="Z859" t="s">
        <v>137</v>
      </c>
      <c r="AB859">
        <v>0.127037974</v>
      </c>
      <c r="AG859" t="s">
        <v>95</v>
      </c>
      <c r="AX859" t="s">
        <v>108</v>
      </c>
      <c r="AY859" t="s">
        <v>160</v>
      </c>
      <c r="AZ859" t="s">
        <v>214</v>
      </c>
      <c r="BC859">
        <v>2</v>
      </c>
      <c r="BH859" t="s">
        <v>99</v>
      </c>
      <c r="BO859" t="s">
        <v>111</v>
      </c>
      <c r="CD859" t="s">
        <v>778</v>
      </c>
      <c r="CE859">
        <v>172723</v>
      </c>
      <c r="CF859" t="s">
        <v>779</v>
      </c>
      <c r="CG859" t="s">
        <v>780</v>
      </c>
      <c r="CH859">
        <v>2012</v>
      </c>
    </row>
    <row r="860" spans="1:86" hidden="1" x14ac:dyDescent="0.25">
      <c r="A860">
        <v>330541</v>
      </c>
      <c r="B860" t="s">
        <v>86</v>
      </c>
      <c r="D860" t="s">
        <v>115</v>
      </c>
      <c r="K860" t="s">
        <v>767</v>
      </c>
      <c r="L860" t="s">
        <v>89</v>
      </c>
      <c r="M860" t="s">
        <v>759</v>
      </c>
      <c r="N860" t="s">
        <v>118</v>
      </c>
      <c r="V860" t="s">
        <v>91</v>
      </c>
      <c r="W860" t="s">
        <v>92</v>
      </c>
      <c r="X860" t="s">
        <v>93</v>
      </c>
      <c r="Y860">
        <v>9</v>
      </c>
      <c r="Z860" t="s">
        <v>137</v>
      </c>
      <c r="AB860">
        <v>4.1957495999999997E-2</v>
      </c>
      <c r="AD860">
        <v>3.9626524000000003E-2</v>
      </c>
      <c r="AF860">
        <v>4.4288467999999998E-2</v>
      </c>
      <c r="AG860" t="s">
        <v>95</v>
      </c>
      <c r="AX860" t="s">
        <v>602</v>
      </c>
      <c r="AY860" t="s">
        <v>843</v>
      </c>
      <c r="AZ860" t="s">
        <v>214</v>
      </c>
      <c r="BC860">
        <v>2</v>
      </c>
      <c r="BH860" t="s">
        <v>99</v>
      </c>
      <c r="BO860" t="s">
        <v>111</v>
      </c>
      <c r="CD860" t="s">
        <v>844</v>
      </c>
      <c r="CE860">
        <v>172697</v>
      </c>
      <c r="CF860" t="s">
        <v>845</v>
      </c>
      <c r="CG860" t="s">
        <v>846</v>
      </c>
      <c r="CH860">
        <v>2015</v>
      </c>
    </row>
    <row r="861" spans="1:86" hidden="1" x14ac:dyDescent="0.25">
      <c r="A861">
        <v>330541</v>
      </c>
      <c r="B861" t="s">
        <v>86</v>
      </c>
      <c r="D861" t="s">
        <v>115</v>
      </c>
      <c r="F861">
        <v>98</v>
      </c>
      <c r="K861" t="s">
        <v>765</v>
      </c>
      <c r="L861" t="s">
        <v>143</v>
      </c>
      <c r="M861" t="s">
        <v>759</v>
      </c>
      <c r="V861" t="s">
        <v>507</v>
      </c>
      <c r="W861" t="s">
        <v>107</v>
      </c>
      <c r="X861" t="s">
        <v>93</v>
      </c>
      <c r="Z861" t="s">
        <v>94</v>
      </c>
      <c r="AB861" s="281">
        <v>0.11</v>
      </c>
      <c r="AD861">
        <v>8.8999999999999996E-2</v>
      </c>
      <c r="AF861">
        <v>0.14000000000000001</v>
      </c>
      <c r="AG861" t="s">
        <v>95</v>
      </c>
      <c r="AX861" t="s">
        <v>108</v>
      </c>
      <c r="AY861" t="s">
        <v>160</v>
      </c>
      <c r="AZ861" t="s">
        <v>214</v>
      </c>
      <c r="BC861">
        <v>4</v>
      </c>
      <c r="BH861" t="s">
        <v>99</v>
      </c>
      <c r="BO861" t="s">
        <v>111</v>
      </c>
      <c r="CD861" t="s">
        <v>169</v>
      </c>
      <c r="CE861">
        <v>156339</v>
      </c>
      <c r="CF861" t="s">
        <v>170</v>
      </c>
      <c r="CG861" t="s">
        <v>171</v>
      </c>
      <c r="CH861">
        <v>2011</v>
      </c>
    </row>
    <row r="862" spans="1:86" hidden="1" x14ac:dyDescent="0.25">
      <c r="A862">
        <v>330541</v>
      </c>
      <c r="B862" t="s">
        <v>86</v>
      </c>
      <c r="D862" t="s">
        <v>115</v>
      </c>
      <c r="K862" t="s">
        <v>767</v>
      </c>
      <c r="L862" t="s">
        <v>89</v>
      </c>
      <c r="M862" t="s">
        <v>759</v>
      </c>
      <c r="V862" t="s">
        <v>91</v>
      </c>
      <c r="W862" t="s">
        <v>92</v>
      </c>
      <c r="X862" t="s">
        <v>93</v>
      </c>
      <c r="Z862" t="s">
        <v>137</v>
      </c>
      <c r="AB862">
        <v>0.14475336120000001</v>
      </c>
      <c r="AG862" t="s">
        <v>95</v>
      </c>
      <c r="AX862" t="s">
        <v>108</v>
      </c>
      <c r="AY862" t="s">
        <v>160</v>
      </c>
      <c r="AZ862" t="s">
        <v>214</v>
      </c>
      <c r="BC862">
        <v>2</v>
      </c>
      <c r="BH862" t="s">
        <v>99</v>
      </c>
      <c r="BO862" t="s">
        <v>111</v>
      </c>
      <c r="CD862" t="s">
        <v>778</v>
      </c>
      <c r="CE862">
        <v>172723</v>
      </c>
      <c r="CF862" t="s">
        <v>779</v>
      </c>
      <c r="CG862" t="s">
        <v>780</v>
      </c>
      <c r="CH862">
        <v>2012</v>
      </c>
    </row>
    <row r="863" spans="1:86" hidden="1" x14ac:dyDescent="0.25">
      <c r="A863">
        <v>330541</v>
      </c>
      <c r="B863" t="s">
        <v>86</v>
      </c>
      <c r="C863" t="s">
        <v>158</v>
      </c>
      <c r="D863" t="s">
        <v>115</v>
      </c>
      <c r="K863" t="s">
        <v>758</v>
      </c>
      <c r="L863" t="s">
        <v>89</v>
      </c>
      <c r="M863" t="s">
        <v>759</v>
      </c>
      <c r="P863">
        <v>3</v>
      </c>
      <c r="U863" t="s">
        <v>219</v>
      </c>
      <c r="V863" t="s">
        <v>91</v>
      </c>
      <c r="W863" t="s">
        <v>220</v>
      </c>
      <c r="X863" t="s">
        <v>93</v>
      </c>
      <c r="Y863">
        <v>11</v>
      </c>
      <c r="Z863" t="s">
        <v>94</v>
      </c>
      <c r="AB863" s="281">
        <v>0.1</v>
      </c>
      <c r="AG863" t="s">
        <v>95</v>
      </c>
      <c r="AX863" t="s">
        <v>108</v>
      </c>
      <c r="AY863" t="s">
        <v>160</v>
      </c>
      <c r="AZ863" t="s">
        <v>214</v>
      </c>
      <c r="BE863">
        <v>5</v>
      </c>
      <c r="BG863">
        <v>30</v>
      </c>
      <c r="BH863" t="s">
        <v>99</v>
      </c>
      <c r="BO863" t="s">
        <v>111</v>
      </c>
      <c r="CD863" t="s">
        <v>221</v>
      </c>
      <c r="CE863">
        <v>4871</v>
      </c>
      <c r="CF863" t="s">
        <v>222</v>
      </c>
      <c r="CG863" t="s">
        <v>223</v>
      </c>
      <c r="CH863">
        <v>1975</v>
      </c>
    </row>
    <row r="864" spans="1:86" hidden="1" x14ac:dyDescent="0.25">
      <c r="A864">
        <v>330541</v>
      </c>
      <c r="B864" t="s">
        <v>86</v>
      </c>
      <c r="D864" t="s">
        <v>115</v>
      </c>
      <c r="K864" t="s">
        <v>767</v>
      </c>
      <c r="L864" t="s">
        <v>89</v>
      </c>
      <c r="M864" t="s">
        <v>759</v>
      </c>
      <c r="V864" t="s">
        <v>91</v>
      </c>
      <c r="W864" t="s">
        <v>92</v>
      </c>
      <c r="X864" t="s">
        <v>93</v>
      </c>
      <c r="Z864" t="s">
        <v>137</v>
      </c>
      <c r="AB864">
        <v>0.1349632788</v>
      </c>
      <c r="AG864" t="s">
        <v>95</v>
      </c>
      <c r="AX864" t="s">
        <v>108</v>
      </c>
      <c r="AY864" t="s">
        <v>160</v>
      </c>
      <c r="AZ864" t="s">
        <v>214</v>
      </c>
      <c r="BC864">
        <v>2</v>
      </c>
      <c r="BH864" t="s">
        <v>99</v>
      </c>
      <c r="BO864" t="s">
        <v>111</v>
      </c>
      <c r="CD864" t="s">
        <v>778</v>
      </c>
      <c r="CE864">
        <v>172723</v>
      </c>
      <c r="CF864" t="s">
        <v>779</v>
      </c>
      <c r="CG864" t="s">
        <v>780</v>
      </c>
      <c r="CH864">
        <v>2012</v>
      </c>
    </row>
    <row r="865" spans="1:86" hidden="1" x14ac:dyDescent="0.25">
      <c r="A865">
        <v>330541</v>
      </c>
      <c r="B865" t="s">
        <v>86</v>
      </c>
      <c r="D865" t="s">
        <v>115</v>
      </c>
      <c r="K865" t="s">
        <v>767</v>
      </c>
      <c r="L865" t="s">
        <v>89</v>
      </c>
      <c r="M865" t="s">
        <v>759</v>
      </c>
      <c r="V865" t="s">
        <v>91</v>
      </c>
      <c r="W865" t="s">
        <v>92</v>
      </c>
      <c r="X865" t="s">
        <v>93</v>
      </c>
      <c r="Z865" t="s">
        <v>137</v>
      </c>
      <c r="AB865">
        <v>0.14055761159999999</v>
      </c>
      <c r="AG865" t="s">
        <v>95</v>
      </c>
      <c r="AX865" t="s">
        <v>108</v>
      </c>
      <c r="AY865" t="s">
        <v>160</v>
      </c>
      <c r="AZ865" t="s">
        <v>214</v>
      </c>
      <c r="BC865">
        <v>2</v>
      </c>
      <c r="BH865" t="s">
        <v>99</v>
      </c>
      <c r="BO865" t="s">
        <v>111</v>
      </c>
      <c r="CD865" t="s">
        <v>778</v>
      </c>
      <c r="CE865">
        <v>172723</v>
      </c>
      <c r="CF865" t="s">
        <v>779</v>
      </c>
      <c r="CG865" t="s">
        <v>780</v>
      </c>
      <c r="CH865">
        <v>2012</v>
      </c>
    </row>
    <row r="866" spans="1:86" hidden="1" x14ac:dyDescent="0.25">
      <c r="A866">
        <v>330541</v>
      </c>
      <c r="B866" t="s">
        <v>86</v>
      </c>
      <c r="C866" t="s">
        <v>788</v>
      </c>
      <c r="D866" t="s">
        <v>115</v>
      </c>
      <c r="K866" t="s">
        <v>771</v>
      </c>
      <c r="L866" t="s">
        <v>89</v>
      </c>
      <c r="M866" t="s">
        <v>759</v>
      </c>
      <c r="V866" t="s">
        <v>91</v>
      </c>
      <c r="W866" t="s">
        <v>107</v>
      </c>
      <c r="X866" t="s">
        <v>93</v>
      </c>
      <c r="Z866" t="s">
        <v>94</v>
      </c>
      <c r="AB866" s="281">
        <v>3.5000000000000003E-2</v>
      </c>
      <c r="AG866" t="s">
        <v>95</v>
      </c>
      <c r="AX866" t="s">
        <v>108</v>
      </c>
      <c r="AY866" t="s">
        <v>109</v>
      </c>
      <c r="AZ866" t="s">
        <v>214</v>
      </c>
      <c r="BC866">
        <v>1</v>
      </c>
      <c r="BH866" t="s">
        <v>99</v>
      </c>
      <c r="BO866" t="s">
        <v>111</v>
      </c>
      <c r="CD866" t="s">
        <v>789</v>
      </c>
      <c r="CE866">
        <v>66270</v>
      </c>
      <c r="CF866" t="s">
        <v>790</v>
      </c>
      <c r="CG866" t="s">
        <v>791</v>
      </c>
      <c r="CH866">
        <v>1983</v>
      </c>
    </row>
    <row r="867" spans="1:86" hidden="1" x14ac:dyDescent="0.25">
      <c r="A867">
        <v>330541</v>
      </c>
      <c r="B867" t="s">
        <v>86</v>
      </c>
      <c r="C867" t="s">
        <v>183</v>
      </c>
      <c r="D867" t="s">
        <v>115</v>
      </c>
      <c r="K867" t="s">
        <v>766</v>
      </c>
      <c r="L867" t="s">
        <v>117</v>
      </c>
      <c r="M867" t="s">
        <v>759</v>
      </c>
      <c r="N867" t="s">
        <v>118</v>
      </c>
      <c r="V867" t="s">
        <v>91</v>
      </c>
      <c r="W867" t="s">
        <v>107</v>
      </c>
      <c r="X867" t="s">
        <v>93</v>
      </c>
      <c r="Z867" t="s">
        <v>94</v>
      </c>
      <c r="AB867" s="281">
        <v>0.01</v>
      </c>
      <c r="AG867" t="s">
        <v>95</v>
      </c>
      <c r="AX867" t="s">
        <v>108</v>
      </c>
      <c r="AY867" t="s">
        <v>160</v>
      </c>
      <c r="AZ867" t="s">
        <v>214</v>
      </c>
      <c r="BC867">
        <v>10</v>
      </c>
      <c r="BH867" t="s">
        <v>99</v>
      </c>
      <c r="BO867" t="s">
        <v>111</v>
      </c>
      <c r="CD867" t="s">
        <v>191</v>
      </c>
      <c r="CE867">
        <v>9211</v>
      </c>
      <c r="CF867" t="s">
        <v>192</v>
      </c>
      <c r="CG867" t="s">
        <v>193</v>
      </c>
      <c r="CH867">
        <v>1972</v>
      </c>
    </row>
    <row r="868" spans="1:86" hidden="1" x14ac:dyDescent="0.25">
      <c r="A868">
        <v>330541</v>
      </c>
      <c r="B868" t="s">
        <v>86</v>
      </c>
      <c r="D868" t="s">
        <v>115</v>
      </c>
      <c r="K868" t="s">
        <v>758</v>
      </c>
      <c r="L868" t="s">
        <v>89</v>
      </c>
      <c r="M868" t="s">
        <v>759</v>
      </c>
      <c r="V868" t="s">
        <v>91</v>
      </c>
      <c r="W868" t="s">
        <v>92</v>
      </c>
      <c r="X868" t="s">
        <v>93</v>
      </c>
      <c r="Z868" t="s">
        <v>137</v>
      </c>
      <c r="AB868">
        <v>4.6619440000000003E-3</v>
      </c>
      <c r="AG868" t="s">
        <v>95</v>
      </c>
      <c r="AX868" t="s">
        <v>108</v>
      </c>
      <c r="AY868" t="s">
        <v>174</v>
      </c>
      <c r="AZ868" t="s">
        <v>214</v>
      </c>
      <c r="BC868">
        <v>4</v>
      </c>
      <c r="BH868" t="s">
        <v>99</v>
      </c>
      <c r="BO868" t="s">
        <v>111</v>
      </c>
      <c r="CD868" t="s">
        <v>847</v>
      </c>
      <c r="CE868">
        <v>81284</v>
      </c>
      <c r="CF868" t="s">
        <v>848</v>
      </c>
      <c r="CG868" t="s">
        <v>849</v>
      </c>
      <c r="CH868">
        <v>2005</v>
      </c>
    </row>
    <row r="869" spans="1:86" hidden="1" x14ac:dyDescent="0.25">
      <c r="A869">
        <v>330541</v>
      </c>
      <c r="B869" t="s">
        <v>86</v>
      </c>
      <c r="D869" t="s">
        <v>115</v>
      </c>
      <c r="K869" t="s">
        <v>767</v>
      </c>
      <c r="L869" t="s">
        <v>89</v>
      </c>
      <c r="M869" t="s">
        <v>759</v>
      </c>
      <c r="V869" t="s">
        <v>91</v>
      </c>
      <c r="W869" t="s">
        <v>92</v>
      </c>
      <c r="X869" t="s">
        <v>93</v>
      </c>
      <c r="Z869" t="s">
        <v>137</v>
      </c>
      <c r="AB869">
        <v>8.1817117199999997E-2</v>
      </c>
      <c r="AG869" t="s">
        <v>95</v>
      </c>
      <c r="AX869" t="s">
        <v>108</v>
      </c>
      <c r="AY869" t="s">
        <v>160</v>
      </c>
      <c r="AZ869" t="s">
        <v>214</v>
      </c>
      <c r="BC869">
        <v>2</v>
      </c>
      <c r="BH869" t="s">
        <v>99</v>
      </c>
      <c r="BO869" t="s">
        <v>111</v>
      </c>
      <c r="CD869" t="s">
        <v>778</v>
      </c>
      <c r="CE869">
        <v>172723</v>
      </c>
      <c r="CF869" t="s">
        <v>779</v>
      </c>
      <c r="CG869" t="s">
        <v>780</v>
      </c>
      <c r="CH869">
        <v>2012</v>
      </c>
    </row>
    <row r="870" spans="1:86" hidden="1" x14ac:dyDescent="0.25">
      <c r="A870">
        <v>330541</v>
      </c>
      <c r="B870" t="s">
        <v>86</v>
      </c>
      <c r="D870" t="s">
        <v>115</v>
      </c>
      <c r="K870" t="s">
        <v>758</v>
      </c>
      <c r="L870" t="s">
        <v>89</v>
      </c>
      <c r="M870" t="s">
        <v>759</v>
      </c>
      <c r="N870" t="s">
        <v>118</v>
      </c>
      <c r="V870" t="s">
        <v>91</v>
      </c>
      <c r="W870" t="s">
        <v>92</v>
      </c>
      <c r="X870" t="s">
        <v>93</v>
      </c>
      <c r="Z870" t="s">
        <v>137</v>
      </c>
      <c r="AB870">
        <v>0.02</v>
      </c>
      <c r="AD870">
        <v>1.7999999999999999E-2</v>
      </c>
      <c r="AF870">
        <v>2.1999999999999999E-2</v>
      </c>
      <c r="AG870" t="s">
        <v>95</v>
      </c>
      <c r="AX870" t="s">
        <v>108</v>
      </c>
      <c r="AY870" t="s">
        <v>109</v>
      </c>
      <c r="AZ870" t="s">
        <v>214</v>
      </c>
      <c r="BC870">
        <v>4.1700000000000001E-2</v>
      </c>
      <c r="BH870" t="s">
        <v>99</v>
      </c>
      <c r="BO870" t="s">
        <v>111</v>
      </c>
      <c r="CD870" t="s">
        <v>760</v>
      </c>
      <c r="CE870">
        <v>103266</v>
      </c>
      <c r="CF870" t="s">
        <v>761</v>
      </c>
      <c r="CG870" t="s">
        <v>762</v>
      </c>
      <c r="CH870">
        <v>2008</v>
      </c>
    </row>
    <row r="871" spans="1:86" hidden="1" x14ac:dyDescent="0.25">
      <c r="A871">
        <v>330541</v>
      </c>
      <c r="B871" t="s">
        <v>86</v>
      </c>
      <c r="D871" t="s">
        <v>115</v>
      </c>
      <c r="K871" t="s">
        <v>767</v>
      </c>
      <c r="L871" t="s">
        <v>89</v>
      </c>
      <c r="M871" t="s">
        <v>759</v>
      </c>
      <c r="V871" t="s">
        <v>91</v>
      </c>
      <c r="W871" t="s">
        <v>92</v>
      </c>
      <c r="X871" t="s">
        <v>93</v>
      </c>
      <c r="Z871" t="s">
        <v>137</v>
      </c>
      <c r="AB871">
        <v>0.14288858360000001</v>
      </c>
      <c r="AG871" t="s">
        <v>95</v>
      </c>
      <c r="AX871" t="s">
        <v>108</v>
      </c>
      <c r="AY871" t="s">
        <v>160</v>
      </c>
      <c r="AZ871" t="s">
        <v>214</v>
      </c>
      <c r="BC871">
        <v>2</v>
      </c>
      <c r="BH871" t="s">
        <v>99</v>
      </c>
      <c r="BO871" t="s">
        <v>111</v>
      </c>
      <c r="CD871" t="s">
        <v>778</v>
      </c>
      <c r="CE871">
        <v>172723</v>
      </c>
      <c r="CF871" t="s">
        <v>779</v>
      </c>
      <c r="CG871" t="s">
        <v>780</v>
      </c>
      <c r="CH871">
        <v>2012</v>
      </c>
    </row>
    <row r="872" spans="1:86" hidden="1" x14ac:dyDescent="0.25">
      <c r="A872">
        <v>330541</v>
      </c>
      <c r="B872" t="s">
        <v>86</v>
      </c>
      <c r="D872" t="s">
        <v>115</v>
      </c>
      <c r="K872" t="s">
        <v>767</v>
      </c>
      <c r="L872" t="s">
        <v>89</v>
      </c>
      <c r="M872" t="s">
        <v>759</v>
      </c>
      <c r="V872" t="s">
        <v>91</v>
      </c>
      <c r="W872" t="s">
        <v>92</v>
      </c>
      <c r="X872" t="s">
        <v>93</v>
      </c>
      <c r="Z872" t="s">
        <v>137</v>
      </c>
      <c r="AB872">
        <v>0.18601156560000001</v>
      </c>
      <c r="AG872" t="s">
        <v>95</v>
      </c>
      <c r="AX872" t="s">
        <v>108</v>
      </c>
      <c r="AY872" t="s">
        <v>160</v>
      </c>
      <c r="AZ872" t="s">
        <v>214</v>
      </c>
      <c r="BC872">
        <v>2</v>
      </c>
      <c r="BH872" t="s">
        <v>99</v>
      </c>
      <c r="BO872" t="s">
        <v>111</v>
      </c>
      <c r="CD872" t="s">
        <v>778</v>
      </c>
      <c r="CE872">
        <v>172723</v>
      </c>
      <c r="CF872" t="s">
        <v>779</v>
      </c>
      <c r="CG872" t="s">
        <v>780</v>
      </c>
      <c r="CH872">
        <v>2012</v>
      </c>
    </row>
    <row r="873" spans="1:86" hidden="1" x14ac:dyDescent="0.25">
      <c r="A873">
        <v>330541</v>
      </c>
      <c r="B873" t="s">
        <v>86</v>
      </c>
      <c r="D873" t="s">
        <v>115</v>
      </c>
      <c r="K873" t="s">
        <v>771</v>
      </c>
      <c r="L873" t="s">
        <v>89</v>
      </c>
      <c r="M873" t="s">
        <v>759</v>
      </c>
      <c r="V873" t="s">
        <v>91</v>
      </c>
      <c r="W873" t="s">
        <v>107</v>
      </c>
      <c r="X873" t="s">
        <v>93</v>
      </c>
      <c r="Z873" t="s">
        <v>137</v>
      </c>
      <c r="AB873">
        <v>0.01</v>
      </c>
      <c r="AG873" t="s">
        <v>95</v>
      </c>
      <c r="AX873" t="s">
        <v>144</v>
      </c>
      <c r="AY873" t="s">
        <v>109</v>
      </c>
      <c r="AZ873" t="s">
        <v>214</v>
      </c>
      <c r="BC873">
        <v>6.25E-2</v>
      </c>
      <c r="BH873" t="s">
        <v>99</v>
      </c>
      <c r="BO873" t="s">
        <v>111</v>
      </c>
      <c r="CD873" t="s">
        <v>229</v>
      </c>
      <c r="CE873">
        <v>8860</v>
      </c>
      <c r="CF873" t="s">
        <v>230</v>
      </c>
      <c r="CG873" t="s">
        <v>231</v>
      </c>
      <c r="CH873">
        <v>1973</v>
      </c>
    </row>
    <row r="874" spans="1:86" hidden="1" x14ac:dyDescent="0.25">
      <c r="A874">
        <v>330541</v>
      </c>
      <c r="B874" t="s">
        <v>86</v>
      </c>
      <c r="D874" t="s">
        <v>115</v>
      </c>
      <c r="E874" t="s">
        <v>149</v>
      </c>
      <c r="F874">
        <v>99</v>
      </c>
      <c r="K874" t="s">
        <v>771</v>
      </c>
      <c r="L874" t="s">
        <v>89</v>
      </c>
      <c r="M874" t="s">
        <v>759</v>
      </c>
      <c r="N874" t="s">
        <v>118</v>
      </c>
      <c r="V874" t="s">
        <v>91</v>
      </c>
      <c r="W874" t="s">
        <v>92</v>
      </c>
      <c r="X874" t="s">
        <v>93</v>
      </c>
      <c r="Y874">
        <v>8</v>
      </c>
      <c r="Z874" t="s">
        <v>94</v>
      </c>
      <c r="AB874" s="281">
        <v>4.8999999999999998E-3</v>
      </c>
      <c r="AG874" t="s">
        <v>95</v>
      </c>
      <c r="AX874" t="s">
        <v>108</v>
      </c>
      <c r="AY874" t="s">
        <v>160</v>
      </c>
      <c r="AZ874" t="s">
        <v>214</v>
      </c>
      <c r="BC874">
        <v>4</v>
      </c>
      <c r="BH874" t="s">
        <v>99</v>
      </c>
      <c r="BO874" t="s">
        <v>111</v>
      </c>
      <c r="CD874" t="s">
        <v>254</v>
      </c>
      <c r="CE874">
        <v>101987</v>
      </c>
      <c r="CF874" t="s">
        <v>255</v>
      </c>
      <c r="CG874" t="s">
        <v>256</v>
      </c>
      <c r="CH874">
        <v>2007</v>
      </c>
    </row>
    <row r="875" spans="1:86" hidden="1" x14ac:dyDescent="0.25">
      <c r="A875">
        <v>330541</v>
      </c>
      <c r="B875" t="s">
        <v>86</v>
      </c>
      <c r="C875" t="s">
        <v>158</v>
      </c>
      <c r="D875" t="s">
        <v>115</v>
      </c>
      <c r="K875" t="s">
        <v>792</v>
      </c>
      <c r="L875" t="s">
        <v>793</v>
      </c>
      <c r="M875" t="s">
        <v>759</v>
      </c>
      <c r="N875" t="s">
        <v>794</v>
      </c>
      <c r="V875" t="s">
        <v>91</v>
      </c>
      <c r="W875" t="s">
        <v>107</v>
      </c>
      <c r="X875" t="s">
        <v>93</v>
      </c>
      <c r="Y875">
        <v>2</v>
      </c>
      <c r="Z875" t="s">
        <v>94</v>
      </c>
      <c r="AB875">
        <v>4.6500000000000004</v>
      </c>
      <c r="AG875" t="s">
        <v>95</v>
      </c>
      <c r="AX875" t="s">
        <v>602</v>
      </c>
      <c r="AY875" t="s">
        <v>603</v>
      </c>
      <c r="AZ875" t="s">
        <v>214</v>
      </c>
      <c r="BC875">
        <v>2</v>
      </c>
      <c r="BH875" t="s">
        <v>99</v>
      </c>
      <c r="BO875" t="s">
        <v>111</v>
      </c>
      <c r="CD875" t="s">
        <v>795</v>
      </c>
      <c r="CE875">
        <v>90414</v>
      </c>
      <c r="CF875" t="s">
        <v>796</v>
      </c>
      <c r="CG875" t="s">
        <v>797</v>
      </c>
      <c r="CH875">
        <v>2006</v>
      </c>
    </row>
    <row r="876" spans="1:86" hidden="1" x14ac:dyDescent="0.25">
      <c r="A876">
        <v>330541</v>
      </c>
      <c r="B876" t="s">
        <v>86</v>
      </c>
      <c r="D876" t="s">
        <v>115</v>
      </c>
      <c r="K876" t="s">
        <v>767</v>
      </c>
      <c r="L876" t="s">
        <v>89</v>
      </c>
      <c r="M876" t="s">
        <v>759</v>
      </c>
      <c r="V876" t="s">
        <v>91</v>
      </c>
      <c r="W876" t="s">
        <v>92</v>
      </c>
      <c r="X876" t="s">
        <v>93</v>
      </c>
      <c r="Z876" t="s">
        <v>137</v>
      </c>
      <c r="AB876">
        <v>0.1088563924</v>
      </c>
      <c r="AG876" t="s">
        <v>95</v>
      </c>
      <c r="AX876" t="s">
        <v>108</v>
      </c>
      <c r="AY876" t="s">
        <v>160</v>
      </c>
      <c r="AZ876" t="s">
        <v>214</v>
      </c>
      <c r="BC876">
        <v>2</v>
      </c>
      <c r="BH876" t="s">
        <v>99</v>
      </c>
      <c r="BO876" t="s">
        <v>111</v>
      </c>
      <c r="CD876" t="s">
        <v>778</v>
      </c>
      <c r="CE876">
        <v>172723</v>
      </c>
      <c r="CF876" t="s">
        <v>779</v>
      </c>
      <c r="CG876" t="s">
        <v>780</v>
      </c>
      <c r="CH876">
        <v>2012</v>
      </c>
    </row>
    <row r="877" spans="1:86" hidden="1" x14ac:dyDescent="0.25">
      <c r="A877">
        <v>330541</v>
      </c>
      <c r="B877" t="s">
        <v>86</v>
      </c>
      <c r="D877" t="s">
        <v>115</v>
      </c>
      <c r="K877" t="s">
        <v>767</v>
      </c>
      <c r="L877" t="s">
        <v>89</v>
      </c>
      <c r="M877" t="s">
        <v>759</v>
      </c>
      <c r="V877" t="s">
        <v>91</v>
      </c>
      <c r="W877" t="s">
        <v>92</v>
      </c>
      <c r="X877" t="s">
        <v>93</v>
      </c>
      <c r="Z877" t="s">
        <v>137</v>
      </c>
      <c r="AB877">
        <v>0.131699918</v>
      </c>
      <c r="AG877" t="s">
        <v>95</v>
      </c>
      <c r="AX877" t="s">
        <v>108</v>
      </c>
      <c r="AY877" t="s">
        <v>160</v>
      </c>
      <c r="AZ877" t="s">
        <v>214</v>
      </c>
      <c r="BC877">
        <v>2</v>
      </c>
      <c r="BH877" t="s">
        <v>99</v>
      </c>
      <c r="BO877" t="s">
        <v>111</v>
      </c>
      <c r="CD877" t="s">
        <v>778</v>
      </c>
      <c r="CE877">
        <v>172723</v>
      </c>
      <c r="CF877" t="s">
        <v>779</v>
      </c>
      <c r="CG877" t="s">
        <v>780</v>
      </c>
      <c r="CH877">
        <v>2012</v>
      </c>
    </row>
    <row r="878" spans="1:86" hidden="1" x14ac:dyDescent="0.25">
      <c r="A878">
        <v>330541</v>
      </c>
      <c r="B878" t="s">
        <v>86</v>
      </c>
      <c r="C878" t="s">
        <v>380</v>
      </c>
      <c r="D878" t="s">
        <v>115</v>
      </c>
      <c r="K878" t="s">
        <v>771</v>
      </c>
      <c r="L878" t="s">
        <v>89</v>
      </c>
      <c r="M878" t="s">
        <v>759</v>
      </c>
      <c r="N878" t="s">
        <v>118</v>
      </c>
      <c r="V878" t="s">
        <v>91</v>
      </c>
      <c r="W878" t="s">
        <v>107</v>
      </c>
      <c r="X878" t="s">
        <v>93</v>
      </c>
      <c r="Z878" t="s">
        <v>94</v>
      </c>
      <c r="AA878" t="s">
        <v>106</v>
      </c>
      <c r="AB878">
        <v>200</v>
      </c>
      <c r="AG878" t="s">
        <v>95</v>
      </c>
      <c r="AX878" t="s">
        <v>282</v>
      </c>
      <c r="AY878" t="s">
        <v>850</v>
      </c>
      <c r="AZ878" t="s">
        <v>214</v>
      </c>
      <c r="BC878">
        <v>8.3299999999999999E-2</v>
      </c>
      <c r="BH878" t="s">
        <v>99</v>
      </c>
      <c r="BO878" t="s">
        <v>111</v>
      </c>
      <c r="CD878" t="s">
        <v>851</v>
      </c>
      <c r="CE878">
        <v>19926</v>
      </c>
      <c r="CF878" t="s">
        <v>852</v>
      </c>
      <c r="CG878" t="s">
        <v>853</v>
      </c>
      <c r="CH878">
        <v>1996</v>
      </c>
    </row>
    <row r="879" spans="1:86" hidden="1" x14ac:dyDescent="0.25">
      <c r="A879">
        <v>330541</v>
      </c>
      <c r="B879" t="s">
        <v>86</v>
      </c>
      <c r="C879" t="s">
        <v>158</v>
      </c>
      <c r="D879" t="s">
        <v>115</v>
      </c>
      <c r="K879" t="s">
        <v>758</v>
      </c>
      <c r="L879" t="s">
        <v>89</v>
      </c>
      <c r="M879" t="s">
        <v>759</v>
      </c>
      <c r="V879" t="s">
        <v>91</v>
      </c>
      <c r="W879" t="s">
        <v>92</v>
      </c>
      <c r="X879" t="s">
        <v>93</v>
      </c>
      <c r="Z879" t="s">
        <v>94</v>
      </c>
      <c r="AB879">
        <v>2.3309720000000002E-3</v>
      </c>
      <c r="AG879" t="s">
        <v>95</v>
      </c>
      <c r="AX879" t="s">
        <v>201</v>
      </c>
      <c r="AY879" t="s">
        <v>202</v>
      </c>
      <c r="AZ879" t="s">
        <v>214</v>
      </c>
      <c r="BC879">
        <v>3.5000000000000001E-3</v>
      </c>
      <c r="BH879" t="s">
        <v>99</v>
      </c>
      <c r="BO879" t="s">
        <v>111</v>
      </c>
      <c r="CD879" t="s">
        <v>854</v>
      </c>
      <c r="CE879">
        <v>52533</v>
      </c>
      <c r="CF879" t="s">
        <v>855</v>
      </c>
      <c r="CG879" t="s">
        <v>856</v>
      </c>
      <c r="CH879">
        <v>2000</v>
      </c>
    </row>
    <row r="880" spans="1:86" hidden="1" x14ac:dyDescent="0.25">
      <c r="A880">
        <v>330541</v>
      </c>
      <c r="B880" t="s">
        <v>86</v>
      </c>
      <c r="C880" t="s">
        <v>104</v>
      </c>
      <c r="D880" t="s">
        <v>87</v>
      </c>
      <c r="F880">
        <v>99</v>
      </c>
      <c r="K880" t="s">
        <v>765</v>
      </c>
      <c r="L880" t="s">
        <v>143</v>
      </c>
      <c r="M880" t="s">
        <v>759</v>
      </c>
      <c r="N880" t="s">
        <v>118</v>
      </c>
      <c r="V880" t="s">
        <v>91</v>
      </c>
      <c r="W880" t="s">
        <v>107</v>
      </c>
      <c r="X880" t="s">
        <v>93</v>
      </c>
      <c r="Y880">
        <v>5</v>
      </c>
      <c r="Z880" t="s">
        <v>94</v>
      </c>
      <c r="AB880" s="281">
        <v>5.5000000000000003E-4</v>
      </c>
      <c r="AG880" t="s">
        <v>95</v>
      </c>
      <c r="AX880" t="s">
        <v>108</v>
      </c>
      <c r="AY880" t="s">
        <v>150</v>
      </c>
      <c r="AZ880" t="s">
        <v>214</v>
      </c>
      <c r="BC880">
        <v>3</v>
      </c>
      <c r="BH880" t="s">
        <v>99</v>
      </c>
      <c r="BO880" t="s">
        <v>111</v>
      </c>
      <c r="CD880" t="s">
        <v>348</v>
      </c>
      <c r="CE880">
        <v>98904</v>
      </c>
      <c r="CF880" t="s">
        <v>349</v>
      </c>
      <c r="CG880" t="s">
        <v>350</v>
      </c>
      <c r="CH880">
        <v>2005</v>
      </c>
    </row>
    <row r="881" spans="1:86" hidden="1" x14ac:dyDescent="0.25">
      <c r="A881">
        <v>330541</v>
      </c>
      <c r="B881" t="s">
        <v>86</v>
      </c>
      <c r="C881" t="s">
        <v>104</v>
      </c>
      <c r="D881" t="s">
        <v>115</v>
      </c>
      <c r="K881" t="s">
        <v>781</v>
      </c>
      <c r="L881" t="s">
        <v>89</v>
      </c>
      <c r="M881" t="s">
        <v>759</v>
      </c>
      <c r="N881" t="s">
        <v>118</v>
      </c>
      <c r="V881" t="s">
        <v>91</v>
      </c>
      <c r="W881" t="s">
        <v>92</v>
      </c>
      <c r="X881" t="s">
        <v>93</v>
      </c>
      <c r="Y881">
        <v>7</v>
      </c>
      <c r="Z881" t="s">
        <v>94</v>
      </c>
      <c r="AB881" s="281">
        <v>4.6300000000000001E-2</v>
      </c>
      <c r="AG881" t="s">
        <v>95</v>
      </c>
      <c r="AX881" t="s">
        <v>108</v>
      </c>
      <c r="AY881" t="s">
        <v>160</v>
      </c>
      <c r="AZ881" t="s">
        <v>214</v>
      </c>
      <c r="BC881">
        <v>3</v>
      </c>
      <c r="BH881" t="s">
        <v>99</v>
      </c>
      <c r="BO881" t="s">
        <v>111</v>
      </c>
      <c r="CD881" t="s">
        <v>826</v>
      </c>
      <c r="CE881">
        <v>153824</v>
      </c>
      <c r="CF881" t="s">
        <v>827</v>
      </c>
      <c r="CG881" t="s">
        <v>828</v>
      </c>
      <c r="CH881">
        <v>2011</v>
      </c>
    </row>
    <row r="882" spans="1:86" hidden="1" x14ac:dyDescent="0.25">
      <c r="A882">
        <v>330541</v>
      </c>
      <c r="B882" t="s">
        <v>86</v>
      </c>
      <c r="D882" t="s">
        <v>115</v>
      </c>
      <c r="F882">
        <v>50</v>
      </c>
      <c r="K882" t="s">
        <v>835</v>
      </c>
      <c r="L882" t="s">
        <v>89</v>
      </c>
      <c r="M882" t="s">
        <v>759</v>
      </c>
      <c r="V882" t="s">
        <v>91</v>
      </c>
      <c r="W882" t="s">
        <v>92</v>
      </c>
      <c r="X882" t="s">
        <v>93</v>
      </c>
      <c r="Z882" t="s">
        <v>137</v>
      </c>
      <c r="AB882">
        <v>2.7000000000000001E-3</v>
      </c>
      <c r="AG882" t="s">
        <v>95</v>
      </c>
      <c r="AX882" t="s">
        <v>108</v>
      </c>
      <c r="AY882" t="s">
        <v>160</v>
      </c>
      <c r="AZ882" t="s">
        <v>214</v>
      </c>
      <c r="BC882">
        <v>4</v>
      </c>
      <c r="BH882" t="s">
        <v>99</v>
      </c>
      <c r="BO882" t="s">
        <v>111</v>
      </c>
      <c r="CD882" t="s">
        <v>857</v>
      </c>
      <c r="CE882">
        <v>71458</v>
      </c>
      <c r="CF882" t="s">
        <v>858</v>
      </c>
      <c r="CG882" t="s">
        <v>859</v>
      </c>
      <c r="CH882">
        <v>2003</v>
      </c>
    </row>
    <row r="883" spans="1:86" hidden="1" x14ac:dyDescent="0.25">
      <c r="A883">
        <v>330541</v>
      </c>
      <c r="B883" t="s">
        <v>86</v>
      </c>
      <c r="D883" t="s">
        <v>115</v>
      </c>
      <c r="K883" t="s">
        <v>764</v>
      </c>
      <c r="L883" t="s">
        <v>117</v>
      </c>
      <c r="M883" t="s">
        <v>759</v>
      </c>
      <c r="V883" t="s">
        <v>91</v>
      </c>
      <c r="W883" t="s">
        <v>107</v>
      </c>
      <c r="X883" t="s">
        <v>93</v>
      </c>
      <c r="Z883" t="s">
        <v>137</v>
      </c>
      <c r="AB883">
        <v>3.9E-2</v>
      </c>
      <c r="AG883" t="s">
        <v>95</v>
      </c>
      <c r="AX883" t="s">
        <v>144</v>
      </c>
      <c r="AY883" t="s">
        <v>109</v>
      </c>
      <c r="AZ883" t="s">
        <v>214</v>
      </c>
      <c r="BC883">
        <v>6.25E-2</v>
      </c>
      <c r="BH883" t="s">
        <v>99</v>
      </c>
      <c r="BO883" t="s">
        <v>111</v>
      </c>
      <c r="CD883" t="s">
        <v>229</v>
      </c>
      <c r="CE883">
        <v>8860</v>
      </c>
      <c r="CF883" t="s">
        <v>230</v>
      </c>
      <c r="CG883" t="s">
        <v>231</v>
      </c>
      <c r="CH883">
        <v>1973</v>
      </c>
    </row>
    <row r="884" spans="1:86" hidden="1" x14ac:dyDescent="0.25">
      <c r="A884">
        <v>330541</v>
      </c>
      <c r="B884" t="s">
        <v>86</v>
      </c>
      <c r="D884" t="s">
        <v>115</v>
      </c>
      <c r="K884" t="s">
        <v>767</v>
      </c>
      <c r="L884" t="s">
        <v>89</v>
      </c>
      <c r="M884" t="s">
        <v>759</v>
      </c>
      <c r="N884" t="s">
        <v>118</v>
      </c>
      <c r="V884" t="s">
        <v>91</v>
      </c>
      <c r="W884" t="s">
        <v>92</v>
      </c>
      <c r="X884" t="s">
        <v>93</v>
      </c>
      <c r="Y884">
        <v>10</v>
      </c>
      <c r="Z884" t="s">
        <v>137</v>
      </c>
      <c r="AB884">
        <v>1.5384415199999999E-2</v>
      </c>
      <c r="AD884">
        <v>1.4685123600000001E-2</v>
      </c>
      <c r="AF884">
        <v>1.6316804000000001E-2</v>
      </c>
      <c r="AG884" t="s">
        <v>95</v>
      </c>
      <c r="AX884" t="s">
        <v>144</v>
      </c>
      <c r="AY884" t="s">
        <v>109</v>
      </c>
      <c r="AZ884" t="s">
        <v>214</v>
      </c>
      <c r="BC884">
        <v>1.2917000000000001</v>
      </c>
      <c r="BH884" t="s">
        <v>99</v>
      </c>
      <c r="BO884" t="s">
        <v>111</v>
      </c>
      <c r="CD884" t="s">
        <v>844</v>
      </c>
      <c r="CE884">
        <v>172697</v>
      </c>
      <c r="CF884" t="s">
        <v>845</v>
      </c>
      <c r="CG884" t="s">
        <v>846</v>
      </c>
      <c r="CH884">
        <v>2015</v>
      </c>
    </row>
    <row r="885" spans="1:86" hidden="1" x14ac:dyDescent="0.25">
      <c r="A885">
        <v>330541</v>
      </c>
      <c r="B885" t="s">
        <v>86</v>
      </c>
      <c r="D885" t="s">
        <v>115</v>
      </c>
      <c r="K885" t="s">
        <v>767</v>
      </c>
      <c r="L885" t="s">
        <v>89</v>
      </c>
      <c r="M885" t="s">
        <v>759</v>
      </c>
      <c r="N885" t="s">
        <v>118</v>
      </c>
      <c r="V885" t="s">
        <v>91</v>
      </c>
      <c r="W885" t="s">
        <v>92</v>
      </c>
      <c r="X885" t="s">
        <v>93</v>
      </c>
      <c r="Y885">
        <v>10</v>
      </c>
      <c r="Z885" t="s">
        <v>137</v>
      </c>
      <c r="AB885">
        <v>1.56175124E-2</v>
      </c>
      <c r="AD885">
        <v>1.49182208E-2</v>
      </c>
      <c r="AF885">
        <v>1.60837068E-2</v>
      </c>
      <c r="AG885" t="s">
        <v>95</v>
      </c>
      <c r="AX885" t="s">
        <v>144</v>
      </c>
      <c r="AY885" t="s">
        <v>109</v>
      </c>
      <c r="AZ885" t="s">
        <v>214</v>
      </c>
      <c r="BC885">
        <v>0.29170000000000001</v>
      </c>
      <c r="BH885" t="s">
        <v>99</v>
      </c>
      <c r="BO885" t="s">
        <v>111</v>
      </c>
      <c r="CD885" t="s">
        <v>844</v>
      </c>
      <c r="CE885">
        <v>172697</v>
      </c>
      <c r="CF885" t="s">
        <v>845</v>
      </c>
      <c r="CG885" t="s">
        <v>846</v>
      </c>
      <c r="CH885">
        <v>2015</v>
      </c>
    </row>
    <row r="886" spans="1:86" hidden="1" x14ac:dyDescent="0.25">
      <c r="A886">
        <v>330541</v>
      </c>
      <c r="B886" t="s">
        <v>86</v>
      </c>
      <c r="D886" t="s">
        <v>115</v>
      </c>
      <c r="K886" t="s">
        <v>767</v>
      </c>
      <c r="L886" t="s">
        <v>89</v>
      </c>
      <c r="M886" t="s">
        <v>759</v>
      </c>
      <c r="N886" t="s">
        <v>118</v>
      </c>
      <c r="V886" t="s">
        <v>91</v>
      </c>
      <c r="W886" t="s">
        <v>92</v>
      </c>
      <c r="X886" t="s">
        <v>93</v>
      </c>
      <c r="Y886">
        <v>10</v>
      </c>
      <c r="Z886" t="s">
        <v>137</v>
      </c>
      <c r="AB886">
        <v>1.5850609599999999E-2</v>
      </c>
      <c r="AD886">
        <v>1.5151318E-2</v>
      </c>
      <c r="AF886">
        <v>1.6316804000000001E-2</v>
      </c>
      <c r="AG886" t="s">
        <v>95</v>
      </c>
      <c r="AX886" t="s">
        <v>144</v>
      </c>
      <c r="AY886" t="s">
        <v>109</v>
      </c>
      <c r="AZ886" t="s">
        <v>214</v>
      </c>
      <c r="BC886">
        <v>1.125</v>
      </c>
      <c r="BH886" t="s">
        <v>99</v>
      </c>
      <c r="BO886" t="s">
        <v>111</v>
      </c>
      <c r="CD886" t="s">
        <v>844</v>
      </c>
      <c r="CE886">
        <v>172697</v>
      </c>
      <c r="CF886" t="s">
        <v>845</v>
      </c>
      <c r="CG886" t="s">
        <v>846</v>
      </c>
      <c r="CH886">
        <v>2015</v>
      </c>
    </row>
    <row r="887" spans="1:86" hidden="1" x14ac:dyDescent="0.25">
      <c r="A887">
        <v>330541</v>
      </c>
      <c r="B887" t="s">
        <v>86</v>
      </c>
      <c r="D887" t="s">
        <v>115</v>
      </c>
      <c r="K887" t="s">
        <v>767</v>
      </c>
      <c r="L887" t="s">
        <v>89</v>
      </c>
      <c r="M887" t="s">
        <v>759</v>
      </c>
      <c r="N887" t="s">
        <v>118</v>
      </c>
      <c r="V887" t="s">
        <v>91</v>
      </c>
      <c r="W887" t="s">
        <v>92</v>
      </c>
      <c r="X887" t="s">
        <v>93</v>
      </c>
      <c r="Y887">
        <v>10</v>
      </c>
      <c r="Z887" t="s">
        <v>137</v>
      </c>
      <c r="AB887">
        <v>1.6316804000000001E-2</v>
      </c>
      <c r="AD887">
        <v>1.5850609599999999E-2</v>
      </c>
      <c r="AF887">
        <v>1.72491928E-2</v>
      </c>
      <c r="AG887" t="s">
        <v>95</v>
      </c>
      <c r="AX887" t="s">
        <v>144</v>
      </c>
      <c r="AY887" t="s">
        <v>109</v>
      </c>
      <c r="AZ887" t="s">
        <v>214</v>
      </c>
      <c r="BC887">
        <v>0.125</v>
      </c>
      <c r="BH887" t="s">
        <v>99</v>
      </c>
      <c r="BO887" t="s">
        <v>111</v>
      </c>
      <c r="CD887" t="s">
        <v>844</v>
      </c>
      <c r="CE887">
        <v>172697</v>
      </c>
      <c r="CF887" t="s">
        <v>845</v>
      </c>
      <c r="CG887" t="s">
        <v>846</v>
      </c>
      <c r="CH887">
        <v>2015</v>
      </c>
    </row>
    <row r="888" spans="1:86" hidden="1" x14ac:dyDescent="0.25">
      <c r="A888">
        <v>330541</v>
      </c>
      <c r="B888" t="s">
        <v>86</v>
      </c>
      <c r="D888" t="s">
        <v>115</v>
      </c>
      <c r="K888" t="s">
        <v>792</v>
      </c>
      <c r="L888" t="s">
        <v>793</v>
      </c>
      <c r="M888" t="s">
        <v>759</v>
      </c>
      <c r="N888" t="s">
        <v>816</v>
      </c>
      <c r="V888" t="s">
        <v>91</v>
      </c>
      <c r="W888" t="s">
        <v>107</v>
      </c>
      <c r="X888" t="s">
        <v>93</v>
      </c>
      <c r="Y888">
        <v>7</v>
      </c>
      <c r="Z888" t="s">
        <v>94</v>
      </c>
      <c r="AB888">
        <v>6.29</v>
      </c>
      <c r="AD888">
        <v>5.93</v>
      </c>
      <c r="AF888">
        <v>6.83</v>
      </c>
      <c r="AG888" t="s">
        <v>95</v>
      </c>
      <c r="AX888" t="s">
        <v>602</v>
      </c>
      <c r="AY888" t="s">
        <v>603</v>
      </c>
      <c r="AZ888" t="s">
        <v>214</v>
      </c>
      <c r="BC888">
        <v>2</v>
      </c>
      <c r="BH888" t="s">
        <v>99</v>
      </c>
      <c r="BO888" t="s">
        <v>111</v>
      </c>
      <c r="CD888" t="s">
        <v>819</v>
      </c>
      <c r="CE888">
        <v>98728</v>
      </c>
      <c r="CF888" t="s">
        <v>820</v>
      </c>
      <c r="CG888" t="s">
        <v>821</v>
      </c>
      <c r="CH888">
        <v>2006</v>
      </c>
    </row>
    <row r="889" spans="1:86" hidden="1" x14ac:dyDescent="0.25">
      <c r="A889">
        <v>330541</v>
      </c>
      <c r="B889" t="s">
        <v>86</v>
      </c>
      <c r="C889" t="s">
        <v>183</v>
      </c>
      <c r="D889" t="s">
        <v>115</v>
      </c>
      <c r="K889" t="s">
        <v>771</v>
      </c>
      <c r="L889" t="s">
        <v>89</v>
      </c>
      <c r="M889" t="s">
        <v>759</v>
      </c>
      <c r="N889" t="s">
        <v>118</v>
      </c>
      <c r="V889" t="s">
        <v>91</v>
      </c>
      <c r="W889" t="s">
        <v>107</v>
      </c>
      <c r="X889" t="s">
        <v>93</v>
      </c>
      <c r="Z889" t="s">
        <v>94</v>
      </c>
      <c r="AB889">
        <v>0.01</v>
      </c>
      <c r="AG889" t="s">
        <v>95</v>
      </c>
      <c r="AX889" t="s">
        <v>144</v>
      </c>
      <c r="AY889" t="s">
        <v>109</v>
      </c>
      <c r="AZ889" t="s">
        <v>214</v>
      </c>
      <c r="BC889">
        <v>6.25E-2</v>
      </c>
      <c r="BH889" t="s">
        <v>99</v>
      </c>
      <c r="BO889" t="s">
        <v>111</v>
      </c>
      <c r="CD889" t="s">
        <v>191</v>
      </c>
      <c r="CE889">
        <v>9211</v>
      </c>
      <c r="CF889" t="s">
        <v>192</v>
      </c>
      <c r="CG889" t="s">
        <v>193</v>
      </c>
      <c r="CH889">
        <v>1972</v>
      </c>
    </row>
    <row r="890" spans="1:86" hidden="1" x14ac:dyDescent="0.25">
      <c r="A890">
        <v>330541</v>
      </c>
      <c r="B890" t="s">
        <v>86</v>
      </c>
      <c r="D890" t="s">
        <v>115</v>
      </c>
      <c r="K890" t="s">
        <v>781</v>
      </c>
      <c r="L890" t="s">
        <v>89</v>
      </c>
      <c r="M890" t="s">
        <v>759</v>
      </c>
      <c r="V890" t="s">
        <v>91</v>
      </c>
      <c r="W890" t="s">
        <v>107</v>
      </c>
      <c r="X890" t="s">
        <v>93</v>
      </c>
      <c r="Y890">
        <v>4</v>
      </c>
      <c r="Z890" t="s">
        <v>137</v>
      </c>
      <c r="AB890">
        <v>1.9000000000000001E-4</v>
      </c>
      <c r="AD890">
        <v>1.7000000000000001E-4</v>
      </c>
      <c r="AF890">
        <v>2.7999999999999998E-4</v>
      </c>
      <c r="AG890" t="s">
        <v>95</v>
      </c>
      <c r="AX890" t="s">
        <v>108</v>
      </c>
      <c r="AY890" t="s">
        <v>311</v>
      </c>
      <c r="AZ890" t="s">
        <v>387</v>
      </c>
      <c r="BB890" t="s">
        <v>106</v>
      </c>
      <c r="BC890">
        <v>4.8599999999999997E-2</v>
      </c>
      <c r="BH890" t="s">
        <v>99</v>
      </c>
      <c r="BO890" t="s">
        <v>111</v>
      </c>
      <c r="CD890" t="s">
        <v>395</v>
      </c>
      <c r="CE890">
        <v>80943</v>
      </c>
      <c r="CF890" t="s">
        <v>396</v>
      </c>
      <c r="CG890" t="s">
        <v>397</v>
      </c>
      <c r="CH890">
        <v>2005</v>
      </c>
    </row>
    <row r="891" spans="1:86" hidden="1" x14ac:dyDescent="0.25">
      <c r="A891">
        <v>330541</v>
      </c>
      <c r="B891" t="s">
        <v>86</v>
      </c>
      <c r="D891" t="s">
        <v>115</v>
      </c>
      <c r="K891" t="s">
        <v>771</v>
      </c>
      <c r="L891" t="s">
        <v>89</v>
      </c>
      <c r="M891" t="s">
        <v>759</v>
      </c>
      <c r="V891" t="s">
        <v>91</v>
      </c>
      <c r="W891" t="s">
        <v>107</v>
      </c>
      <c r="X891" t="s">
        <v>93</v>
      </c>
      <c r="Y891">
        <v>4</v>
      </c>
      <c r="Z891" t="s">
        <v>137</v>
      </c>
      <c r="AB891">
        <v>1.1E-4</v>
      </c>
      <c r="AD891">
        <v>9.5000000000000005E-5</v>
      </c>
      <c r="AF891">
        <v>1.1E-4</v>
      </c>
      <c r="AG891" t="s">
        <v>95</v>
      </c>
      <c r="AX891" t="s">
        <v>108</v>
      </c>
      <c r="AY891" t="s">
        <v>311</v>
      </c>
      <c r="AZ891" t="s">
        <v>387</v>
      </c>
      <c r="BB891" t="s">
        <v>106</v>
      </c>
      <c r="BC891">
        <v>3.1300000000000001E-2</v>
      </c>
      <c r="BH891" t="s">
        <v>99</v>
      </c>
      <c r="BO891" t="s">
        <v>111</v>
      </c>
      <c r="CD891" t="s">
        <v>395</v>
      </c>
      <c r="CE891">
        <v>80943</v>
      </c>
      <c r="CF891" t="s">
        <v>396</v>
      </c>
      <c r="CG891" t="s">
        <v>397</v>
      </c>
      <c r="CH891">
        <v>2005</v>
      </c>
    </row>
    <row r="892" spans="1:86" hidden="1" x14ac:dyDescent="0.25">
      <c r="A892">
        <v>330541</v>
      </c>
      <c r="B892" t="s">
        <v>86</v>
      </c>
      <c r="D892" t="s">
        <v>115</v>
      </c>
      <c r="K892" t="s">
        <v>766</v>
      </c>
      <c r="L892" t="s">
        <v>117</v>
      </c>
      <c r="M892" t="s">
        <v>759</v>
      </c>
      <c r="V892" t="s">
        <v>91</v>
      </c>
      <c r="W892" t="s">
        <v>107</v>
      </c>
      <c r="X892" t="s">
        <v>93</v>
      </c>
      <c r="Y892">
        <v>4</v>
      </c>
      <c r="Z892" t="s">
        <v>137</v>
      </c>
      <c r="AB892">
        <v>1.1E-4</v>
      </c>
      <c r="AD892">
        <v>9.8999999999999994E-5</v>
      </c>
      <c r="AF892">
        <v>1.1E-4</v>
      </c>
      <c r="AG892" t="s">
        <v>95</v>
      </c>
      <c r="AX892" t="s">
        <v>108</v>
      </c>
      <c r="AY892" t="s">
        <v>311</v>
      </c>
      <c r="AZ892" t="s">
        <v>387</v>
      </c>
      <c r="BC892">
        <v>4.8999999999999998E-3</v>
      </c>
      <c r="BH892" t="s">
        <v>99</v>
      </c>
      <c r="BO892" t="s">
        <v>111</v>
      </c>
      <c r="CD892" t="s">
        <v>395</v>
      </c>
      <c r="CE892">
        <v>80943</v>
      </c>
      <c r="CF892" t="s">
        <v>396</v>
      </c>
      <c r="CG892" t="s">
        <v>397</v>
      </c>
      <c r="CH892">
        <v>2005</v>
      </c>
    </row>
    <row r="893" spans="1:86" hidden="1" x14ac:dyDescent="0.25">
      <c r="A893">
        <v>330541</v>
      </c>
      <c r="B893" t="s">
        <v>86</v>
      </c>
      <c r="D893" t="s">
        <v>115</v>
      </c>
      <c r="K893" t="s">
        <v>835</v>
      </c>
      <c r="L893" t="s">
        <v>89</v>
      </c>
      <c r="M893" t="s">
        <v>759</v>
      </c>
      <c r="V893" t="s">
        <v>91</v>
      </c>
      <c r="W893" t="s">
        <v>107</v>
      </c>
      <c r="X893" t="s">
        <v>93</v>
      </c>
      <c r="Y893">
        <v>4</v>
      </c>
      <c r="Z893" t="s">
        <v>137</v>
      </c>
      <c r="AB893">
        <v>1.9000000000000001E-4</v>
      </c>
      <c r="AD893">
        <v>1.7000000000000001E-4</v>
      </c>
      <c r="AF893">
        <v>2.5999999999999998E-4</v>
      </c>
      <c r="AG893" t="s">
        <v>95</v>
      </c>
      <c r="AX893" t="s">
        <v>108</v>
      </c>
      <c r="AY893" t="s">
        <v>311</v>
      </c>
      <c r="AZ893" t="s">
        <v>387</v>
      </c>
      <c r="BB893" t="s">
        <v>106</v>
      </c>
      <c r="BC893">
        <v>2.7799999999999998E-2</v>
      </c>
      <c r="BH893" t="s">
        <v>99</v>
      </c>
      <c r="BO893" t="s">
        <v>111</v>
      </c>
      <c r="CD893" t="s">
        <v>395</v>
      </c>
      <c r="CE893">
        <v>80943</v>
      </c>
      <c r="CF893" t="s">
        <v>396</v>
      </c>
      <c r="CG893" t="s">
        <v>397</v>
      </c>
      <c r="CH893">
        <v>2005</v>
      </c>
    </row>
    <row r="894" spans="1:86" hidden="1" x14ac:dyDescent="0.25">
      <c r="A894">
        <v>330541</v>
      </c>
      <c r="B894" t="s">
        <v>86</v>
      </c>
      <c r="D894" t="s">
        <v>115</v>
      </c>
      <c r="K894" t="s">
        <v>758</v>
      </c>
      <c r="L894" t="s">
        <v>89</v>
      </c>
      <c r="M894" t="s">
        <v>759</v>
      </c>
      <c r="V894" t="s">
        <v>91</v>
      </c>
      <c r="W894" t="s">
        <v>107</v>
      </c>
      <c r="X894" t="s">
        <v>93</v>
      </c>
      <c r="Y894">
        <v>4</v>
      </c>
      <c r="Z894" t="s">
        <v>137</v>
      </c>
      <c r="AB894">
        <v>1E-4</v>
      </c>
      <c r="AD894">
        <v>9.5000000000000005E-5</v>
      </c>
      <c r="AF894">
        <v>1.1E-4</v>
      </c>
      <c r="AG894" t="s">
        <v>95</v>
      </c>
      <c r="AX894" t="s">
        <v>108</v>
      </c>
      <c r="AY894" t="s">
        <v>311</v>
      </c>
      <c r="AZ894" t="s">
        <v>387</v>
      </c>
      <c r="BC894">
        <v>6.3E-3</v>
      </c>
      <c r="BH894" t="s">
        <v>99</v>
      </c>
      <c r="BO894" t="s">
        <v>111</v>
      </c>
      <c r="CD894" t="s">
        <v>395</v>
      </c>
      <c r="CE894">
        <v>80943</v>
      </c>
      <c r="CF894" t="s">
        <v>396</v>
      </c>
      <c r="CG894" t="s">
        <v>397</v>
      </c>
      <c r="CH894">
        <v>2005</v>
      </c>
    </row>
    <row r="895" spans="1:86" hidden="1" x14ac:dyDescent="0.25">
      <c r="A895">
        <v>330541</v>
      </c>
      <c r="B895" t="s">
        <v>86</v>
      </c>
      <c r="C895" t="s">
        <v>158</v>
      </c>
      <c r="D895" t="s">
        <v>115</v>
      </c>
      <c r="K895" t="s">
        <v>766</v>
      </c>
      <c r="L895" t="s">
        <v>117</v>
      </c>
      <c r="M895" t="s">
        <v>759</v>
      </c>
      <c r="N895" t="s">
        <v>118</v>
      </c>
      <c r="V895" t="s">
        <v>91</v>
      </c>
      <c r="W895" t="s">
        <v>92</v>
      </c>
      <c r="X895" t="s">
        <v>93</v>
      </c>
      <c r="Z895" t="s">
        <v>94</v>
      </c>
      <c r="AB895">
        <v>4.2000000000000002E-4</v>
      </c>
      <c r="AG895" t="s">
        <v>95</v>
      </c>
      <c r="AX895" t="s">
        <v>144</v>
      </c>
      <c r="AY895" t="s">
        <v>109</v>
      </c>
      <c r="AZ895" t="s">
        <v>387</v>
      </c>
      <c r="BA895" t="s">
        <v>179</v>
      </c>
      <c r="BB895" t="s">
        <v>234</v>
      </c>
      <c r="BC895">
        <v>0.16669999999999999</v>
      </c>
      <c r="BH895" t="s">
        <v>99</v>
      </c>
      <c r="BO895" t="s">
        <v>111</v>
      </c>
      <c r="CD895" t="s">
        <v>398</v>
      </c>
      <c r="CE895">
        <v>153836</v>
      </c>
      <c r="CF895" t="s">
        <v>399</v>
      </c>
      <c r="CG895" t="s">
        <v>400</v>
      </c>
      <c r="CH895">
        <v>2010</v>
      </c>
    </row>
    <row r="896" spans="1:86" hidden="1" x14ac:dyDescent="0.25">
      <c r="A896">
        <v>330541</v>
      </c>
      <c r="B896" t="s">
        <v>86</v>
      </c>
      <c r="C896" t="s">
        <v>158</v>
      </c>
      <c r="D896" t="s">
        <v>115</v>
      </c>
      <c r="K896" t="s">
        <v>767</v>
      </c>
      <c r="L896" t="s">
        <v>89</v>
      </c>
      <c r="M896" t="s">
        <v>759</v>
      </c>
      <c r="N896" t="s">
        <v>118</v>
      </c>
      <c r="V896" t="s">
        <v>91</v>
      </c>
      <c r="W896" t="s">
        <v>107</v>
      </c>
      <c r="X896" t="s">
        <v>93</v>
      </c>
      <c r="Z896" t="s">
        <v>94</v>
      </c>
      <c r="AB896">
        <v>7.6922076000000004E-4</v>
      </c>
      <c r="AG896" t="s">
        <v>95</v>
      </c>
      <c r="AX896" t="s">
        <v>108</v>
      </c>
      <c r="AY896" t="s">
        <v>120</v>
      </c>
      <c r="AZ896" t="s">
        <v>412</v>
      </c>
      <c r="BC896">
        <v>6.8999999999999999E-3</v>
      </c>
      <c r="BH896" t="s">
        <v>99</v>
      </c>
      <c r="BO896" t="s">
        <v>111</v>
      </c>
      <c r="CD896" t="s">
        <v>414</v>
      </c>
      <c r="CE896">
        <v>178632</v>
      </c>
      <c r="CF896" t="s">
        <v>415</v>
      </c>
      <c r="CG896" t="s">
        <v>416</v>
      </c>
      <c r="CH896">
        <v>2018</v>
      </c>
    </row>
    <row r="897" spans="1:86" hidden="1" x14ac:dyDescent="0.25">
      <c r="A897">
        <v>330541</v>
      </c>
      <c r="B897" t="s">
        <v>86</v>
      </c>
      <c r="C897" t="s">
        <v>158</v>
      </c>
      <c r="D897" t="s">
        <v>115</v>
      </c>
      <c r="K897" t="s">
        <v>767</v>
      </c>
      <c r="L897" t="s">
        <v>89</v>
      </c>
      <c r="M897" t="s">
        <v>759</v>
      </c>
      <c r="N897" t="s">
        <v>118</v>
      </c>
      <c r="V897" t="s">
        <v>91</v>
      </c>
      <c r="W897" t="s">
        <v>107</v>
      </c>
      <c r="X897" t="s">
        <v>93</v>
      </c>
      <c r="Z897" t="s">
        <v>94</v>
      </c>
      <c r="AB897">
        <v>7.8087562000000001E-4</v>
      </c>
      <c r="AG897" t="s">
        <v>95</v>
      </c>
      <c r="AX897" t="s">
        <v>108</v>
      </c>
      <c r="AY897" t="s">
        <v>120</v>
      </c>
      <c r="AZ897" t="s">
        <v>412</v>
      </c>
      <c r="BC897">
        <v>6.8999999999999999E-3</v>
      </c>
      <c r="BH897" t="s">
        <v>99</v>
      </c>
      <c r="BO897" t="s">
        <v>111</v>
      </c>
      <c r="CD897" t="s">
        <v>414</v>
      </c>
      <c r="CE897">
        <v>178632</v>
      </c>
      <c r="CF897" t="s">
        <v>415</v>
      </c>
      <c r="CG897" t="s">
        <v>416</v>
      </c>
      <c r="CH897">
        <v>2018</v>
      </c>
    </row>
    <row r="898" spans="1:86" hidden="1" x14ac:dyDescent="0.25">
      <c r="A898">
        <v>330541</v>
      </c>
      <c r="B898" t="s">
        <v>86</v>
      </c>
      <c r="C898" t="s">
        <v>158</v>
      </c>
      <c r="D898" t="s">
        <v>115</v>
      </c>
      <c r="K898" t="s">
        <v>758</v>
      </c>
      <c r="L898" t="s">
        <v>89</v>
      </c>
      <c r="M898" t="s">
        <v>759</v>
      </c>
      <c r="N898" t="s">
        <v>118</v>
      </c>
      <c r="V898" t="s">
        <v>91</v>
      </c>
      <c r="W898" t="s">
        <v>107</v>
      </c>
      <c r="X898" t="s">
        <v>93</v>
      </c>
      <c r="Z898" t="s">
        <v>94</v>
      </c>
      <c r="AB898">
        <v>7.9019950800000003E-4</v>
      </c>
      <c r="AG898" t="s">
        <v>95</v>
      </c>
      <c r="AX898" t="s">
        <v>108</v>
      </c>
      <c r="AY898" t="s">
        <v>120</v>
      </c>
      <c r="AZ898" t="s">
        <v>412</v>
      </c>
      <c r="BC898">
        <v>6.8999999999999999E-3</v>
      </c>
      <c r="BH898" t="s">
        <v>99</v>
      </c>
      <c r="BO898" t="s">
        <v>111</v>
      </c>
      <c r="CD898" t="s">
        <v>414</v>
      </c>
      <c r="CE898">
        <v>178632</v>
      </c>
      <c r="CF898" t="s">
        <v>415</v>
      </c>
      <c r="CG898" t="s">
        <v>416</v>
      </c>
      <c r="CH898">
        <v>2018</v>
      </c>
    </row>
    <row r="899" spans="1:86" hidden="1" x14ac:dyDescent="0.25">
      <c r="A899">
        <v>330541</v>
      </c>
      <c r="B899" t="s">
        <v>86</v>
      </c>
      <c r="D899" t="s">
        <v>115</v>
      </c>
      <c r="H899">
        <v>95</v>
      </c>
      <c r="J899">
        <v>99</v>
      </c>
      <c r="K899" t="s">
        <v>767</v>
      </c>
      <c r="L899" t="s">
        <v>89</v>
      </c>
      <c r="M899" t="s">
        <v>759</v>
      </c>
      <c r="N899" t="s">
        <v>118</v>
      </c>
      <c r="V899" t="s">
        <v>91</v>
      </c>
      <c r="W899" t="s">
        <v>92</v>
      </c>
      <c r="X899" t="s">
        <v>93</v>
      </c>
      <c r="Z899" t="s">
        <v>94</v>
      </c>
      <c r="AB899" s="281">
        <v>1.3985832E-2</v>
      </c>
      <c r="AG899" t="s">
        <v>95</v>
      </c>
      <c r="AX899" t="s">
        <v>108</v>
      </c>
      <c r="AY899" t="s">
        <v>174</v>
      </c>
      <c r="AZ899" t="s">
        <v>422</v>
      </c>
      <c r="BB899" t="s">
        <v>434</v>
      </c>
      <c r="BC899">
        <v>2.2917000000000001</v>
      </c>
      <c r="BH899" t="s">
        <v>99</v>
      </c>
      <c r="BO899" t="s">
        <v>111</v>
      </c>
      <c r="CD899" t="s">
        <v>768</v>
      </c>
      <c r="CE899">
        <v>71603</v>
      </c>
      <c r="CF899" t="s">
        <v>769</v>
      </c>
      <c r="CG899" t="s">
        <v>770</v>
      </c>
      <c r="CH899">
        <v>1997</v>
      </c>
    </row>
    <row r="900" spans="1:86" hidden="1" x14ac:dyDescent="0.25">
      <c r="A900">
        <v>330541</v>
      </c>
      <c r="B900" t="s">
        <v>86</v>
      </c>
      <c r="C900" t="s">
        <v>158</v>
      </c>
      <c r="D900" t="s">
        <v>115</v>
      </c>
      <c r="K900" t="s">
        <v>766</v>
      </c>
      <c r="L900" t="s">
        <v>117</v>
      </c>
      <c r="M900" t="s">
        <v>759</v>
      </c>
      <c r="N900" t="s">
        <v>118</v>
      </c>
      <c r="V900" t="s">
        <v>91</v>
      </c>
      <c r="W900" t="s">
        <v>92</v>
      </c>
      <c r="X900" t="s">
        <v>93</v>
      </c>
      <c r="Z900" t="s">
        <v>94</v>
      </c>
      <c r="AB900">
        <v>2.7100000000000002E-3</v>
      </c>
      <c r="AG900" t="s">
        <v>95</v>
      </c>
      <c r="AX900" t="s">
        <v>144</v>
      </c>
      <c r="AY900" t="s">
        <v>109</v>
      </c>
      <c r="AZ900" t="s">
        <v>422</v>
      </c>
      <c r="BA900" t="s">
        <v>179</v>
      </c>
      <c r="BB900" t="s">
        <v>234</v>
      </c>
      <c r="BC900">
        <v>0.16669999999999999</v>
      </c>
      <c r="BH900" t="s">
        <v>99</v>
      </c>
      <c r="BO900" t="s">
        <v>111</v>
      </c>
      <c r="CD900" t="s">
        <v>398</v>
      </c>
      <c r="CE900">
        <v>153836</v>
      </c>
      <c r="CF900" t="s">
        <v>399</v>
      </c>
      <c r="CG900" t="s">
        <v>400</v>
      </c>
      <c r="CH900">
        <v>2010</v>
      </c>
    </row>
    <row r="901" spans="1:86" hidden="1" x14ac:dyDescent="0.25">
      <c r="A901">
        <v>330541</v>
      </c>
      <c r="B901" t="s">
        <v>86</v>
      </c>
      <c r="D901" t="s">
        <v>115</v>
      </c>
      <c r="K901" t="s">
        <v>765</v>
      </c>
      <c r="L901" t="s">
        <v>143</v>
      </c>
      <c r="M901" t="s">
        <v>759</v>
      </c>
      <c r="V901" t="s">
        <v>91</v>
      </c>
      <c r="W901" t="s">
        <v>92</v>
      </c>
      <c r="X901" t="s">
        <v>93</v>
      </c>
      <c r="Y901">
        <v>5</v>
      </c>
      <c r="Z901" t="s">
        <v>137</v>
      </c>
      <c r="AB901">
        <v>1.0489373999999999E-2</v>
      </c>
      <c r="AG901" t="s">
        <v>95</v>
      </c>
      <c r="AX901" t="s">
        <v>144</v>
      </c>
      <c r="AY901" t="s">
        <v>438</v>
      </c>
      <c r="AZ901" t="s">
        <v>422</v>
      </c>
      <c r="BC901">
        <v>3</v>
      </c>
      <c r="BH901" t="s">
        <v>99</v>
      </c>
      <c r="BO901" t="s">
        <v>111</v>
      </c>
      <c r="CD901" t="s">
        <v>439</v>
      </c>
      <c r="CE901">
        <v>101992</v>
      </c>
      <c r="CF901" t="s">
        <v>440</v>
      </c>
      <c r="CG901" t="s">
        <v>441</v>
      </c>
      <c r="CH901">
        <v>2004</v>
      </c>
    </row>
    <row r="902" spans="1:86" hidden="1" x14ac:dyDescent="0.25">
      <c r="A902">
        <v>330541</v>
      </c>
      <c r="B902" t="s">
        <v>86</v>
      </c>
      <c r="D902" t="s">
        <v>115</v>
      </c>
      <c r="K902" t="s">
        <v>771</v>
      </c>
      <c r="L902" t="s">
        <v>89</v>
      </c>
      <c r="M902" t="s">
        <v>759</v>
      </c>
      <c r="V902" t="s">
        <v>91</v>
      </c>
      <c r="W902" t="s">
        <v>107</v>
      </c>
      <c r="X902" t="s">
        <v>93</v>
      </c>
      <c r="Z902" t="s">
        <v>465</v>
      </c>
      <c r="AB902">
        <v>2.3309719999999999E-2</v>
      </c>
      <c r="AG902" t="s">
        <v>95</v>
      </c>
      <c r="AX902" t="s">
        <v>144</v>
      </c>
      <c r="AY902" t="s">
        <v>109</v>
      </c>
      <c r="AZ902" t="s">
        <v>422</v>
      </c>
      <c r="BC902">
        <v>1.04E-2</v>
      </c>
      <c r="BH902" t="s">
        <v>99</v>
      </c>
      <c r="BO902" t="s">
        <v>111</v>
      </c>
      <c r="CD902" t="s">
        <v>423</v>
      </c>
      <c r="CE902">
        <v>15868</v>
      </c>
      <c r="CF902" t="s">
        <v>424</v>
      </c>
      <c r="CG902" t="s">
        <v>425</v>
      </c>
      <c r="CH902">
        <v>1976</v>
      </c>
    </row>
    <row r="903" spans="1:86" hidden="1" x14ac:dyDescent="0.25">
      <c r="A903">
        <v>330541</v>
      </c>
      <c r="B903" t="s">
        <v>86</v>
      </c>
      <c r="D903" t="s">
        <v>115</v>
      </c>
      <c r="H903">
        <v>95</v>
      </c>
      <c r="J903">
        <v>99</v>
      </c>
      <c r="K903" t="s">
        <v>767</v>
      </c>
      <c r="L903" t="s">
        <v>89</v>
      </c>
      <c r="M903" t="s">
        <v>759</v>
      </c>
      <c r="N903" t="s">
        <v>118</v>
      </c>
      <c r="V903" t="s">
        <v>91</v>
      </c>
      <c r="W903" t="s">
        <v>92</v>
      </c>
      <c r="X903" t="s">
        <v>93</v>
      </c>
      <c r="Z903" t="s">
        <v>94</v>
      </c>
      <c r="AB903" s="281">
        <v>5.1281383999999999E-2</v>
      </c>
      <c r="AG903" t="s">
        <v>95</v>
      </c>
      <c r="AX903" t="s">
        <v>108</v>
      </c>
      <c r="AY903" t="s">
        <v>174</v>
      </c>
      <c r="AZ903" t="s">
        <v>422</v>
      </c>
      <c r="BB903" t="s">
        <v>434</v>
      </c>
      <c r="BC903">
        <v>2.5</v>
      </c>
      <c r="BH903" t="s">
        <v>99</v>
      </c>
      <c r="BO903" t="s">
        <v>111</v>
      </c>
      <c r="CD903" t="s">
        <v>768</v>
      </c>
      <c r="CE903">
        <v>71603</v>
      </c>
      <c r="CF903" t="s">
        <v>769</v>
      </c>
      <c r="CG903" t="s">
        <v>770</v>
      </c>
      <c r="CH903">
        <v>1997</v>
      </c>
    </row>
    <row r="904" spans="1:86" hidden="1" x14ac:dyDescent="0.25">
      <c r="A904">
        <v>330541</v>
      </c>
      <c r="B904" t="s">
        <v>86</v>
      </c>
      <c r="D904" t="s">
        <v>115</v>
      </c>
      <c r="H904">
        <v>95</v>
      </c>
      <c r="J904">
        <v>99</v>
      </c>
      <c r="K904" t="s">
        <v>767</v>
      </c>
      <c r="L904" t="s">
        <v>89</v>
      </c>
      <c r="M904" t="s">
        <v>759</v>
      </c>
      <c r="N904" t="s">
        <v>118</v>
      </c>
      <c r="V904" t="s">
        <v>91</v>
      </c>
      <c r="W904" t="s">
        <v>92</v>
      </c>
      <c r="X904" t="s">
        <v>93</v>
      </c>
      <c r="Z904" t="s">
        <v>94</v>
      </c>
      <c r="AB904" s="281">
        <v>4.6619440000000003E-3</v>
      </c>
      <c r="AG904" t="s">
        <v>95</v>
      </c>
      <c r="AX904" t="s">
        <v>108</v>
      </c>
      <c r="AY904" t="s">
        <v>174</v>
      </c>
      <c r="AZ904" t="s">
        <v>422</v>
      </c>
      <c r="BB904" t="s">
        <v>434</v>
      </c>
      <c r="BC904">
        <v>2.5</v>
      </c>
      <c r="BH904" t="s">
        <v>99</v>
      </c>
      <c r="BO904" t="s">
        <v>111</v>
      </c>
      <c r="CD904" t="s">
        <v>768</v>
      </c>
      <c r="CE904">
        <v>71603</v>
      </c>
      <c r="CF904" t="s">
        <v>769</v>
      </c>
      <c r="CG904" t="s">
        <v>770</v>
      </c>
      <c r="CH904">
        <v>1997</v>
      </c>
    </row>
    <row r="905" spans="1:86" hidden="1" x14ac:dyDescent="0.25">
      <c r="A905">
        <v>330541</v>
      </c>
      <c r="B905" t="s">
        <v>86</v>
      </c>
      <c r="D905" t="s">
        <v>115</v>
      </c>
      <c r="K905" t="s">
        <v>766</v>
      </c>
      <c r="L905" t="s">
        <v>117</v>
      </c>
      <c r="M905" t="s">
        <v>759</v>
      </c>
      <c r="V905" t="s">
        <v>91</v>
      </c>
      <c r="W905" t="s">
        <v>107</v>
      </c>
      <c r="X905" t="s">
        <v>93</v>
      </c>
      <c r="Z905" t="s">
        <v>465</v>
      </c>
      <c r="AB905">
        <v>2.3309719999999999E-2</v>
      </c>
      <c r="AG905" t="s">
        <v>95</v>
      </c>
      <c r="AX905" t="s">
        <v>144</v>
      </c>
      <c r="AY905" t="s">
        <v>109</v>
      </c>
      <c r="AZ905" t="s">
        <v>422</v>
      </c>
      <c r="BC905">
        <v>1.04E-2</v>
      </c>
      <c r="BH905" t="s">
        <v>99</v>
      </c>
      <c r="BO905" t="s">
        <v>111</v>
      </c>
      <c r="CD905" t="s">
        <v>423</v>
      </c>
      <c r="CE905">
        <v>15868</v>
      </c>
      <c r="CF905" t="s">
        <v>424</v>
      </c>
      <c r="CG905" t="s">
        <v>425</v>
      </c>
      <c r="CH905">
        <v>1976</v>
      </c>
    </row>
    <row r="906" spans="1:86" hidden="1" x14ac:dyDescent="0.25">
      <c r="A906">
        <v>330541</v>
      </c>
      <c r="B906" t="s">
        <v>86</v>
      </c>
      <c r="D906" t="s">
        <v>115</v>
      </c>
      <c r="K906" t="s">
        <v>763</v>
      </c>
      <c r="L906" t="s">
        <v>117</v>
      </c>
      <c r="M906" t="s">
        <v>759</v>
      </c>
      <c r="V906" t="s">
        <v>91</v>
      </c>
      <c r="W906" t="s">
        <v>107</v>
      </c>
      <c r="X906" t="s">
        <v>93</v>
      </c>
      <c r="Z906" t="s">
        <v>465</v>
      </c>
      <c r="AB906">
        <v>0.16316803999999999</v>
      </c>
      <c r="AG906" t="s">
        <v>95</v>
      </c>
      <c r="AX906" t="s">
        <v>144</v>
      </c>
      <c r="AY906" t="s">
        <v>109</v>
      </c>
      <c r="AZ906" t="s">
        <v>422</v>
      </c>
      <c r="BC906">
        <v>1.04E-2</v>
      </c>
      <c r="BH906" t="s">
        <v>99</v>
      </c>
      <c r="BO906" t="s">
        <v>111</v>
      </c>
      <c r="CD906" t="s">
        <v>423</v>
      </c>
      <c r="CE906">
        <v>15868</v>
      </c>
      <c r="CF906" t="s">
        <v>424</v>
      </c>
      <c r="CG906" t="s">
        <v>425</v>
      </c>
      <c r="CH906">
        <v>1976</v>
      </c>
    </row>
    <row r="907" spans="1:86" hidden="1" x14ac:dyDescent="0.25">
      <c r="A907">
        <v>330541</v>
      </c>
      <c r="B907" t="s">
        <v>86</v>
      </c>
      <c r="D907" t="s">
        <v>115</v>
      </c>
      <c r="H907">
        <v>95</v>
      </c>
      <c r="J907">
        <v>99</v>
      </c>
      <c r="K907" t="s">
        <v>767</v>
      </c>
      <c r="L907" t="s">
        <v>89</v>
      </c>
      <c r="M907" t="s">
        <v>759</v>
      </c>
      <c r="N907" t="s">
        <v>118</v>
      </c>
      <c r="V907" t="s">
        <v>91</v>
      </c>
      <c r="W907" t="s">
        <v>92</v>
      </c>
      <c r="X907" t="s">
        <v>93</v>
      </c>
      <c r="Z907" t="s">
        <v>94</v>
      </c>
      <c r="AB907" s="281">
        <v>9.3238880000000007E-3</v>
      </c>
      <c r="AG907" t="s">
        <v>95</v>
      </c>
      <c r="AX907" t="s">
        <v>108</v>
      </c>
      <c r="AY907" t="s">
        <v>174</v>
      </c>
      <c r="AZ907" t="s">
        <v>422</v>
      </c>
      <c r="BB907" t="s">
        <v>434</v>
      </c>
      <c r="BC907">
        <v>2.5</v>
      </c>
      <c r="BH907" t="s">
        <v>99</v>
      </c>
      <c r="BO907" t="s">
        <v>111</v>
      </c>
      <c r="CD907" t="s">
        <v>768</v>
      </c>
      <c r="CE907">
        <v>71603</v>
      </c>
      <c r="CF907" t="s">
        <v>769</v>
      </c>
      <c r="CG907" t="s">
        <v>770</v>
      </c>
      <c r="CH907">
        <v>1997</v>
      </c>
    </row>
    <row r="908" spans="1:86" hidden="1" x14ac:dyDescent="0.25">
      <c r="A908">
        <v>330541</v>
      </c>
      <c r="B908" t="s">
        <v>86</v>
      </c>
      <c r="D908" t="s">
        <v>115</v>
      </c>
      <c r="H908">
        <v>95</v>
      </c>
      <c r="J908">
        <v>99</v>
      </c>
      <c r="K908" t="s">
        <v>767</v>
      </c>
      <c r="L908" t="s">
        <v>89</v>
      </c>
      <c r="M908" t="s">
        <v>759</v>
      </c>
      <c r="N908" t="s">
        <v>118</v>
      </c>
      <c r="V908" t="s">
        <v>91</v>
      </c>
      <c r="W908" t="s">
        <v>92</v>
      </c>
      <c r="X908" t="s">
        <v>93</v>
      </c>
      <c r="Z908" t="s">
        <v>94</v>
      </c>
      <c r="AB908" s="281">
        <v>0.41491301600000002</v>
      </c>
      <c r="AG908" t="s">
        <v>95</v>
      </c>
      <c r="AX908" t="s">
        <v>108</v>
      </c>
      <c r="AY908" t="s">
        <v>174</v>
      </c>
      <c r="AZ908" t="s">
        <v>422</v>
      </c>
      <c r="BB908" t="s">
        <v>434</v>
      </c>
      <c r="BC908">
        <v>2.5</v>
      </c>
      <c r="BH908" t="s">
        <v>99</v>
      </c>
      <c r="BO908" t="s">
        <v>111</v>
      </c>
      <c r="CD908" t="s">
        <v>768</v>
      </c>
      <c r="CE908">
        <v>71603</v>
      </c>
      <c r="CF908" t="s">
        <v>769</v>
      </c>
      <c r="CG908" t="s">
        <v>770</v>
      </c>
      <c r="CH908">
        <v>1997</v>
      </c>
    </row>
    <row r="909" spans="1:86" hidden="1" x14ac:dyDescent="0.25">
      <c r="A909">
        <v>330541</v>
      </c>
      <c r="B909" t="s">
        <v>86</v>
      </c>
      <c r="D909" t="s">
        <v>115</v>
      </c>
      <c r="K909" t="s">
        <v>766</v>
      </c>
      <c r="L909" t="s">
        <v>117</v>
      </c>
      <c r="M909" t="s">
        <v>759</v>
      </c>
      <c r="N909" t="s">
        <v>118</v>
      </c>
      <c r="P909">
        <v>3</v>
      </c>
      <c r="U909" t="s">
        <v>99</v>
      </c>
      <c r="V909" t="s">
        <v>860</v>
      </c>
      <c r="W909" t="s">
        <v>107</v>
      </c>
      <c r="X909" t="s">
        <v>93</v>
      </c>
      <c r="Y909">
        <v>2</v>
      </c>
      <c r="Z909" t="s">
        <v>137</v>
      </c>
      <c r="AB909">
        <v>7.6922076000000006E-2</v>
      </c>
      <c r="AG909" t="s">
        <v>95</v>
      </c>
      <c r="AX909" t="s">
        <v>108</v>
      </c>
      <c r="AY909" t="s">
        <v>160</v>
      </c>
      <c r="AZ909" t="s">
        <v>422</v>
      </c>
      <c r="BC909">
        <v>7</v>
      </c>
      <c r="BH909" t="s">
        <v>99</v>
      </c>
      <c r="BO909" t="s">
        <v>111</v>
      </c>
      <c r="CD909" t="s">
        <v>861</v>
      </c>
      <c r="CE909">
        <v>101990</v>
      </c>
      <c r="CF909" t="s">
        <v>862</v>
      </c>
      <c r="CG909" t="s">
        <v>863</v>
      </c>
      <c r="CH909">
        <v>1998</v>
      </c>
    </row>
    <row r="910" spans="1:86" hidden="1" x14ac:dyDescent="0.25">
      <c r="A910">
        <v>330541</v>
      </c>
      <c r="B910" t="s">
        <v>86</v>
      </c>
      <c r="D910" t="s">
        <v>115</v>
      </c>
      <c r="K910" t="s">
        <v>864</v>
      </c>
      <c r="L910" t="s">
        <v>89</v>
      </c>
      <c r="M910" t="s">
        <v>759</v>
      </c>
      <c r="V910" t="s">
        <v>91</v>
      </c>
      <c r="W910" t="s">
        <v>92</v>
      </c>
      <c r="X910" t="s">
        <v>93</v>
      </c>
      <c r="Z910" t="s">
        <v>137</v>
      </c>
      <c r="AB910">
        <v>1.32865404E-2</v>
      </c>
      <c r="AG910" t="s">
        <v>95</v>
      </c>
      <c r="AX910" t="s">
        <v>108</v>
      </c>
      <c r="AY910" t="s">
        <v>150</v>
      </c>
      <c r="AZ910" t="s">
        <v>422</v>
      </c>
      <c r="BC910">
        <v>1</v>
      </c>
      <c r="BH910" t="s">
        <v>99</v>
      </c>
      <c r="BO910" t="s">
        <v>111</v>
      </c>
      <c r="CD910" t="s">
        <v>865</v>
      </c>
      <c r="CE910">
        <v>78497</v>
      </c>
      <c r="CF910" t="s">
        <v>866</v>
      </c>
      <c r="CG910" t="s">
        <v>867</v>
      </c>
      <c r="CH910">
        <v>1992</v>
      </c>
    </row>
    <row r="911" spans="1:86" hidden="1" x14ac:dyDescent="0.25">
      <c r="A911">
        <v>330541</v>
      </c>
      <c r="B911" t="s">
        <v>86</v>
      </c>
      <c r="D911" t="s">
        <v>115</v>
      </c>
      <c r="K911" t="s">
        <v>766</v>
      </c>
      <c r="L911" t="s">
        <v>117</v>
      </c>
      <c r="M911" t="s">
        <v>759</v>
      </c>
      <c r="N911" t="s">
        <v>118</v>
      </c>
      <c r="P911">
        <v>3</v>
      </c>
      <c r="U911" t="s">
        <v>99</v>
      </c>
      <c r="V911" t="s">
        <v>91</v>
      </c>
      <c r="W911" t="s">
        <v>107</v>
      </c>
      <c r="X911" t="s">
        <v>93</v>
      </c>
      <c r="Z911" t="s">
        <v>137</v>
      </c>
      <c r="AB911">
        <v>2.0978747999999998E-2</v>
      </c>
      <c r="AG911" t="s">
        <v>95</v>
      </c>
      <c r="AX911" t="s">
        <v>108</v>
      </c>
      <c r="AY911" t="s">
        <v>160</v>
      </c>
      <c r="AZ911" t="s">
        <v>422</v>
      </c>
      <c r="BC911">
        <v>3</v>
      </c>
      <c r="BH911" t="s">
        <v>99</v>
      </c>
      <c r="BO911" t="s">
        <v>111</v>
      </c>
      <c r="CD911" t="s">
        <v>861</v>
      </c>
      <c r="CE911">
        <v>101990</v>
      </c>
      <c r="CF911" t="s">
        <v>862</v>
      </c>
      <c r="CG911" t="s">
        <v>863</v>
      </c>
      <c r="CH911">
        <v>1998</v>
      </c>
    </row>
    <row r="912" spans="1:86" hidden="1" x14ac:dyDescent="0.25">
      <c r="A912">
        <v>330541</v>
      </c>
      <c r="B912" t="s">
        <v>86</v>
      </c>
      <c r="D912" t="s">
        <v>115</v>
      </c>
      <c r="K912" t="s">
        <v>864</v>
      </c>
      <c r="L912" t="s">
        <v>89</v>
      </c>
      <c r="M912" t="s">
        <v>759</v>
      </c>
      <c r="V912" t="s">
        <v>91</v>
      </c>
      <c r="W912" t="s">
        <v>92</v>
      </c>
      <c r="X912" t="s">
        <v>93</v>
      </c>
      <c r="Z912" t="s">
        <v>137</v>
      </c>
      <c r="AB912">
        <v>0.05</v>
      </c>
      <c r="AG912" t="s">
        <v>95</v>
      </c>
      <c r="AX912" t="s">
        <v>108</v>
      </c>
      <c r="AY912" t="s">
        <v>160</v>
      </c>
      <c r="AZ912" t="s">
        <v>475</v>
      </c>
      <c r="BC912">
        <v>14</v>
      </c>
      <c r="BH912" t="s">
        <v>99</v>
      </c>
      <c r="BO912" t="s">
        <v>111</v>
      </c>
      <c r="CD912" t="s">
        <v>477</v>
      </c>
      <c r="CE912">
        <v>17259</v>
      </c>
      <c r="CF912" t="s">
        <v>478</v>
      </c>
      <c r="CG912" t="s">
        <v>479</v>
      </c>
      <c r="CH912">
        <v>1981</v>
      </c>
    </row>
    <row r="913" spans="1:86" hidden="1" x14ac:dyDescent="0.25">
      <c r="A913">
        <v>330541</v>
      </c>
      <c r="B913" t="s">
        <v>86</v>
      </c>
      <c r="D913" t="s">
        <v>115</v>
      </c>
      <c r="K913" t="s">
        <v>835</v>
      </c>
      <c r="L913" t="s">
        <v>89</v>
      </c>
      <c r="M913" t="s">
        <v>759</v>
      </c>
      <c r="V913" t="s">
        <v>91</v>
      </c>
      <c r="W913" t="s">
        <v>92</v>
      </c>
      <c r="X913" t="s">
        <v>93</v>
      </c>
      <c r="Z913" t="s">
        <v>137</v>
      </c>
      <c r="AB913">
        <v>0.05</v>
      </c>
      <c r="AG913" t="s">
        <v>95</v>
      </c>
      <c r="AX913" t="s">
        <v>108</v>
      </c>
      <c r="AY913" t="s">
        <v>160</v>
      </c>
      <c r="AZ913" t="s">
        <v>475</v>
      </c>
      <c r="BC913">
        <v>14</v>
      </c>
      <c r="BH913" t="s">
        <v>99</v>
      </c>
      <c r="BO913" t="s">
        <v>111</v>
      </c>
      <c r="CD913" t="s">
        <v>477</v>
      </c>
      <c r="CE913">
        <v>17259</v>
      </c>
      <c r="CF913" t="s">
        <v>478</v>
      </c>
      <c r="CG913" t="s">
        <v>479</v>
      </c>
      <c r="CH913">
        <v>1981</v>
      </c>
    </row>
    <row r="914" spans="1:86" hidden="1" x14ac:dyDescent="0.25">
      <c r="A914">
        <v>330541</v>
      </c>
      <c r="B914" t="s">
        <v>86</v>
      </c>
      <c r="D914" t="s">
        <v>115</v>
      </c>
      <c r="K914" t="s">
        <v>767</v>
      </c>
      <c r="L914" t="s">
        <v>89</v>
      </c>
      <c r="M914" t="s">
        <v>759</v>
      </c>
      <c r="V914" t="s">
        <v>91</v>
      </c>
      <c r="W914" t="s">
        <v>92</v>
      </c>
      <c r="X914" t="s">
        <v>93</v>
      </c>
      <c r="Y914">
        <v>2</v>
      </c>
      <c r="Z914" t="s">
        <v>137</v>
      </c>
      <c r="AB914">
        <v>1.165486</v>
      </c>
      <c r="AG914" t="s">
        <v>95</v>
      </c>
      <c r="AX914" t="s">
        <v>144</v>
      </c>
      <c r="AY914" t="s">
        <v>438</v>
      </c>
      <c r="AZ914" t="s">
        <v>486</v>
      </c>
      <c r="BC914">
        <v>2.0799999999999999E-2</v>
      </c>
      <c r="BH914" t="s">
        <v>99</v>
      </c>
      <c r="BO914" t="s">
        <v>111</v>
      </c>
      <c r="CD914" t="s">
        <v>868</v>
      </c>
      <c r="CE914">
        <v>172734</v>
      </c>
      <c r="CF914" t="s">
        <v>869</v>
      </c>
      <c r="CG914" t="s">
        <v>870</v>
      </c>
      <c r="CH914">
        <v>2014</v>
      </c>
    </row>
    <row r="915" spans="1:86" hidden="1" x14ac:dyDescent="0.25">
      <c r="A915">
        <v>330541</v>
      </c>
      <c r="B915" t="s">
        <v>86</v>
      </c>
      <c r="D915" t="s">
        <v>115</v>
      </c>
      <c r="K915" t="s">
        <v>767</v>
      </c>
      <c r="L915" t="s">
        <v>89</v>
      </c>
      <c r="M915" t="s">
        <v>759</v>
      </c>
      <c r="V915" t="s">
        <v>91</v>
      </c>
      <c r="W915" t="s">
        <v>92</v>
      </c>
      <c r="X915" t="s">
        <v>93</v>
      </c>
      <c r="Y915">
        <v>2</v>
      </c>
      <c r="Z915" t="s">
        <v>137</v>
      </c>
      <c r="AB915">
        <v>1.165486</v>
      </c>
      <c r="AG915" t="s">
        <v>95</v>
      </c>
      <c r="AX915" t="s">
        <v>144</v>
      </c>
      <c r="AY915" t="s">
        <v>438</v>
      </c>
      <c r="AZ915" t="s">
        <v>486</v>
      </c>
      <c r="BC915">
        <v>4.1700000000000001E-2</v>
      </c>
      <c r="BH915" t="s">
        <v>99</v>
      </c>
      <c r="BO915" t="s">
        <v>111</v>
      </c>
      <c r="CD915" t="s">
        <v>868</v>
      </c>
      <c r="CE915">
        <v>172734</v>
      </c>
      <c r="CF915" t="s">
        <v>869</v>
      </c>
      <c r="CG915" t="s">
        <v>870</v>
      </c>
      <c r="CH915">
        <v>2014</v>
      </c>
    </row>
    <row r="916" spans="1:86" hidden="1" x14ac:dyDescent="0.25">
      <c r="A916">
        <v>330541</v>
      </c>
      <c r="B916" t="s">
        <v>86</v>
      </c>
      <c r="D916" t="s">
        <v>115</v>
      </c>
      <c r="K916" t="s">
        <v>767</v>
      </c>
      <c r="L916" t="s">
        <v>89</v>
      </c>
      <c r="M916" t="s">
        <v>759</v>
      </c>
      <c r="V916" t="s">
        <v>91</v>
      </c>
      <c r="W916" t="s">
        <v>92</v>
      </c>
      <c r="X916" t="s">
        <v>93</v>
      </c>
      <c r="Y916">
        <v>2</v>
      </c>
      <c r="Z916" t="s">
        <v>137</v>
      </c>
      <c r="AB916">
        <v>1.165486</v>
      </c>
      <c r="AG916" t="s">
        <v>95</v>
      </c>
      <c r="AX916" t="s">
        <v>144</v>
      </c>
      <c r="AY916" t="s">
        <v>438</v>
      </c>
      <c r="AZ916" t="s">
        <v>486</v>
      </c>
      <c r="BC916">
        <v>4.1700000000000001E-2</v>
      </c>
      <c r="BH916" t="s">
        <v>99</v>
      </c>
      <c r="BO916" t="s">
        <v>111</v>
      </c>
      <c r="CD916" t="s">
        <v>868</v>
      </c>
      <c r="CE916">
        <v>172734</v>
      </c>
      <c r="CF916" t="s">
        <v>869</v>
      </c>
      <c r="CG916" t="s">
        <v>870</v>
      </c>
      <c r="CH916">
        <v>2014</v>
      </c>
    </row>
    <row r="917" spans="1:86" hidden="1" x14ac:dyDescent="0.25">
      <c r="A917">
        <v>330541</v>
      </c>
      <c r="B917" t="s">
        <v>86</v>
      </c>
      <c r="D917" t="s">
        <v>115</v>
      </c>
      <c r="K917" t="s">
        <v>767</v>
      </c>
      <c r="L917" t="s">
        <v>89</v>
      </c>
      <c r="M917" t="s">
        <v>759</v>
      </c>
      <c r="V917" t="s">
        <v>91</v>
      </c>
      <c r="W917" t="s">
        <v>92</v>
      </c>
      <c r="X917" t="s">
        <v>93</v>
      </c>
      <c r="Y917">
        <v>2</v>
      </c>
      <c r="Z917" t="s">
        <v>137</v>
      </c>
      <c r="AB917">
        <v>1.165486</v>
      </c>
      <c r="AG917" t="s">
        <v>95</v>
      </c>
      <c r="AX917" t="s">
        <v>144</v>
      </c>
      <c r="AY917" t="s">
        <v>438</v>
      </c>
      <c r="AZ917" t="s">
        <v>486</v>
      </c>
      <c r="BC917">
        <v>1.04E-2</v>
      </c>
      <c r="BH917" t="s">
        <v>99</v>
      </c>
      <c r="BO917" t="s">
        <v>111</v>
      </c>
      <c r="CD917" t="s">
        <v>868</v>
      </c>
      <c r="CE917">
        <v>172734</v>
      </c>
      <c r="CF917" t="s">
        <v>869</v>
      </c>
      <c r="CG917" t="s">
        <v>870</v>
      </c>
      <c r="CH917">
        <v>2014</v>
      </c>
    </row>
    <row r="918" spans="1:86" hidden="1" x14ac:dyDescent="0.25">
      <c r="A918">
        <v>330541</v>
      </c>
      <c r="B918" t="s">
        <v>86</v>
      </c>
      <c r="D918" t="s">
        <v>115</v>
      </c>
      <c r="K918" t="s">
        <v>767</v>
      </c>
      <c r="L918" t="s">
        <v>89</v>
      </c>
      <c r="M918" t="s">
        <v>759</v>
      </c>
      <c r="V918" t="s">
        <v>91</v>
      </c>
      <c r="W918" t="s">
        <v>92</v>
      </c>
      <c r="X918" t="s">
        <v>93</v>
      </c>
      <c r="Y918">
        <v>2</v>
      </c>
      <c r="Z918" t="s">
        <v>137</v>
      </c>
      <c r="AB918">
        <v>1.165486</v>
      </c>
      <c r="AG918" t="s">
        <v>95</v>
      </c>
      <c r="AX918" t="s">
        <v>144</v>
      </c>
      <c r="AY918" t="s">
        <v>438</v>
      </c>
      <c r="AZ918" t="s">
        <v>486</v>
      </c>
      <c r="BC918">
        <v>2.0799999999999999E-2</v>
      </c>
      <c r="BH918" t="s">
        <v>99</v>
      </c>
      <c r="BO918" t="s">
        <v>111</v>
      </c>
      <c r="CD918" t="s">
        <v>868</v>
      </c>
      <c r="CE918">
        <v>172734</v>
      </c>
      <c r="CF918" t="s">
        <v>869</v>
      </c>
      <c r="CG918" t="s">
        <v>870</v>
      </c>
      <c r="CH918">
        <v>2014</v>
      </c>
    </row>
    <row r="919" spans="1:86" hidden="1" x14ac:dyDescent="0.25">
      <c r="A919">
        <v>330541</v>
      </c>
      <c r="B919" t="s">
        <v>86</v>
      </c>
      <c r="D919" t="s">
        <v>115</v>
      </c>
      <c r="K919" t="s">
        <v>771</v>
      </c>
      <c r="L919" t="s">
        <v>89</v>
      </c>
      <c r="M919" t="s">
        <v>759</v>
      </c>
      <c r="N919" t="s">
        <v>118</v>
      </c>
      <c r="V919" t="s">
        <v>91</v>
      </c>
      <c r="W919" t="s">
        <v>107</v>
      </c>
      <c r="X919" t="s">
        <v>93</v>
      </c>
      <c r="Y919">
        <v>2</v>
      </c>
      <c r="Z919" t="s">
        <v>137</v>
      </c>
      <c r="AB919">
        <v>0.01</v>
      </c>
      <c r="AG919" t="s">
        <v>95</v>
      </c>
      <c r="AX919" t="s">
        <v>201</v>
      </c>
      <c r="AY919" t="s">
        <v>542</v>
      </c>
      <c r="AZ919" t="s">
        <v>486</v>
      </c>
      <c r="BA919" t="s">
        <v>179</v>
      </c>
      <c r="BC919">
        <v>4</v>
      </c>
      <c r="BH919" t="s">
        <v>99</v>
      </c>
      <c r="BO919" t="s">
        <v>111</v>
      </c>
      <c r="CD919" t="s">
        <v>832</v>
      </c>
      <c r="CE919">
        <v>165272</v>
      </c>
      <c r="CF919" t="s">
        <v>833</v>
      </c>
      <c r="CG919" t="s">
        <v>834</v>
      </c>
      <c r="CH919">
        <v>2013</v>
      </c>
    </row>
    <row r="920" spans="1:86" hidden="1" x14ac:dyDescent="0.25">
      <c r="A920">
        <v>330541</v>
      </c>
      <c r="B920" t="s">
        <v>86</v>
      </c>
      <c r="D920" t="s">
        <v>115</v>
      </c>
      <c r="K920" t="s">
        <v>771</v>
      </c>
      <c r="L920" t="s">
        <v>89</v>
      </c>
      <c r="M920" t="s">
        <v>759</v>
      </c>
      <c r="N920" t="s">
        <v>118</v>
      </c>
      <c r="V920" t="s">
        <v>91</v>
      </c>
      <c r="W920" t="s">
        <v>107</v>
      </c>
      <c r="X920" t="s">
        <v>93</v>
      </c>
      <c r="Y920">
        <v>2</v>
      </c>
      <c r="Z920" t="s">
        <v>137</v>
      </c>
      <c r="AB920">
        <v>0.01</v>
      </c>
      <c r="AG920" t="s">
        <v>95</v>
      </c>
      <c r="AX920" t="s">
        <v>108</v>
      </c>
      <c r="AY920" t="s">
        <v>150</v>
      </c>
      <c r="AZ920" t="s">
        <v>486</v>
      </c>
      <c r="BC920">
        <v>4</v>
      </c>
      <c r="BH920" t="s">
        <v>99</v>
      </c>
      <c r="BO920" t="s">
        <v>111</v>
      </c>
      <c r="CD920" t="s">
        <v>832</v>
      </c>
      <c r="CE920">
        <v>165272</v>
      </c>
      <c r="CF920" t="s">
        <v>833</v>
      </c>
      <c r="CG920" t="s">
        <v>834</v>
      </c>
      <c r="CH920">
        <v>2013</v>
      </c>
    </row>
    <row r="921" spans="1:86" hidden="1" x14ac:dyDescent="0.25">
      <c r="A921">
        <v>330541</v>
      </c>
      <c r="B921" t="s">
        <v>86</v>
      </c>
      <c r="D921" t="s">
        <v>115</v>
      </c>
      <c r="K921" t="s">
        <v>771</v>
      </c>
      <c r="L921" t="s">
        <v>89</v>
      </c>
      <c r="M921" t="s">
        <v>759</v>
      </c>
      <c r="N921" t="s">
        <v>118</v>
      </c>
      <c r="V921" t="s">
        <v>91</v>
      </c>
      <c r="W921" t="s">
        <v>107</v>
      </c>
      <c r="X921" t="s">
        <v>93</v>
      </c>
      <c r="Y921">
        <v>2</v>
      </c>
      <c r="Z921" t="s">
        <v>137</v>
      </c>
      <c r="AB921">
        <v>0.01</v>
      </c>
      <c r="AG921" t="s">
        <v>95</v>
      </c>
      <c r="AX921" t="s">
        <v>201</v>
      </c>
      <c r="AY921" t="s">
        <v>120</v>
      </c>
      <c r="AZ921" t="s">
        <v>486</v>
      </c>
      <c r="BA921" t="s">
        <v>179</v>
      </c>
      <c r="BC921">
        <v>4</v>
      </c>
      <c r="BH921" t="s">
        <v>99</v>
      </c>
      <c r="BO921" t="s">
        <v>111</v>
      </c>
      <c r="CD921" t="s">
        <v>832</v>
      </c>
      <c r="CE921">
        <v>165272</v>
      </c>
      <c r="CF921" t="s">
        <v>833</v>
      </c>
      <c r="CG921" t="s">
        <v>834</v>
      </c>
      <c r="CH921">
        <v>2013</v>
      </c>
    </row>
    <row r="922" spans="1:86" hidden="1" x14ac:dyDescent="0.25">
      <c r="A922">
        <v>330541</v>
      </c>
      <c r="B922" t="s">
        <v>86</v>
      </c>
      <c r="D922" t="s">
        <v>115</v>
      </c>
      <c r="K922" t="s">
        <v>771</v>
      </c>
      <c r="L922" t="s">
        <v>89</v>
      </c>
      <c r="M922" t="s">
        <v>759</v>
      </c>
      <c r="N922" t="s">
        <v>118</v>
      </c>
      <c r="V922" t="s">
        <v>91</v>
      </c>
      <c r="W922" t="s">
        <v>107</v>
      </c>
      <c r="X922" t="s">
        <v>93</v>
      </c>
      <c r="Y922">
        <v>2</v>
      </c>
      <c r="Z922" t="s">
        <v>137</v>
      </c>
      <c r="AB922">
        <v>0.01</v>
      </c>
      <c r="AG922" t="s">
        <v>95</v>
      </c>
      <c r="AX922" t="s">
        <v>108</v>
      </c>
      <c r="AY922" t="s">
        <v>160</v>
      </c>
      <c r="AZ922" t="s">
        <v>486</v>
      </c>
      <c r="BC922">
        <v>4</v>
      </c>
      <c r="BH922" t="s">
        <v>99</v>
      </c>
      <c r="BO922" t="s">
        <v>111</v>
      </c>
      <c r="CD922" t="s">
        <v>832</v>
      </c>
      <c r="CE922">
        <v>165272</v>
      </c>
      <c r="CF922" t="s">
        <v>833</v>
      </c>
      <c r="CG922" t="s">
        <v>834</v>
      </c>
      <c r="CH922">
        <v>2013</v>
      </c>
    </row>
    <row r="923" spans="1:86" hidden="1" x14ac:dyDescent="0.25">
      <c r="A923">
        <v>330541</v>
      </c>
      <c r="B923" t="s">
        <v>86</v>
      </c>
      <c r="D923" t="s">
        <v>115</v>
      </c>
      <c r="K923" t="s">
        <v>771</v>
      </c>
      <c r="L923" t="s">
        <v>89</v>
      </c>
      <c r="M923" t="s">
        <v>759</v>
      </c>
      <c r="N923" t="s">
        <v>118</v>
      </c>
      <c r="V923" t="s">
        <v>91</v>
      </c>
      <c r="W923" t="s">
        <v>107</v>
      </c>
      <c r="X923" t="s">
        <v>93</v>
      </c>
      <c r="Y923">
        <v>2</v>
      </c>
      <c r="Z923" t="s">
        <v>137</v>
      </c>
      <c r="AB923">
        <v>0.01</v>
      </c>
      <c r="AG923" t="s">
        <v>95</v>
      </c>
      <c r="AX923" t="s">
        <v>201</v>
      </c>
      <c r="AY923" t="s">
        <v>871</v>
      </c>
      <c r="AZ923" t="s">
        <v>486</v>
      </c>
      <c r="BA923" t="s">
        <v>179</v>
      </c>
      <c r="BC923">
        <v>4</v>
      </c>
      <c r="BH923" t="s">
        <v>99</v>
      </c>
      <c r="BO923" t="s">
        <v>111</v>
      </c>
      <c r="CD923" t="s">
        <v>832</v>
      </c>
      <c r="CE923">
        <v>165272</v>
      </c>
      <c r="CF923" t="s">
        <v>833</v>
      </c>
      <c r="CG923" t="s">
        <v>834</v>
      </c>
      <c r="CH923">
        <v>2013</v>
      </c>
    </row>
    <row r="924" spans="1:86" hidden="1" x14ac:dyDescent="0.25">
      <c r="A924">
        <v>330541</v>
      </c>
      <c r="B924" t="s">
        <v>86</v>
      </c>
      <c r="C924" t="s">
        <v>104</v>
      </c>
      <c r="D924" t="s">
        <v>87</v>
      </c>
      <c r="F924">
        <v>99</v>
      </c>
      <c r="K924" t="s">
        <v>765</v>
      </c>
      <c r="L924" t="s">
        <v>143</v>
      </c>
      <c r="M924" t="s">
        <v>759</v>
      </c>
      <c r="N924" t="s">
        <v>118</v>
      </c>
      <c r="V924" t="s">
        <v>91</v>
      </c>
      <c r="W924" t="s">
        <v>107</v>
      </c>
      <c r="X924" t="s">
        <v>93</v>
      </c>
      <c r="Y924">
        <v>5</v>
      </c>
      <c r="Z924" t="s">
        <v>94</v>
      </c>
      <c r="AB924" s="281">
        <v>4.2999999999999999E-4</v>
      </c>
      <c r="AG924" t="s">
        <v>95</v>
      </c>
      <c r="AX924" t="s">
        <v>108</v>
      </c>
      <c r="AY924" t="s">
        <v>150</v>
      </c>
      <c r="AZ924" t="s">
        <v>486</v>
      </c>
      <c r="BC924">
        <v>3</v>
      </c>
      <c r="BH924" t="s">
        <v>99</v>
      </c>
      <c r="BO924" t="s">
        <v>111</v>
      </c>
      <c r="CD924" t="s">
        <v>348</v>
      </c>
      <c r="CE924">
        <v>98904</v>
      </c>
      <c r="CF924" t="s">
        <v>349</v>
      </c>
      <c r="CG924" t="s">
        <v>350</v>
      </c>
      <c r="CH924">
        <v>2005</v>
      </c>
    </row>
    <row r="925" spans="1:86" hidden="1" x14ac:dyDescent="0.25">
      <c r="A925">
        <v>330541</v>
      </c>
      <c r="B925" t="s">
        <v>86</v>
      </c>
      <c r="D925" t="s">
        <v>115</v>
      </c>
      <c r="K925" t="s">
        <v>767</v>
      </c>
      <c r="L925" t="s">
        <v>89</v>
      </c>
      <c r="M925" t="s">
        <v>759</v>
      </c>
      <c r="V925" t="s">
        <v>91</v>
      </c>
      <c r="W925" t="s">
        <v>92</v>
      </c>
      <c r="X925" t="s">
        <v>93</v>
      </c>
      <c r="Y925">
        <v>2</v>
      </c>
      <c r="Z925" t="s">
        <v>137</v>
      </c>
      <c r="AB925">
        <v>1.165486</v>
      </c>
      <c r="AG925" t="s">
        <v>95</v>
      </c>
      <c r="AX925" t="s">
        <v>144</v>
      </c>
      <c r="AY925" t="s">
        <v>438</v>
      </c>
      <c r="AZ925" t="s">
        <v>486</v>
      </c>
      <c r="BC925">
        <v>1.04E-2</v>
      </c>
      <c r="BH925" t="s">
        <v>99</v>
      </c>
      <c r="BO925" t="s">
        <v>111</v>
      </c>
      <c r="CD925" t="s">
        <v>868</v>
      </c>
      <c r="CE925">
        <v>172734</v>
      </c>
      <c r="CF925" t="s">
        <v>869</v>
      </c>
      <c r="CG925" t="s">
        <v>870</v>
      </c>
      <c r="CH925">
        <v>2014</v>
      </c>
    </row>
    <row r="926" spans="1:86" hidden="1" x14ac:dyDescent="0.25">
      <c r="A926">
        <v>330541</v>
      </c>
      <c r="B926" t="s">
        <v>86</v>
      </c>
      <c r="D926" t="s">
        <v>105</v>
      </c>
      <c r="K926" t="s">
        <v>767</v>
      </c>
      <c r="L926" t="s">
        <v>89</v>
      </c>
      <c r="M926" t="s">
        <v>759</v>
      </c>
      <c r="N926" t="s">
        <v>118</v>
      </c>
      <c r="V926" t="s">
        <v>91</v>
      </c>
      <c r="W926" t="s">
        <v>92</v>
      </c>
      <c r="X926" t="s">
        <v>93</v>
      </c>
      <c r="Y926">
        <v>13</v>
      </c>
      <c r="Z926" t="s">
        <v>137</v>
      </c>
      <c r="AB926">
        <v>2.3309720000000002E-3</v>
      </c>
      <c r="AG926" t="s">
        <v>95</v>
      </c>
      <c r="AX926" t="s">
        <v>282</v>
      </c>
      <c r="AY926" t="s">
        <v>806</v>
      </c>
      <c r="AZ926" t="s">
        <v>486</v>
      </c>
      <c r="BC926">
        <v>1</v>
      </c>
      <c r="BH926" t="s">
        <v>99</v>
      </c>
      <c r="BO926" t="s">
        <v>111</v>
      </c>
      <c r="CD926" t="s">
        <v>772</v>
      </c>
      <c r="CE926">
        <v>160529</v>
      </c>
      <c r="CF926" t="s">
        <v>773</v>
      </c>
      <c r="CG926" t="s">
        <v>774</v>
      </c>
      <c r="CH926">
        <v>2012</v>
      </c>
    </row>
    <row r="927" spans="1:86" hidden="1" x14ac:dyDescent="0.25">
      <c r="A927">
        <v>330541</v>
      </c>
      <c r="B927" t="s">
        <v>86</v>
      </c>
      <c r="D927" t="s">
        <v>105</v>
      </c>
      <c r="K927" t="s">
        <v>767</v>
      </c>
      <c r="L927" t="s">
        <v>89</v>
      </c>
      <c r="M927" t="s">
        <v>759</v>
      </c>
      <c r="N927" t="s">
        <v>118</v>
      </c>
      <c r="V927" t="s">
        <v>91</v>
      </c>
      <c r="W927" t="s">
        <v>92</v>
      </c>
      <c r="X927" t="s">
        <v>93</v>
      </c>
      <c r="Y927">
        <v>13</v>
      </c>
      <c r="Z927" t="s">
        <v>137</v>
      </c>
      <c r="AB927">
        <v>7.6922076000000006E-2</v>
      </c>
      <c r="AG927" t="s">
        <v>95</v>
      </c>
      <c r="AX927" t="s">
        <v>282</v>
      </c>
      <c r="AY927" t="s">
        <v>806</v>
      </c>
      <c r="AZ927" t="s">
        <v>486</v>
      </c>
      <c r="BC927">
        <v>0.25</v>
      </c>
      <c r="BH927" t="s">
        <v>99</v>
      </c>
      <c r="BO927" t="s">
        <v>111</v>
      </c>
      <c r="CD927" t="s">
        <v>772</v>
      </c>
      <c r="CE927">
        <v>160529</v>
      </c>
      <c r="CF927" t="s">
        <v>773</v>
      </c>
      <c r="CG927" t="s">
        <v>774</v>
      </c>
      <c r="CH927">
        <v>2012</v>
      </c>
    </row>
    <row r="928" spans="1:86" hidden="1" x14ac:dyDescent="0.25">
      <c r="A928">
        <v>330541</v>
      </c>
      <c r="B928" t="s">
        <v>86</v>
      </c>
      <c r="D928" t="s">
        <v>105</v>
      </c>
      <c r="K928" t="s">
        <v>767</v>
      </c>
      <c r="L928" t="s">
        <v>89</v>
      </c>
      <c r="M928" t="s">
        <v>759</v>
      </c>
      <c r="N928" t="s">
        <v>118</v>
      </c>
      <c r="V928" t="s">
        <v>91</v>
      </c>
      <c r="W928" t="s">
        <v>92</v>
      </c>
      <c r="X928" t="s">
        <v>93</v>
      </c>
      <c r="Y928">
        <v>13</v>
      </c>
      <c r="Z928" t="s">
        <v>137</v>
      </c>
      <c r="AB928">
        <v>7.6922076000000006E-2</v>
      </c>
      <c r="AG928" t="s">
        <v>95</v>
      </c>
      <c r="AX928" t="s">
        <v>108</v>
      </c>
      <c r="AY928" t="s">
        <v>532</v>
      </c>
      <c r="AZ928" t="s">
        <v>486</v>
      </c>
      <c r="BC928">
        <v>1</v>
      </c>
      <c r="BH928" t="s">
        <v>99</v>
      </c>
      <c r="BO928" t="s">
        <v>111</v>
      </c>
      <c r="CD928" t="s">
        <v>772</v>
      </c>
      <c r="CE928">
        <v>160529</v>
      </c>
      <c r="CF928" t="s">
        <v>773</v>
      </c>
      <c r="CG928" t="s">
        <v>774</v>
      </c>
      <c r="CH928">
        <v>2012</v>
      </c>
    </row>
    <row r="929" spans="1:86" hidden="1" x14ac:dyDescent="0.25">
      <c r="A929">
        <v>330541</v>
      </c>
      <c r="B929" t="s">
        <v>86</v>
      </c>
      <c r="D929" t="s">
        <v>105</v>
      </c>
      <c r="K929" t="s">
        <v>767</v>
      </c>
      <c r="L929" t="s">
        <v>89</v>
      </c>
      <c r="M929" t="s">
        <v>759</v>
      </c>
      <c r="N929" t="s">
        <v>118</v>
      </c>
      <c r="V929" t="s">
        <v>91</v>
      </c>
      <c r="W929" t="s">
        <v>92</v>
      </c>
      <c r="X929" t="s">
        <v>93</v>
      </c>
      <c r="Y929">
        <v>13</v>
      </c>
      <c r="Z929" t="s">
        <v>137</v>
      </c>
      <c r="AB929">
        <v>7.6922076000000006E-2</v>
      </c>
      <c r="AG929" t="s">
        <v>95</v>
      </c>
      <c r="AX929" t="s">
        <v>201</v>
      </c>
      <c r="AY929" t="s">
        <v>805</v>
      </c>
      <c r="AZ929" t="s">
        <v>486</v>
      </c>
      <c r="BC929">
        <v>0.25</v>
      </c>
      <c r="BH929" t="s">
        <v>99</v>
      </c>
      <c r="BO929" t="s">
        <v>111</v>
      </c>
      <c r="CD929" t="s">
        <v>772</v>
      </c>
      <c r="CE929">
        <v>160529</v>
      </c>
      <c r="CF929" t="s">
        <v>773</v>
      </c>
      <c r="CG929" t="s">
        <v>774</v>
      </c>
      <c r="CH929">
        <v>2012</v>
      </c>
    </row>
    <row r="930" spans="1:86" hidden="1" x14ac:dyDescent="0.25">
      <c r="A930">
        <v>330541</v>
      </c>
      <c r="B930" t="s">
        <v>86</v>
      </c>
      <c r="D930" t="s">
        <v>105</v>
      </c>
      <c r="K930" t="s">
        <v>767</v>
      </c>
      <c r="L930" t="s">
        <v>89</v>
      </c>
      <c r="M930" t="s">
        <v>759</v>
      </c>
      <c r="N930" t="s">
        <v>118</v>
      </c>
      <c r="V930" t="s">
        <v>91</v>
      </c>
      <c r="W930" t="s">
        <v>92</v>
      </c>
      <c r="X930" t="s">
        <v>93</v>
      </c>
      <c r="Y930">
        <v>13</v>
      </c>
      <c r="Z930" t="s">
        <v>137</v>
      </c>
      <c r="AB930">
        <v>7.6922075999999997E-3</v>
      </c>
      <c r="AG930" t="s">
        <v>95</v>
      </c>
      <c r="AX930" t="s">
        <v>108</v>
      </c>
      <c r="AY930" t="s">
        <v>160</v>
      </c>
      <c r="AZ930" t="s">
        <v>486</v>
      </c>
      <c r="BC930">
        <v>1</v>
      </c>
      <c r="BH930" t="s">
        <v>99</v>
      </c>
      <c r="BO930" t="s">
        <v>111</v>
      </c>
      <c r="CD930" t="s">
        <v>772</v>
      </c>
      <c r="CE930">
        <v>160529</v>
      </c>
      <c r="CF930" t="s">
        <v>773</v>
      </c>
      <c r="CG930" t="s">
        <v>774</v>
      </c>
      <c r="CH930">
        <v>2012</v>
      </c>
    </row>
    <row r="931" spans="1:86" hidden="1" x14ac:dyDescent="0.25">
      <c r="A931">
        <v>330541</v>
      </c>
      <c r="B931" t="s">
        <v>86</v>
      </c>
      <c r="D931" t="s">
        <v>115</v>
      </c>
      <c r="K931" t="s">
        <v>771</v>
      </c>
      <c r="L931" t="s">
        <v>89</v>
      </c>
      <c r="M931" t="s">
        <v>759</v>
      </c>
      <c r="N931" t="s">
        <v>118</v>
      </c>
      <c r="V931" t="s">
        <v>91</v>
      </c>
      <c r="W931" t="s">
        <v>107</v>
      </c>
      <c r="X931" t="s">
        <v>93</v>
      </c>
      <c r="Y931">
        <v>2</v>
      </c>
      <c r="Z931" t="s">
        <v>137</v>
      </c>
      <c r="AB931">
        <v>0.01</v>
      </c>
      <c r="AG931" t="s">
        <v>95</v>
      </c>
      <c r="AX931" t="s">
        <v>201</v>
      </c>
      <c r="AY931" t="s">
        <v>542</v>
      </c>
      <c r="AZ931" t="s">
        <v>486</v>
      </c>
      <c r="BA931" t="s">
        <v>179</v>
      </c>
      <c r="BC931">
        <v>4</v>
      </c>
      <c r="BH931" t="s">
        <v>99</v>
      </c>
      <c r="BO931" t="s">
        <v>111</v>
      </c>
      <c r="CD931" t="s">
        <v>832</v>
      </c>
      <c r="CE931">
        <v>165272</v>
      </c>
      <c r="CF931" t="s">
        <v>833</v>
      </c>
      <c r="CG931" t="s">
        <v>834</v>
      </c>
      <c r="CH931">
        <v>2013</v>
      </c>
    </row>
    <row r="932" spans="1:86" hidden="1" x14ac:dyDescent="0.25">
      <c r="A932">
        <v>330541</v>
      </c>
      <c r="B932" t="s">
        <v>86</v>
      </c>
      <c r="D932" t="s">
        <v>115</v>
      </c>
      <c r="K932" t="s">
        <v>767</v>
      </c>
      <c r="L932" t="s">
        <v>89</v>
      </c>
      <c r="M932" t="s">
        <v>759</v>
      </c>
      <c r="V932" t="s">
        <v>91</v>
      </c>
      <c r="W932" t="s">
        <v>92</v>
      </c>
      <c r="X932" t="s">
        <v>93</v>
      </c>
      <c r="Y932">
        <v>2</v>
      </c>
      <c r="Z932" t="s">
        <v>137</v>
      </c>
      <c r="AB932">
        <v>1.165486</v>
      </c>
      <c r="AG932" t="s">
        <v>95</v>
      </c>
      <c r="AX932" t="s">
        <v>144</v>
      </c>
      <c r="AY932" t="s">
        <v>438</v>
      </c>
      <c r="AZ932" t="s">
        <v>486</v>
      </c>
      <c r="BC932">
        <v>2.0799999999999999E-2</v>
      </c>
      <c r="BH932" t="s">
        <v>99</v>
      </c>
      <c r="BO932" t="s">
        <v>111</v>
      </c>
      <c r="CD932" t="s">
        <v>868</v>
      </c>
      <c r="CE932">
        <v>172734</v>
      </c>
      <c r="CF932" t="s">
        <v>869</v>
      </c>
      <c r="CG932" t="s">
        <v>870</v>
      </c>
      <c r="CH932">
        <v>2014</v>
      </c>
    </row>
    <row r="933" spans="1:86" hidden="1" x14ac:dyDescent="0.25">
      <c r="A933">
        <v>330541</v>
      </c>
      <c r="B933" t="s">
        <v>86</v>
      </c>
      <c r="D933" t="s">
        <v>115</v>
      </c>
      <c r="K933" t="s">
        <v>767</v>
      </c>
      <c r="L933" t="s">
        <v>89</v>
      </c>
      <c r="M933" t="s">
        <v>759</v>
      </c>
      <c r="V933" t="s">
        <v>91</v>
      </c>
      <c r="W933" t="s">
        <v>92</v>
      </c>
      <c r="X933" t="s">
        <v>93</v>
      </c>
      <c r="Y933">
        <v>2</v>
      </c>
      <c r="Z933" t="s">
        <v>137</v>
      </c>
      <c r="AB933">
        <v>1.165486</v>
      </c>
      <c r="AG933" t="s">
        <v>95</v>
      </c>
      <c r="AX933" t="s">
        <v>144</v>
      </c>
      <c r="AY933" t="s">
        <v>438</v>
      </c>
      <c r="AZ933" t="s">
        <v>486</v>
      </c>
      <c r="BC933">
        <v>1.04E-2</v>
      </c>
      <c r="BH933" t="s">
        <v>99</v>
      </c>
      <c r="BO933" t="s">
        <v>111</v>
      </c>
      <c r="CD933" t="s">
        <v>868</v>
      </c>
      <c r="CE933">
        <v>172734</v>
      </c>
      <c r="CF933" t="s">
        <v>869</v>
      </c>
      <c r="CG933" t="s">
        <v>870</v>
      </c>
      <c r="CH933">
        <v>2014</v>
      </c>
    </row>
    <row r="934" spans="1:86" hidden="1" x14ac:dyDescent="0.25">
      <c r="A934">
        <v>330541</v>
      </c>
      <c r="B934" t="s">
        <v>86</v>
      </c>
      <c r="D934" t="s">
        <v>115</v>
      </c>
      <c r="K934" t="s">
        <v>767</v>
      </c>
      <c r="L934" t="s">
        <v>89</v>
      </c>
      <c r="M934" t="s">
        <v>759</v>
      </c>
      <c r="V934" t="s">
        <v>91</v>
      </c>
      <c r="W934" t="s">
        <v>92</v>
      </c>
      <c r="X934" t="s">
        <v>93</v>
      </c>
      <c r="Y934">
        <v>2</v>
      </c>
      <c r="Z934" t="s">
        <v>137</v>
      </c>
      <c r="AB934">
        <v>1.165486</v>
      </c>
      <c r="AG934" t="s">
        <v>95</v>
      </c>
      <c r="AX934" t="s">
        <v>144</v>
      </c>
      <c r="AY934" t="s">
        <v>438</v>
      </c>
      <c r="AZ934" t="s">
        <v>486</v>
      </c>
      <c r="BC934">
        <v>2.0799999999999999E-2</v>
      </c>
      <c r="BH934" t="s">
        <v>99</v>
      </c>
      <c r="BO934" t="s">
        <v>111</v>
      </c>
      <c r="CD934" t="s">
        <v>868</v>
      </c>
      <c r="CE934">
        <v>172734</v>
      </c>
      <c r="CF934" t="s">
        <v>869</v>
      </c>
      <c r="CG934" t="s">
        <v>870</v>
      </c>
      <c r="CH934">
        <v>2014</v>
      </c>
    </row>
    <row r="935" spans="1:86" hidden="1" x14ac:dyDescent="0.25">
      <c r="A935">
        <v>330541</v>
      </c>
      <c r="B935" t="s">
        <v>86</v>
      </c>
      <c r="D935" t="s">
        <v>115</v>
      </c>
      <c r="K935" t="s">
        <v>767</v>
      </c>
      <c r="L935" t="s">
        <v>89</v>
      </c>
      <c r="M935" t="s">
        <v>759</v>
      </c>
      <c r="V935" t="s">
        <v>91</v>
      </c>
      <c r="W935" t="s">
        <v>92</v>
      </c>
      <c r="X935" t="s">
        <v>93</v>
      </c>
      <c r="Y935">
        <v>2</v>
      </c>
      <c r="Z935" t="s">
        <v>137</v>
      </c>
      <c r="AB935">
        <v>1.165486</v>
      </c>
      <c r="AG935" t="s">
        <v>95</v>
      </c>
      <c r="AX935" t="s">
        <v>144</v>
      </c>
      <c r="AY935" t="s">
        <v>438</v>
      </c>
      <c r="AZ935" t="s">
        <v>486</v>
      </c>
      <c r="BC935">
        <v>1.04E-2</v>
      </c>
      <c r="BH935" t="s">
        <v>99</v>
      </c>
      <c r="BO935" t="s">
        <v>111</v>
      </c>
      <c r="CD935" t="s">
        <v>868</v>
      </c>
      <c r="CE935">
        <v>172734</v>
      </c>
      <c r="CF935" t="s">
        <v>869</v>
      </c>
      <c r="CG935" t="s">
        <v>870</v>
      </c>
      <c r="CH935">
        <v>2014</v>
      </c>
    </row>
    <row r="936" spans="1:86" hidden="1" x14ac:dyDescent="0.25">
      <c r="A936">
        <v>330541</v>
      </c>
      <c r="B936" t="s">
        <v>86</v>
      </c>
      <c r="C936" t="s">
        <v>158</v>
      </c>
      <c r="D936" t="s">
        <v>115</v>
      </c>
      <c r="K936" t="s">
        <v>872</v>
      </c>
      <c r="L936" t="s">
        <v>143</v>
      </c>
      <c r="M936" t="s">
        <v>759</v>
      </c>
      <c r="N936" t="s">
        <v>118</v>
      </c>
      <c r="V936" t="s">
        <v>168</v>
      </c>
      <c r="W936" t="s">
        <v>92</v>
      </c>
      <c r="X936" t="s">
        <v>93</v>
      </c>
      <c r="Y936">
        <v>3</v>
      </c>
      <c r="Z936" t="s">
        <v>94</v>
      </c>
      <c r="AB936">
        <v>0.75</v>
      </c>
      <c r="AG936" t="s">
        <v>95</v>
      </c>
      <c r="AX936" t="s">
        <v>201</v>
      </c>
      <c r="AY936" t="s">
        <v>873</v>
      </c>
      <c r="AZ936" t="s">
        <v>486</v>
      </c>
      <c r="BC936">
        <v>0.16669999999999999</v>
      </c>
      <c r="BH936" t="s">
        <v>99</v>
      </c>
      <c r="BO936" t="s">
        <v>111</v>
      </c>
      <c r="CD936" t="s">
        <v>874</v>
      </c>
      <c r="CE936">
        <v>165988</v>
      </c>
      <c r="CF936" t="s">
        <v>875</v>
      </c>
      <c r="CG936" t="s">
        <v>876</v>
      </c>
      <c r="CH936">
        <v>2013</v>
      </c>
    </row>
    <row r="937" spans="1:86" hidden="1" x14ac:dyDescent="0.25">
      <c r="A937">
        <v>330541</v>
      </c>
      <c r="B937" t="s">
        <v>86</v>
      </c>
      <c r="C937" t="s">
        <v>158</v>
      </c>
      <c r="D937" t="s">
        <v>115</v>
      </c>
      <c r="K937" t="s">
        <v>872</v>
      </c>
      <c r="L937" t="s">
        <v>143</v>
      </c>
      <c r="M937" t="s">
        <v>759</v>
      </c>
      <c r="N937" t="s">
        <v>118</v>
      </c>
      <c r="V937" t="s">
        <v>168</v>
      </c>
      <c r="W937" t="s">
        <v>92</v>
      </c>
      <c r="X937" t="s">
        <v>93</v>
      </c>
      <c r="Y937">
        <v>3</v>
      </c>
      <c r="Z937" t="s">
        <v>94</v>
      </c>
      <c r="AB937">
        <v>0.75</v>
      </c>
      <c r="AG937" t="s">
        <v>95</v>
      </c>
      <c r="AX937" t="s">
        <v>201</v>
      </c>
      <c r="AY937" t="s">
        <v>873</v>
      </c>
      <c r="AZ937" t="s">
        <v>486</v>
      </c>
      <c r="BC937">
        <v>4</v>
      </c>
      <c r="BH937" t="s">
        <v>99</v>
      </c>
      <c r="BO937" t="s">
        <v>111</v>
      </c>
      <c r="CD937" t="s">
        <v>874</v>
      </c>
      <c r="CE937">
        <v>165988</v>
      </c>
      <c r="CF937" t="s">
        <v>875</v>
      </c>
      <c r="CG937" t="s">
        <v>876</v>
      </c>
      <c r="CH937">
        <v>2013</v>
      </c>
    </row>
    <row r="938" spans="1:86" hidden="1" x14ac:dyDescent="0.25">
      <c r="A938">
        <v>330541</v>
      </c>
      <c r="B938" t="s">
        <v>86</v>
      </c>
      <c r="C938" t="s">
        <v>158</v>
      </c>
      <c r="D938" t="s">
        <v>115</v>
      </c>
      <c r="K938" t="s">
        <v>872</v>
      </c>
      <c r="L938" t="s">
        <v>143</v>
      </c>
      <c r="M938" t="s">
        <v>759</v>
      </c>
      <c r="N938" t="s">
        <v>118</v>
      </c>
      <c r="V938" t="s">
        <v>168</v>
      </c>
      <c r="W938" t="s">
        <v>92</v>
      </c>
      <c r="X938" t="s">
        <v>93</v>
      </c>
      <c r="Y938">
        <v>3</v>
      </c>
      <c r="Z938" t="s">
        <v>94</v>
      </c>
      <c r="AB938">
        <v>0.75</v>
      </c>
      <c r="AG938" t="s">
        <v>95</v>
      </c>
      <c r="AX938" t="s">
        <v>144</v>
      </c>
      <c r="AY938" t="s">
        <v>877</v>
      </c>
      <c r="AZ938" t="s">
        <v>486</v>
      </c>
      <c r="BC938">
        <v>0.16669999999999999</v>
      </c>
      <c r="BH938" t="s">
        <v>99</v>
      </c>
      <c r="BO938" t="s">
        <v>111</v>
      </c>
      <c r="CD938" t="s">
        <v>874</v>
      </c>
      <c r="CE938">
        <v>165988</v>
      </c>
      <c r="CF938" t="s">
        <v>875</v>
      </c>
      <c r="CG938" t="s">
        <v>876</v>
      </c>
      <c r="CH938">
        <v>2013</v>
      </c>
    </row>
    <row r="939" spans="1:86" hidden="1" x14ac:dyDescent="0.25">
      <c r="A939">
        <v>330541</v>
      </c>
      <c r="B939" t="s">
        <v>86</v>
      </c>
      <c r="C939" t="s">
        <v>158</v>
      </c>
      <c r="D939" t="s">
        <v>115</v>
      </c>
      <c r="K939" t="s">
        <v>872</v>
      </c>
      <c r="L939" t="s">
        <v>143</v>
      </c>
      <c r="M939" t="s">
        <v>759</v>
      </c>
      <c r="N939" t="s">
        <v>118</v>
      </c>
      <c r="V939" t="s">
        <v>168</v>
      </c>
      <c r="W939" t="s">
        <v>92</v>
      </c>
      <c r="X939" t="s">
        <v>93</v>
      </c>
      <c r="Y939">
        <v>3</v>
      </c>
      <c r="Z939" t="s">
        <v>94</v>
      </c>
      <c r="AB939">
        <v>0.75</v>
      </c>
      <c r="AG939" t="s">
        <v>95</v>
      </c>
      <c r="AX939" t="s">
        <v>201</v>
      </c>
      <c r="AY939" t="s">
        <v>120</v>
      </c>
      <c r="AZ939" t="s">
        <v>486</v>
      </c>
      <c r="BC939">
        <v>4</v>
      </c>
      <c r="BH939" t="s">
        <v>99</v>
      </c>
      <c r="BO939" t="s">
        <v>111</v>
      </c>
      <c r="CD939" t="s">
        <v>874</v>
      </c>
      <c r="CE939">
        <v>165988</v>
      </c>
      <c r="CF939" t="s">
        <v>875</v>
      </c>
      <c r="CG939" t="s">
        <v>876</v>
      </c>
      <c r="CH939">
        <v>2013</v>
      </c>
    </row>
    <row r="940" spans="1:86" hidden="1" x14ac:dyDescent="0.25">
      <c r="A940">
        <v>330541</v>
      </c>
      <c r="B940" t="s">
        <v>86</v>
      </c>
      <c r="C940" t="s">
        <v>158</v>
      </c>
      <c r="D940" t="s">
        <v>115</v>
      </c>
      <c r="K940" t="s">
        <v>872</v>
      </c>
      <c r="L940" t="s">
        <v>143</v>
      </c>
      <c r="M940" t="s">
        <v>759</v>
      </c>
      <c r="N940" t="s">
        <v>118</v>
      </c>
      <c r="V940" t="s">
        <v>168</v>
      </c>
      <c r="W940" t="s">
        <v>92</v>
      </c>
      <c r="X940" t="s">
        <v>93</v>
      </c>
      <c r="Y940">
        <v>3</v>
      </c>
      <c r="Z940" t="s">
        <v>94</v>
      </c>
      <c r="AB940">
        <v>0.75</v>
      </c>
      <c r="AG940" t="s">
        <v>95</v>
      </c>
      <c r="AX940" t="s">
        <v>201</v>
      </c>
      <c r="AY940" t="s">
        <v>873</v>
      </c>
      <c r="AZ940" t="s">
        <v>486</v>
      </c>
      <c r="BC940">
        <v>0.16669999999999999</v>
      </c>
      <c r="BH940" t="s">
        <v>99</v>
      </c>
      <c r="BO940" t="s">
        <v>111</v>
      </c>
      <c r="CD940" t="s">
        <v>874</v>
      </c>
      <c r="CE940">
        <v>165988</v>
      </c>
      <c r="CF940" t="s">
        <v>875</v>
      </c>
      <c r="CG940" t="s">
        <v>876</v>
      </c>
      <c r="CH940">
        <v>2013</v>
      </c>
    </row>
    <row r="941" spans="1:86" hidden="1" x14ac:dyDescent="0.25">
      <c r="A941">
        <v>330541</v>
      </c>
      <c r="B941" t="s">
        <v>86</v>
      </c>
      <c r="C941" t="s">
        <v>158</v>
      </c>
      <c r="D941" t="s">
        <v>115</v>
      </c>
      <c r="K941" t="s">
        <v>872</v>
      </c>
      <c r="L941" t="s">
        <v>143</v>
      </c>
      <c r="M941" t="s">
        <v>759</v>
      </c>
      <c r="N941" t="s">
        <v>118</v>
      </c>
      <c r="V941" t="s">
        <v>168</v>
      </c>
      <c r="W941" t="s">
        <v>92</v>
      </c>
      <c r="X941" t="s">
        <v>93</v>
      </c>
      <c r="Y941">
        <v>3</v>
      </c>
      <c r="Z941" t="s">
        <v>94</v>
      </c>
      <c r="AB941">
        <v>0.75</v>
      </c>
      <c r="AG941" t="s">
        <v>95</v>
      </c>
      <c r="AX941" t="s">
        <v>144</v>
      </c>
      <c r="AY941" t="s">
        <v>438</v>
      </c>
      <c r="AZ941" t="s">
        <v>486</v>
      </c>
      <c r="BC941">
        <v>0.16669999999999999</v>
      </c>
      <c r="BH941" t="s">
        <v>99</v>
      </c>
      <c r="BO941" t="s">
        <v>111</v>
      </c>
      <c r="CD941" t="s">
        <v>874</v>
      </c>
      <c r="CE941">
        <v>165988</v>
      </c>
      <c r="CF941" t="s">
        <v>875</v>
      </c>
      <c r="CG941" t="s">
        <v>876</v>
      </c>
      <c r="CH941">
        <v>2013</v>
      </c>
    </row>
    <row r="942" spans="1:86" hidden="1" x14ac:dyDescent="0.25">
      <c r="A942">
        <v>330541</v>
      </c>
      <c r="B942" t="s">
        <v>86</v>
      </c>
      <c r="C942" t="s">
        <v>158</v>
      </c>
      <c r="D942" t="s">
        <v>115</v>
      </c>
      <c r="K942" t="s">
        <v>872</v>
      </c>
      <c r="L942" t="s">
        <v>143</v>
      </c>
      <c r="M942" t="s">
        <v>759</v>
      </c>
      <c r="N942" t="s">
        <v>118</v>
      </c>
      <c r="V942" t="s">
        <v>168</v>
      </c>
      <c r="W942" t="s">
        <v>92</v>
      </c>
      <c r="X942" t="s">
        <v>93</v>
      </c>
      <c r="Y942">
        <v>3</v>
      </c>
      <c r="Z942" t="s">
        <v>94</v>
      </c>
      <c r="AB942">
        <v>0.75</v>
      </c>
      <c r="AG942" t="s">
        <v>95</v>
      </c>
      <c r="AX942" t="s">
        <v>144</v>
      </c>
      <c r="AY942" t="s">
        <v>877</v>
      </c>
      <c r="AZ942" t="s">
        <v>486</v>
      </c>
      <c r="BC942">
        <v>2</v>
      </c>
      <c r="BH942" t="s">
        <v>99</v>
      </c>
      <c r="BO942" t="s">
        <v>111</v>
      </c>
      <c r="CD942" t="s">
        <v>874</v>
      </c>
      <c r="CE942">
        <v>165988</v>
      </c>
      <c r="CF942" t="s">
        <v>875</v>
      </c>
      <c r="CG942" t="s">
        <v>876</v>
      </c>
      <c r="CH942">
        <v>2013</v>
      </c>
    </row>
    <row r="943" spans="1:86" hidden="1" x14ac:dyDescent="0.25">
      <c r="A943">
        <v>330541</v>
      </c>
      <c r="B943" t="s">
        <v>86</v>
      </c>
      <c r="C943" t="s">
        <v>158</v>
      </c>
      <c r="D943" t="s">
        <v>115</v>
      </c>
      <c r="K943" t="s">
        <v>872</v>
      </c>
      <c r="L943" t="s">
        <v>143</v>
      </c>
      <c r="M943" t="s">
        <v>759</v>
      </c>
      <c r="N943" t="s">
        <v>118</v>
      </c>
      <c r="V943" t="s">
        <v>168</v>
      </c>
      <c r="W943" t="s">
        <v>92</v>
      </c>
      <c r="X943" t="s">
        <v>93</v>
      </c>
      <c r="Y943">
        <v>3</v>
      </c>
      <c r="Z943" t="s">
        <v>94</v>
      </c>
      <c r="AB943" s="281">
        <v>0.75</v>
      </c>
      <c r="AG943" t="s">
        <v>95</v>
      </c>
      <c r="AX943" t="s">
        <v>108</v>
      </c>
      <c r="AY943" t="s">
        <v>160</v>
      </c>
      <c r="AZ943" t="s">
        <v>486</v>
      </c>
      <c r="BC943">
        <v>2</v>
      </c>
      <c r="BH943" t="s">
        <v>99</v>
      </c>
      <c r="BO943" t="s">
        <v>111</v>
      </c>
      <c r="CD943" t="s">
        <v>874</v>
      </c>
      <c r="CE943">
        <v>165988</v>
      </c>
      <c r="CF943" t="s">
        <v>875</v>
      </c>
      <c r="CG943" t="s">
        <v>876</v>
      </c>
      <c r="CH943">
        <v>2013</v>
      </c>
    </row>
    <row r="944" spans="1:86" hidden="1" x14ac:dyDescent="0.25">
      <c r="A944">
        <v>330541</v>
      </c>
      <c r="B944" t="s">
        <v>86</v>
      </c>
      <c r="C944" t="s">
        <v>158</v>
      </c>
      <c r="D944" t="s">
        <v>115</v>
      </c>
      <c r="K944" t="s">
        <v>872</v>
      </c>
      <c r="L944" t="s">
        <v>143</v>
      </c>
      <c r="M944" t="s">
        <v>759</v>
      </c>
      <c r="N944" t="s">
        <v>118</v>
      </c>
      <c r="V944" t="s">
        <v>168</v>
      </c>
      <c r="W944" t="s">
        <v>92</v>
      </c>
      <c r="X944" t="s">
        <v>93</v>
      </c>
      <c r="Y944">
        <v>3</v>
      </c>
      <c r="Z944" t="s">
        <v>94</v>
      </c>
      <c r="AB944">
        <v>0.75</v>
      </c>
      <c r="AG944" t="s">
        <v>95</v>
      </c>
      <c r="AX944" t="s">
        <v>201</v>
      </c>
      <c r="AY944" t="s">
        <v>873</v>
      </c>
      <c r="AZ944" t="s">
        <v>486</v>
      </c>
      <c r="BC944">
        <v>4</v>
      </c>
      <c r="BH944" t="s">
        <v>99</v>
      </c>
      <c r="BO944" t="s">
        <v>111</v>
      </c>
      <c r="CD944" t="s">
        <v>874</v>
      </c>
      <c r="CE944">
        <v>165988</v>
      </c>
      <c r="CF944" t="s">
        <v>875</v>
      </c>
      <c r="CG944" t="s">
        <v>876</v>
      </c>
      <c r="CH944">
        <v>2013</v>
      </c>
    </row>
    <row r="945" spans="1:86" hidden="1" x14ac:dyDescent="0.25">
      <c r="A945">
        <v>330541</v>
      </c>
      <c r="B945" t="s">
        <v>86</v>
      </c>
      <c r="C945" t="s">
        <v>158</v>
      </c>
      <c r="D945" t="s">
        <v>115</v>
      </c>
      <c r="K945" t="s">
        <v>872</v>
      </c>
      <c r="L945" t="s">
        <v>143</v>
      </c>
      <c r="M945" t="s">
        <v>759</v>
      </c>
      <c r="N945" t="s">
        <v>118</v>
      </c>
      <c r="V945" t="s">
        <v>168</v>
      </c>
      <c r="W945" t="s">
        <v>92</v>
      </c>
      <c r="X945" t="s">
        <v>93</v>
      </c>
      <c r="Y945">
        <v>3</v>
      </c>
      <c r="Z945" t="s">
        <v>94</v>
      </c>
      <c r="AB945">
        <v>0.75</v>
      </c>
      <c r="AG945" t="s">
        <v>95</v>
      </c>
      <c r="AX945" t="s">
        <v>201</v>
      </c>
      <c r="AY945" t="s">
        <v>120</v>
      </c>
      <c r="AZ945" t="s">
        <v>486</v>
      </c>
      <c r="BC945">
        <v>2</v>
      </c>
      <c r="BH945" t="s">
        <v>99</v>
      </c>
      <c r="BO945" t="s">
        <v>111</v>
      </c>
      <c r="CD945" t="s">
        <v>874</v>
      </c>
      <c r="CE945">
        <v>165988</v>
      </c>
      <c r="CF945" t="s">
        <v>875</v>
      </c>
      <c r="CG945" t="s">
        <v>876</v>
      </c>
      <c r="CH945">
        <v>2013</v>
      </c>
    </row>
    <row r="946" spans="1:86" hidden="1" x14ac:dyDescent="0.25">
      <c r="A946">
        <v>330541</v>
      </c>
      <c r="B946" t="s">
        <v>86</v>
      </c>
      <c r="C946" t="s">
        <v>158</v>
      </c>
      <c r="D946" t="s">
        <v>115</v>
      </c>
      <c r="K946" t="s">
        <v>872</v>
      </c>
      <c r="L946" t="s">
        <v>143</v>
      </c>
      <c r="M946" t="s">
        <v>759</v>
      </c>
      <c r="N946" t="s">
        <v>118</v>
      </c>
      <c r="V946" t="s">
        <v>168</v>
      </c>
      <c r="W946" t="s">
        <v>92</v>
      </c>
      <c r="X946" t="s">
        <v>93</v>
      </c>
      <c r="Y946">
        <v>3</v>
      </c>
      <c r="Z946" t="s">
        <v>94</v>
      </c>
      <c r="AB946">
        <v>0.75</v>
      </c>
      <c r="AG946" t="s">
        <v>95</v>
      </c>
      <c r="AX946" t="s">
        <v>144</v>
      </c>
      <c r="AY946" t="s">
        <v>438</v>
      </c>
      <c r="AZ946" t="s">
        <v>486</v>
      </c>
      <c r="BC946">
        <v>2</v>
      </c>
      <c r="BH946" t="s">
        <v>99</v>
      </c>
      <c r="BO946" t="s">
        <v>111</v>
      </c>
      <c r="CD946" t="s">
        <v>874</v>
      </c>
      <c r="CE946">
        <v>165988</v>
      </c>
      <c r="CF946" t="s">
        <v>875</v>
      </c>
      <c r="CG946" t="s">
        <v>876</v>
      </c>
      <c r="CH946">
        <v>2013</v>
      </c>
    </row>
    <row r="947" spans="1:86" hidden="1" x14ac:dyDescent="0.25">
      <c r="A947">
        <v>330541</v>
      </c>
      <c r="B947" t="s">
        <v>86</v>
      </c>
      <c r="C947" t="s">
        <v>158</v>
      </c>
      <c r="D947" t="s">
        <v>115</v>
      </c>
      <c r="K947" t="s">
        <v>872</v>
      </c>
      <c r="L947" t="s">
        <v>143</v>
      </c>
      <c r="M947" t="s">
        <v>759</v>
      </c>
      <c r="N947" t="s">
        <v>118</v>
      </c>
      <c r="V947" t="s">
        <v>168</v>
      </c>
      <c r="W947" t="s">
        <v>92</v>
      </c>
      <c r="X947" t="s">
        <v>93</v>
      </c>
      <c r="Y947">
        <v>3</v>
      </c>
      <c r="Z947" t="s">
        <v>94</v>
      </c>
      <c r="AB947">
        <v>0.75</v>
      </c>
      <c r="AG947" t="s">
        <v>95</v>
      </c>
      <c r="AX947" t="s">
        <v>144</v>
      </c>
      <c r="AY947" t="s">
        <v>438</v>
      </c>
      <c r="AZ947" t="s">
        <v>486</v>
      </c>
      <c r="BC947">
        <v>2</v>
      </c>
      <c r="BH947" t="s">
        <v>99</v>
      </c>
      <c r="BO947" t="s">
        <v>111</v>
      </c>
      <c r="CD947" t="s">
        <v>874</v>
      </c>
      <c r="CE947">
        <v>165988</v>
      </c>
      <c r="CF947" t="s">
        <v>875</v>
      </c>
      <c r="CG947" t="s">
        <v>876</v>
      </c>
      <c r="CH947">
        <v>2013</v>
      </c>
    </row>
    <row r="948" spans="1:86" hidden="1" x14ac:dyDescent="0.25">
      <c r="A948">
        <v>330541</v>
      </c>
      <c r="B948" t="s">
        <v>86</v>
      </c>
      <c r="C948" t="s">
        <v>158</v>
      </c>
      <c r="D948" t="s">
        <v>115</v>
      </c>
      <c r="K948" t="s">
        <v>872</v>
      </c>
      <c r="L948" t="s">
        <v>143</v>
      </c>
      <c r="M948" t="s">
        <v>759</v>
      </c>
      <c r="N948" t="s">
        <v>118</v>
      </c>
      <c r="V948" t="s">
        <v>168</v>
      </c>
      <c r="W948" t="s">
        <v>92</v>
      </c>
      <c r="X948" t="s">
        <v>93</v>
      </c>
      <c r="Y948">
        <v>3</v>
      </c>
      <c r="Z948" t="s">
        <v>94</v>
      </c>
      <c r="AB948" s="281">
        <v>0.75</v>
      </c>
      <c r="AG948" t="s">
        <v>95</v>
      </c>
      <c r="AX948" t="s">
        <v>108</v>
      </c>
      <c r="AY948" t="s">
        <v>160</v>
      </c>
      <c r="AZ948" t="s">
        <v>486</v>
      </c>
      <c r="BC948">
        <v>4</v>
      </c>
      <c r="BH948" t="s">
        <v>99</v>
      </c>
      <c r="BO948" t="s">
        <v>111</v>
      </c>
      <c r="CD948" t="s">
        <v>874</v>
      </c>
      <c r="CE948">
        <v>165988</v>
      </c>
      <c r="CF948" t="s">
        <v>875</v>
      </c>
      <c r="CG948" t="s">
        <v>876</v>
      </c>
      <c r="CH948">
        <v>2013</v>
      </c>
    </row>
    <row r="949" spans="1:86" hidden="1" x14ac:dyDescent="0.25">
      <c r="A949">
        <v>330541</v>
      </c>
      <c r="B949" t="s">
        <v>86</v>
      </c>
      <c r="C949" t="s">
        <v>158</v>
      </c>
      <c r="D949" t="s">
        <v>115</v>
      </c>
      <c r="K949" t="s">
        <v>872</v>
      </c>
      <c r="L949" t="s">
        <v>143</v>
      </c>
      <c r="M949" t="s">
        <v>759</v>
      </c>
      <c r="N949" t="s">
        <v>118</v>
      </c>
      <c r="V949" t="s">
        <v>168</v>
      </c>
      <c r="W949" t="s">
        <v>92</v>
      </c>
      <c r="X949" t="s">
        <v>93</v>
      </c>
      <c r="Y949">
        <v>3</v>
      </c>
      <c r="Z949" t="s">
        <v>94</v>
      </c>
      <c r="AB949">
        <v>0.75</v>
      </c>
      <c r="AG949" t="s">
        <v>95</v>
      </c>
      <c r="AX949" t="s">
        <v>144</v>
      </c>
      <c r="AY949" t="s">
        <v>438</v>
      </c>
      <c r="AZ949" t="s">
        <v>486</v>
      </c>
      <c r="BC949">
        <v>2</v>
      </c>
      <c r="BH949" t="s">
        <v>99</v>
      </c>
      <c r="BO949" t="s">
        <v>111</v>
      </c>
      <c r="CD949" t="s">
        <v>874</v>
      </c>
      <c r="CE949">
        <v>165988</v>
      </c>
      <c r="CF949" t="s">
        <v>875</v>
      </c>
      <c r="CG949" t="s">
        <v>876</v>
      </c>
      <c r="CH949">
        <v>2013</v>
      </c>
    </row>
    <row r="950" spans="1:86" hidden="1" x14ac:dyDescent="0.25">
      <c r="A950">
        <v>330541</v>
      </c>
      <c r="B950" t="s">
        <v>86</v>
      </c>
      <c r="C950" t="s">
        <v>158</v>
      </c>
      <c r="D950" t="s">
        <v>115</v>
      </c>
      <c r="K950" t="s">
        <v>872</v>
      </c>
      <c r="L950" t="s">
        <v>143</v>
      </c>
      <c r="M950" t="s">
        <v>759</v>
      </c>
      <c r="N950" t="s">
        <v>118</v>
      </c>
      <c r="V950" t="s">
        <v>168</v>
      </c>
      <c r="W950" t="s">
        <v>92</v>
      </c>
      <c r="X950" t="s">
        <v>93</v>
      </c>
      <c r="Y950">
        <v>3</v>
      </c>
      <c r="Z950" t="s">
        <v>94</v>
      </c>
      <c r="AB950">
        <v>0.75</v>
      </c>
      <c r="AG950" t="s">
        <v>95</v>
      </c>
      <c r="AX950" t="s">
        <v>144</v>
      </c>
      <c r="AY950" t="s">
        <v>438</v>
      </c>
      <c r="AZ950" t="s">
        <v>486</v>
      </c>
      <c r="BC950">
        <v>4</v>
      </c>
      <c r="BH950" t="s">
        <v>99</v>
      </c>
      <c r="BO950" t="s">
        <v>111</v>
      </c>
      <c r="CD950" t="s">
        <v>874</v>
      </c>
      <c r="CE950">
        <v>165988</v>
      </c>
      <c r="CF950" t="s">
        <v>875</v>
      </c>
      <c r="CG950" t="s">
        <v>876</v>
      </c>
      <c r="CH950">
        <v>2013</v>
      </c>
    </row>
    <row r="951" spans="1:86" hidden="1" x14ac:dyDescent="0.25">
      <c r="A951">
        <v>330541</v>
      </c>
      <c r="B951" t="s">
        <v>86</v>
      </c>
      <c r="C951" t="s">
        <v>158</v>
      </c>
      <c r="D951" t="s">
        <v>115</v>
      </c>
      <c r="K951" t="s">
        <v>872</v>
      </c>
      <c r="L951" t="s">
        <v>143</v>
      </c>
      <c r="M951" t="s">
        <v>759</v>
      </c>
      <c r="N951" t="s">
        <v>118</v>
      </c>
      <c r="V951" t="s">
        <v>168</v>
      </c>
      <c r="W951" t="s">
        <v>92</v>
      </c>
      <c r="X951" t="s">
        <v>93</v>
      </c>
      <c r="Y951">
        <v>3</v>
      </c>
      <c r="Z951" t="s">
        <v>94</v>
      </c>
      <c r="AB951">
        <v>0.75</v>
      </c>
      <c r="AG951" t="s">
        <v>95</v>
      </c>
      <c r="AX951" t="s">
        <v>201</v>
      </c>
      <c r="AY951" t="s">
        <v>120</v>
      </c>
      <c r="AZ951" t="s">
        <v>486</v>
      </c>
      <c r="BC951">
        <v>0.16669999999999999</v>
      </c>
      <c r="BH951" t="s">
        <v>99</v>
      </c>
      <c r="BO951" t="s">
        <v>111</v>
      </c>
      <c r="CD951" t="s">
        <v>874</v>
      </c>
      <c r="CE951">
        <v>165988</v>
      </c>
      <c r="CF951" t="s">
        <v>875</v>
      </c>
      <c r="CG951" t="s">
        <v>876</v>
      </c>
      <c r="CH951">
        <v>2013</v>
      </c>
    </row>
    <row r="952" spans="1:86" hidden="1" x14ac:dyDescent="0.25">
      <c r="A952">
        <v>330541</v>
      </c>
      <c r="B952" t="s">
        <v>86</v>
      </c>
      <c r="C952" t="s">
        <v>158</v>
      </c>
      <c r="D952" t="s">
        <v>115</v>
      </c>
      <c r="K952" t="s">
        <v>872</v>
      </c>
      <c r="L952" t="s">
        <v>143</v>
      </c>
      <c r="M952" t="s">
        <v>759</v>
      </c>
      <c r="N952" t="s">
        <v>118</v>
      </c>
      <c r="V952" t="s">
        <v>168</v>
      </c>
      <c r="W952" t="s">
        <v>92</v>
      </c>
      <c r="X952" t="s">
        <v>93</v>
      </c>
      <c r="Y952">
        <v>3</v>
      </c>
      <c r="Z952" t="s">
        <v>94</v>
      </c>
      <c r="AB952">
        <v>0.75</v>
      </c>
      <c r="AG952" t="s">
        <v>95</v>
      </c>
      <c r="AX952" t="s">
        <v>201</v>
      </c>
      <c r="AY952" t="s">
        <v>873</v>
      </c>
      <c r="AZ952" t="s">
        <v>486</v>
      </c>
      <c r="BC952">
        <v>2</v>
      </c>
      <c r="BH952" t="s">
        <v>99</v>
      </c>
      <c r="BO952" t="s">
        <v>111</v>
      </c>
      <c r="CD952" t="s">
        <v>874</v>
      </c>
      <c r="CE952">
        <v>165988</v>
      </c>
      <c r="CF952" t="s">
        <v>875</v>
      </c>
      <c r="CG952" t="s">
        <v>876</v>
      </c>
      <c r="CH952">
        <v>2013</v>
      </c>
    </row>
    <row r="953" spans="1:86" hidden="1" x14ac:dyDescent="0.25">
      <c r="A953">
        <v>330541</v>
      </c>
      <c r="B953" t="s">
        <v>86</v>
      </c>
      <c r="C953" t="s">
        <v>158</v>
      </c>
      <c r="D953" t="s">
        <v>115</v>
      </c>
      <c r="K953" t="s">
        <v>872</v>
      </c>
      <c r="L953" t="s">
        <v>143</v>
      </c>
      <c r="M953" t="s">
        <v>759</v>
      </c>
      <c r="N953" t="s">
        <v>118</v>
      </c>
      <c r="V953" t="s">
        <v>168</v>
      </c>
      <c r="W953" t="s">
        <v>92</v>
      </c>
      <c r="X953" t="s">
        <v>93</v>
      </c>
      <c r="Y953">
        <v>3</v>
      </c>
      <c r="Z953" t="s">
        <v>94</v>
      </c>
      <c r="AB953">
        <v>0.75</v>
      </c>
      <c r="AG953" t="s">
        <v>95</v>
      </c>
      <c r="AX953" t="s">
        <v>144</v>
      </c>
      <c r="AY953" t="s">
        <v>438</v>
      </c>
      <c r="AZ953" t="s">
        <v>486</v>
      </c>
      <c r="BC953">
        <v>4</v>
      </c>
      <c r="BH953" t="s">
        <v>99</v>
      </c>
      <c r="BO953" t="s">
        <v>111</v>
      </c>
      <c r="CD953" t="s">
        <v>874</v>
      </c>
      <c r="CE953">
        <v>165988</v>
      </c>
      <c r="CF953" t="s">
        <v>875</v>
      </c>
      <c r="CG953" t="s">
        <v>876</v>
      </c>
      <c r="CH953">
        <v>2013</v>
      </c>
    </row>
    <row r="954" spans="1:86" hidden="1" x14ac:dyDescent="0.25">
      <c r="A954">
        <v>330541</v>
      </c>
      <c r="B954" t="s">
        <v>86</v>
      </c>
      <c r="C954" t="s">
        <v>158</v>
      </c>
      <c r="D954" t="s">
        <v>115</v>
      </c>
      <c r="K954" t="s">
        <v>872</v>
      </c>
      <c r="L954" t="s">
        <v>143</v>
      </c>
      <c r="M954" t="s">
        <v>759</v>
      </c>
      <c r="N954" t="s">
        <v>118</v>
      </c>
      <c r="V954" t="s">
        <v>168</v>
      </c>
      <c r="W954" t="s">
        <v>92</v>
      </c>
      <c r="X954" t="s">
        <v>93</v>
      </c>
      <c r="Y954">
        <v>3</v>
      </c>
      <c r="Z954" t="s">
        <v>94</v>
      </c>
      <c r="AB954">
        <v>0.75</v>
      </c>
      <c r="AG954" t="s">
        <v>95</v>
      </c>
      <c r="AX954" t="s">
        <v>201</v>
      </c>
      <c r="AY954" t="s">
        <v>873</v>
      </c>
      <c r="AZ954" t="s">
        <v>486</v>
      </c>
      <c r="BC954">
        <v>2</v>
      </c>
      <c r="BH954" t="s">
        <v>99</v>
      </c>
      <c r="BO954" t="s">
        <v>111</v>
      </c>
      <c r="CD954" t="s">
        <v>874</v>
      </c>
      <c r="CE954">
        <v>165988</v>
      </c>
      <c r="CF954" t="s">
        <v>875</v>
      </c>
      <c r="CG954" t="s">
        <v>876</v>
      </c>
      <c r="CH954">
        <v>2013</v>
      </c>
    </row>
    <row r="955" spans="1:86" hidden="1" x14ac:dyDescent="0.25">
      <c r="A955">
        <v>330541</v>
      </c>
      <c r="B955" t="s">
        <v>86</v>
      </c>
      <c r="C955" t="s">
        <v>158</v>
      </c>
      <c r="D955" t="s">
        <v>115</v>
      </c>
      <c r="K955" t="s">
        <v>872</v>
      </c>
      <c r="L955" t="s">
        <v>143</v>
      </c>
      <c r="M955" t="s">
        <v>759</v>
      </c>
      <c r="N955" t="s">
        <v>118</v>
      </c>
      <c r="V955" t="s">
        <v>168</v>
      </c>
      <c r="W955" t="s">
        <v>92</v>
      </c>
      <c r="X955" t="s">
        <v>93</v>
      </c>
      <c r="Y955">
        <v>3</v>
      </c>
      <c r="Z955" t="s">
        <v>94</v>
      </c>
      <c r="AB955">
        <v>0.75</v>
      </c>
      <c r="AG955" t="s">
        <v>95</v>
      </c>
      <c r="AX955" t="s">
        <v>144</v>
      </c>
      <c r="AY955" t="s">
        <v>877</v>
      </c>
      <c r="AZ955" t="s">
        <v>486</v>
      </c>
      <c r="BC955">
        <v>4</v>
      </c>
      <c r="BH955" t="s">
        <v>99</v>
      </c>
      <c r="BO955" t="s">
        <v>111</v>
      </c>
      <c r="CD955" t="s">
        <v>874</v>
      </c>
      <c r="CE955">
        <v>165988</v>
      </c>
      <c r="CF955" t="s">
        <v>875</v>
      </c>
      <c r="CG955" t="s">
        <v>876</v>
      </c>
      <c r="CH955">
        <v>2013</v>
      </c>
    </row>
    <row r="956" spans="1:86" hidden="1" x14ac:dyDescent="0.25">
      <c r="A956">
        <v>330541</v>
      </c>
      <c r="B956" t="s">
        <v>86</v>
      </c>
      <c r="C956" t="s">
        <v>158</v>
      </c>
      <c r="D956" t="s">
        <v>115</v>
      </c>
      <c r="K956" t="s">
        <v>872</v>
      </c>
      <c r="L956" t="s">
        <v>143</v>
      </c>
      <c r="M956" t="s">
        <v>759</v>
      </c>
      <c r="N956" t="s">
        <v>118</v>
      </c>
      <c r="V956" t="s">
        <v>168</v>
      </c>
      <c r="W956" t="s">
        <v>92</v>
      </c>
      <c r="X956" t="s">
        <v>93</v>
      </c>
      <c r="Y956">
        <v>3</v>
      </c>
      <c r="Z956" t="s">
        <v>94</v>
      </c>
      <c r="AB956">
        <v>0.75</v>
      </c>
      <c r="AG956" t="s">
        <v>95</v>
      </c>
      <c r="AX956" t="s">
        <v>144</v>
      </c>
      <c r="AY956" t="s">
        <v>438</v>
      </c>
      <c r="AZ956" t="s">
        <v>486</v>
      </c>
      <c r="BC956">
        <v>0.16669999999999999</v>
      </c>
      <c r="BH956" t="s">
        <v>99</v>
      </c>
      <c r="BO956" t="s">
        <v>111</v>
      </c>
      <c r="CD956" t="s">
        <v>874</v>
      </c>
      <c r="CE956">
        <v>165988</v>
      </c>
      <c r="CF956" t="s">
        <v>875</v>
      </c>
      <c r="CG956" t="s">
        <v>876</v>
      </c>
      <c r="CH956">
        <v>2013</v>
      </c>
    </row>
    <row r="957" spans="1:86" hidden="1" x14ac:dyDescent="0.25">
      <c r="A957">
        <v>330541</v>
      </c>
      <c r="B957" t="s">
        <v>86</v>
      </c>
      <c r="D957" t="s">
        <v>115</v>
      </c>
      <c r="K957" t="s">
        <v>771</v>
      </c>
      <c r="L957" t="s">
        <v>89</v>
      </c>
      <c r="M957" t="s">
        <v>759</v>
      </c>
      <c r="N957" t="s">
        <v>118</v>
      </c>
      <c r="V957" t="s">
        <v>91</v>
      </c>
      <c r="W957" t="s">
        <v>107</v>
      </c>
      <c r="X957" t="s">
        <v>93</v>
      </c>
      <c r="Y957">
        <v>6</v>
      </c>
      <c r="Z957" t="s">
        <v>137</v>
      </c>
      <c r="AB957">
        <v>3.8400000000000001E-3</v>
      </c>
      <c r="AG957" t="s">
        <v>95</v>
      </c>
      <c r="AX957" t="s">
        <v>108</v>
      </c>
      <c r="AY957" t="s">
        <v>160</v>
      </c>
      <c r="AZ957" t="s">
        <v>486</v>
      </c>
      <c r="BC957">
        <v>4</v>
      </c>
      <c r="BH957" t="s">
        <v>99</v>
      </c>
      <c r="BO957" t="s">
        <v>111</v>
      </c>
      <c r="CD957" t="s">
        <v>832</v>
      </c>
      <c r="CE957">
        <v>165272</v>
      </c>
      <c r="CF957" t="s">
        <v>833</v>
      </c>
      <c r="CG957" t="s">
        <v>834</v>
      </c>
      <c r="CH957">
        <v>2013</v>
      </c>
    </row>
    <row r="958" spans="1:86" hidden="1" x14ac:dyDescent="0.25">
      <c r="A958">
        <v>330541</v>
      </c>
      <c r="B958" t="s">
        <v>86</v>
      </c>
      <c r="D958" t="s">
        <v>115</v>
      </c>
      <c r="K958" t="s">
        <v>771</v>
      </c>
      <c r="L958" t="s">
        <v>89</v>
      </c>
      <c r="M958" t="s">
        <v>759</v>
      </c>
      <c r="N958" t="s">
        <v>118</v>
      </c>
      <c r="V958" t="s">
        <v>91</v>
      </c>
      <c r="W958" t="s">
        <v>107</v>
      </c>
      <c r="X958" t="s">
        <v>93</v>
      </c>
      <c r="Y958">
        <v>2</v>
      </c>
      <c r="Z958" t="s">
        <v>137</v>
      </c>
      <c r="AB958">
        <v>0.01</v>
      </c>
      <c r="AG958" t="s">
        <v>95</v>
      </c>
      <c r="AX958" t="s">
        <v>201</v>
      </c>
      <c r="AY958" t="s">
        <v>542</v>
      </c>
      <c r="AZ958" t="s">
        <v>486</v>
      </c>
      <c r="BA958" t="s">
        <v>179</v>
      </c>
      <c r="BC958">
        <v>4</v>
      </c>
      <c r="BH958" t="s">
        <v>99</v>
      </c>
      <c r="BO958" t="s">
        <v>111</v>
      </c>
      <c r="CD958" t="s">
        <v>832</v>
      </c>
      <c r="CE958">
        <v>165272</v>
      </c>
      <c r="CF958" t="s">
        <v>833</v>
      </c>
      <c r="CG958" t="s">
        <v>834</v>
      </c>
      <c r="CH958">
        <v>2013</v>
      </c>
    </row>
    <row r="959" spans="1:86" hidden="1" x14ac:dyDescent="0.25">
      <c r="A959">
        <v>330541</v>
      </c>
      <c r="B959" t="s">
        <v>86</v>
      </c>
      <c r="D959" t="s">
        <v>115</v>
      </c>
      <c r="K959" t="s">
        <v>771</v>
      </c>
      <c r="L959" t="s">
        <v>89</v>
      </c>
      <c r="M959" t="s">
        <v>759</v>
      </c>
      <c r="N959" t="s">
        <v>118</v>
      </c>
      <c r="V959" t="s">
        <v>91</v>
      </c>
      <c r="W959" t="s">
        <v>107</v>
      </c>
      <c r="X959" t="s">
        <v>93</v>
      </c>
      <c r="Y959">
        <v>2</v>
      </c>
      <c r="Z959" t="s">
        <v>137</v>
      </c>
      <c r="AB959">
        <v>0.01</v>
      </c>
      <c r="AG959" t="s">
        <v>95</v>
      </c>
      <c r="AX959" t="s">
        <v>108</v>
      </c>
      <c r="AY959" t="s">
        <v>150</v>
      </c>
      <c r="AZ959" t="s">
        <v>486</v>
      </c>
      <c r="BC959">
        <v>4</v>
      </c>
      <c r="BH959" t="s">
        <v>99</v>
      </c>
      <c r="BO959" t="s">
        <v>111</v>
      </c>
      <c r="CD959" t="s">
        <v>832</v>
      </c>
      <c r="CE959">
        <v>165272</v>
      </c>
      <c r="CF959" t="s">
        <v>833</v>
      </c>
      <c r="CG959" t="s">
        <v>834</v>
      </c>
      <c r="CH959">
        <v>2013</v>
      </c>
    </row>
    <row r="960" spans="1:86" hidden="1" x14ac:dyDescent="0.25">
      <c r="A960">
        <v>330541</v>
      </c>
      <c r="B960" t="s">
        <v>86</v>
      </c>
      <c r="D960" t="s">
        <v>115</v>
      </c>
      <c r="K960" t="s">
        <v>771</v>
      </c>
      <c r="L960" t="s">
        <v>89</v>
      </c>
      <c r="M960" t="s">
        <v>759</v>
      </c>
      <c r="N960" t="s">
        <v>118</v>
      </c>
      <c r="V960" t="s">
        <v>91</v>
      </c>
      <c r="W960" t="s">
        <v>107</v>
      </c>
      <c r="X960" t="s">
        <v>93</v>
      </c>
      <c r="Y960">
        <v>2</v>
      </c>
      <c r="Z960" t="s">
        <v>137</v>
      </c>
      <c r="AB960">
        <v>0.01</v>
      </c>
      <c r="AG960" t="s">
        <v>95</v>
      </c>
      <c r="AX960" t="s">
        <v>201</v>
      </c>
      <c r="AY960" t="s">
        <v>120</v>
      </c>
      <c r="AZ960" t="s">
        <v>486</v>
      </c>
      <c r="BA960" t="s">
        <v>179</v>
      </c>
      <c r="BC960">
        <v>4</v>
      </c>
      <c r="BH960" t="s">
        <v>99</v>
      </c>
      <c r="BO960" t="s">
        <v>111</v>
      </c>
      <c r="CD960" t="s">
        <v>832</v>
      </c>
      <c r="CE960">
        <v>165272</v>
      </c>
      <c r="CF960" t="s">
        <v>833</v>
      </c>
      <c r="CG960" t="s">
        <v>834</v>
      </c>
      <c r="CH960">
        <v>2013</v>
      </c>
    </row>
    <row r="961" spans="1:86" hidden="1" x14ac:dyDescent="0.25">
      <c r="A961">
        <v>330541</v>
      </c>
      <c r="B961" t="s">
        <v>86</v>
      </c>
      <c r="D961" t="s">
        <v>115</v>
      </c>
      <c r="K961" t="s">
        <v>767</v>
      </c>
      <c r="L961" t="s">
        <v>89</v>
      </c>
      <c r="M961" t="s">
        <v>759</v>
      </c>
      <c r="N961" t="s">
        <v>118</v>
      </c>
      <c r="V961" t="s">
        <v>91</v>
      </c>
      <c r="W961" t="s">
        <v>92</v>
      </c>
      <c r="X961" t="s">
        <v>93</v>
      </c>
      <c r="Y961">
        <v>3</v>
      </c>
      <c r="Z961" t="s">
        <v>137</v>
      </c>
      <c r="AB961">
        <v>7.6922076000000004E-4</v>
      </c>
      <c r="AG961" t="s">
        <v>95</v>
      </c>
      <c r="AX961" t="s">
        <v>615</v>
      </c>
      <c r="AY961" t="s">
        <v>878</v>
      </c>
      <c r="AZ961" t="s">
        <v>486</v>
      </c>
      <c r="BA961" t="s">
        <v>179</v>
      </c>
      <c r="BC961">
        <v>0.25</v>
      </c>
      <c r="BH961" t="s">
        <v>99</v>
      </c>
      <c r="BO961" t="s">
        <v>111</v>
      </c>
      <c r="CD961" t="s">
        <v>879</v>
      </c>
      <c r="CE961">
        <v>171821</v>
      </c>
      <c r="CF961" t="s">
        <v>880</v>
      </c>
      <c r="CG961" t="s">
        <v>881</v>
      </c>
      <c r="CH961">
        <v>2012</v>
      </c>
    </row>
    <row r="962" spans="1:86" hidden="1" x14ac:dyDescent="0.25">
      <c r="A962">
        <v>330541</v>
      </c>
      <c r="B962" t="s">
        <v>86</v>
      </c>
      <c r="D962" t="s">
        <v>115</v>
      </c>
      <c r="F962">
        <v>98</v>
      </c>
      <c r="K962" t="s">
        <v>767</v>
      </c>
      <c r="L962" t="s">
        <v>89</v>
      </c>
      <c r="M962" t="s">
        <v>759</v>
      </c>
      <c r="N962" t="s">
        <v>118</v>
      </c>
      <c r="V962" t="s">
        <v>91</v>
      </c>
      <c r="W962" t="s">
        <v>92</v>
      </c>
      <c r="X962" t="s">
        <v>93</v>
      </c>
      <c r="Z962" t="s">
        <v>94</v>
      </c>
      <c r="AA962" t="s">
        <v>234</v>
      </c>
      <c r="AB962">
        <v>10.023179600000001</v>
      </c>
      <c r="AG962" t="s">
        <v>95</v>
      </c>
      <c r="AX962" t="s">
        <v>144</v>
      </c>
      <c r="AY962" t="s">
        <v>438</v>
      </c>
      <c r="AZ962" t="s">
        <v>486</v>
      </c>
      <c r="BB962" t="s">
        <v>499</v>
      </c>
      <c r="BC962">
        <v>5.5599999999999997E-2</v>
      </c>
      <c r="BH962" t="s">
        <v>99</v>
      </c>
      <c r="BO962" t="s">
        <v>111</v>
      </c>
      <c r="CD962" t="s">
        <v>500</v>
      </c>
      <c r="CE962">
        <v>158970</v>
      </c>
      <c r="CF962" t="s">
        <v>501</v>
      </c>
      <c r="CG962" t="s">
        <v>502</v>
      </c>
      <c r="CH962">
        <v>2012</v>
      </c>
    </row>
    <row r="963" spans="1:86" hidden="1" x14ac:dyDescent="0.25">
      <c r="A963">
        <v>330541</v>
      </c>
      <c r="B963" t="s">
        <v>86</v>
      </c>
      <c r="D963" t="s">
        <v>115</v>
      </c>
      <c r="K963" t="s">
        <v>767</v>
      </c>
      <c r="L963" t="s">
        <v>89</v>
      </c>
      <c r="M963" t="s">
        <v>759</v>
      </c>
      <c r="V963" t="s">
        <v>91</v>
      </c>
      <c r="W963" t="s">
        <v>92</v>
      </c>
      <c r="X963" t="s">
        <v>93</v>
      </c>
      <c r="Y963">
        <v>2</v>
      </c>
      <c r="Z963" t="s">
        <v>137</v>
      </c>
      <c r="AB963">
        <v>1.165486</v>
      </c>
      <c r="AG963" t="s">
        <v>95</v>
      </c>
      <c r="AX963" t="s">
        <v>144</v>
      </c>
      <c r="AY963" t="s">
        <v>438</v>
      </c>
      <c r="AZ963" t="s">
        <v>486</v>
      </c>
      <c r="BC963">
        <v>4.1700000000000001E-2</v>
      </c>
      <c r="BH963" t="s">
        <v>99</v>
      </c>
      <c r="BO963" t="s">
        <v>111</v>
      </c>
      <c r="CD963" t="s">
        <v>868</v>
      </c>
      <c r="CE963">
        <v>172734</v>
      </c>
      <c r="CF963" t="s">
        <v>869</v>
      </c>
      <c r="CG963" t="s">
        <v>870</v>
      </c>
      <c r="CH963">
        <v>2014</v>
      </c>
    </row>
    <row r="964" spans="1:86" hidden="1" x14ac:dyDescent="0.25">
      <c r="A964">
        <v>330541</v>
      </c>
      <c r="B964" t="s">
        <v>86</v>
      </c>
      <c r="D964" t="s">
        <v>115</v>
      </c>
      <c r="K964" t="s">
        <v>767</v>
      </c>
      <c r="L964" t="s">
        <v>89</v>
      </c>
      <c r="M964" t="s">
        <v>759</v>
      </c>
      <c r="V964" t="s">
        <v>91</v>
      </c>
      <c r="W964" t="s">
        <v>92</v>
      </c>
      <c r="X964" t="s">
        <v>93</v>
      </c>
      <c r="Y964">
        <v>2</v>
      </c>
      <c r="Z964" t="s">
        <v>137</v>
      </c>
      <c r="AB964">
        <v>1.165486</v>
      </c>
      <c r="AG964" t="s">
        <v>95</v>
      </c>
      <c r="AX964" t="s">
        <v>144</v>
      </c>
      <c r="AY964" t="s">
        <v>438</v>
      </c>
      <c r="AZ964" t="s">
        <v>486</v>
      </c>
      <c r="BC964">
        <v>4.1700000000000001E-2</v>
      </c>
      <c r="BH964" t="s">
        <v>99</v>
      </c>
      <c r="BO964" t="s">
        <v>111</v>
      </c>
      <c r="CD964" t="s">
        <v>868</v>
      </c>
      <c r="CE964">
        <v>172734</v>
      </c>
      <c r="CF964" t="s">
        <v>869</v>
      </c>
      <c r="CG964" t="s">
        <v>870</v>
      </c>
      <c r="CH964">
        <v>2014</v>
      </c>
    </row>
    <row r="965" spans="1:86" hidden="1" x14ac:dyDescent="0.25">
      <c r="A965">
        <v>330541</v>
      </c>
      <c r="B965" t="s">
        <v>86</v>
      </c>
      <c r="C965" t="s">
        <v>158</v>
      </c>
      <c r="D965" t="s">
        <v>115</v>
      </c>
      <c r="K965" t="s">
        <v>872</v>
      </c>
      <c r="L965" t="s">
        <v>143</v>
      </c>
      <c r="M965" t="s">
        <v>759</v>
      </c>
      <c r="N965" t="s">
        <v>118</v>
      </c>
      <c r="V965" t="s">
        <v>168</v>
      </c>
      <c r="W965" t="s">
        <v>92</v>
      </c>
      <c r="X965" t="s">
        <v>93</v>
      </c>
      <c r="Y965">
        <v>3</v>
      </c>
      <c r="Z965" t="s">
        <v>94</v>
      </c>
      <c r="AB965">
        <v>0.75</v>
      </c>
      <c r="AG965" t="s">
        <v>95</v>
      </c>
      <c r="AX965" t="s">
        <v>144</v>
      </c>
      <c r="AY965" t="s">
        <v>438</v>
      </c>
      <c r="AZ965" t="s">
        <v>486</v>
      </c>
      <c r="BC965">
        <v>0.16669999999999999</v>
      </c>
      <c r="BH965" t="s">
        <v>99</v>
      </c>
      <c r="BO965" t="s">
        <v>111</v>
      </c>
      <c r="CD965" t="s">
        <v>874</v>
      </c>
      <c r="CE965">
        <v>165988</v>
      </c>
      <c r="CF965" t="s">
        <v>875</v>
      </c>
      <c r="CG965" t="s">
        <v>876</v>
      </c>
      <c r="CH965">
        <v>2013</v>
      </c>
    </row>
    <row r="966" spans="1:86" hidden="1" x14ac:dyDescent="0.25">
      <c r="A966">
        <v>330541</v>
      </c>
      <c r="B966" t="s">
        <v>86</v>
      </c>
      <c r="C966" t="s">
        <v>158</v>
      </c>
      <c r="D966" t="s">
        <v>115</v>
      </c>
      <c r="K966" t="s">
        <v>872</v>
      </c>
      <c r="L966" t="s">
        <v>143</v>
      </c>
      <c r="M966" t="s">
        <v>759</v>
      </c>
      <c r="N966" t="s">
        <v>118</v>
      </c>
      <c r="V966" t="s">
        <v>168</v>
      </c>
      <c r="W966" t="s">
        <v>92</v>
      </c>
      <c r="X966" t="s">
        <v>93</v>
      </c>
      <c r="Y966">
        <v>3</v>
      </c>
      <c r="Z966" t="s">
        <v>94</v>
      </c>
      <c r="AB966">
        <v>0.75</v>
      </c>
      <c r="AG966" t="s">
        <v>95</v>
      </c>
      <c r="AX966" t="s">
        <v>144</v>
      </c>
      <c r="AY966" t="s">
        <v>438</v>
      </c>
      <c r="AZ966" t="s">
        <v>486</v>
      </c>
      <c r="BC966">
        <v>4</v>
      </c>
      <c r="BH966" t="s">
        <v>99</v>
      </c>
      <c r="BO966" t="s">
        <v>111</v>
      </c>
      <c r="CD966" t="s">
        <v>874</v>
      </c>
      <c r="CE966">
        <v>165988</v>
      </c>
      <c r="CF966" t="s">
        <v>875</v>
      </c>
      <c r="CG966" t="s">
        <v>876</v>
      </c>
      <c r="CH966">
        <v>2013</v>
      </c>
    </row>
    <row r="967" spans="1:86" hidden="1" x14ac:dyDescent="0.25">
      <c r="A967">
        <v>330541</v>
      </c>
      <c r="B967" t="s">
        <v>86</v>
      </c>
      <c r="D967" t="s">
        <v>115</v>
      </c>
      <c r="K967" t="s">
        <v>771</v>
      </c>
      <c r="L967" t="s">
        <v>89</v>
      </c>
      <c r="M967" t="s">
        <v>759</v>
      </c>
      <c r="N967" t="s">
        <v>118</v>
      </c>
      <c r="V967" t="s">
        <v>91</v>
      </c>
      <c r="W967" t="s">
        <v>107</v>
      </c>
      <c r="X967" t="s">
        <v>93</v>
      </c>
      <c r="Y967">
        <v>2</v>
      </c>
      <c r="Z967" t="s">
        <v>137</v>
      </c>
      <c r="AB967">
        <v>0.01</v>
      </c>
      <c r="AG967" t="s">
        <v>95</v>
      </c>
      <c r="AX967" t="s">
        <v>201</v>
      </c>
      <c r="AY967" t="s">
        <v>871</v>
      </c>
      <c r="AZ967" t="s">
        <v>486</v>
      </c>
      <c r="BA967" t="s">
        <v>179</v>
      </c>
      <c r="BC967">
        <v>4</v>
      </c>
      <c r="BH967" t="s">
        <v>99</v>
      </c>
      <c r="BO967" t="s">
        <v>111</v>
      </c>
      <c r="CD967" t="s">
        <v>832</v>
      </c>
      <c r="CE967">
        <v>165272</v>
      </c>
      <c r="CF967" t="s">
        <v>833</v>
      </c>
      <c r="CG967" t="s">
        <v>834</v>
      </c>
      <c r="CH967">
        <v>2013</v>
      </c>
    </row>
    <row r="968" spans="1:86" hidden="1" x14ac:dyDescent="0.25">
      <c r="A968">
        <v>330541</v>
      </c>
      <c r="B968" t="s">
        <v>86</v>
      </c>
      <c r="D968" t="s">
        <v>115</v>
      </c>
      <c r="K968" t="s">
        <v>771</v>
      </c>
      <c r="L968" t="s">
        <v>89</v>
      </c>
      <c r="M968" t="s">
        <v>759</v>
      </c>
      <c r="N968" t="s">
        <v>118</v>
      </c>
      <c r="V968" t="s">
        <v>91</v>
      </c>
      <c r="W968" t="s">
        <v>107</v>
      </c>
      <c r="X968" t="s">
        <v>93</v>
      </c>
      <c r="Y968">
        <v>2</v>
      </c>
      <c r="Z968" t="s">
        <v>137</v>
      </c>
      <c r="AB968">
        <v>0.01</v>
      </c>
      <c r="AG968" t="s">
        <v>95</v>
      </c>
      <c r="AX968" t="s">
        <v>108</v>
      </c>
      <c r="AY968" t="s">
        <v>160</v>
      </c>
      <c r="AZ968" t="s">
        <v>486</v>
      </c>
      <c r="BC968">
        <v>4</v>
      </c>
      <c r="BH968" t="s">
        <v>99</v>
      </c>
      <c r="BO968" t="s">
        <v>111</v>
      </c>
      <c r="CD968" t="s">
        <v>832</v>
      </c>
      <c r="CE968">
        <v>165272</v>
      </c>
      <c r="CF968" t="s">
        <v>833</v>
      </c>
      <c r="CG968" t="s">
        <v>834</v>
      </c>
      <c r="CH968">
        <v>2013</v>
      </c>
    </row>
    <row r="969" spans="1:86" hidden="1" x14ac:dyDescent="0.25">
      <c r="A969">
        <v>330541</v>
      </c>
      <c r="B969" t="s">
        <v>86</v>
      </c>
      <c r="D969" t="s">
        <v>115</v>
      </c>
      <c r="K969" t="s">
        <v>771</v>
      </c>
      <c r="L969" t="s">
        <v>89</v>
      </c>
      <c r="M969" t="s">
        <v>759</v>
      </c>
      <c r="N969" t="s">
        <v>118</v>
      </c>
      <c r="V969" t="s">
        <v>91</v>
      </c>
      <c r="W969" t="s">
        <v>107</v>
      </c>
      <c r="X969" t="s">
        <v>93</v>
      </c>
      <c r="Y969">
        <v>2</v>
      </c>
      <c r="Z969" t="s">
        <v>137</v>
      </c>
      <c r="AB969">
        <v>0.01</v>
      </c>
      <c r="AG969" t="s">
        <v>95</v>
      </c>
      <c r="AX969" t="s">
        <v>108</v>
      </c>
      <c r="AY969" t="s">
        <v>150</v>
      </c>
      <c r="AZ969" t="s">
        <v>486</v>
      </c>
      <c r="BC969">
        <v>4</v>
      </c>
      <c r="BH969" t="s">
        <v>99</v>
      </c>
      <c r="BO969" t="s">
        <v>111</v>
      </c>
      <c r="CD969" t="s">
        <v>832</v>
      </c>
      <c r="CE969">
        <v>165272</v>
      </c>
      <c r="CF969" t="s">
        <v>833</v>
      </c>
      <c r="CG969" t="s">
        <v>834</v>
      </c>
      <c r="CH969">
        <v>2013</v>
      </c>
    </row>
    <row r="970" spans="1:86" hidden="1" x14ac:dyDescent="0.25">
      <c r="A970">
        <v>330541</v>
      </c>
      <c r="B970" t="s">
        <v>86</v>
      </c>
      <c r="D970" t="s">
        <v>115</v>
      </c>
      <c r="K970" t="s">
        <v>771</v>
      </c>
      <c r="L970" t="s">
        <v>89</v>
      </c>
      <c r="M970" t="s">
        <v>759</v>
      </c>
      <c r="N970" t="s">
        <v>118</v>
      </c>
      <c r="V970" t="s">
        <v>91</v>
      </c>
      <c r="W970" t="s">
        <v>107</v>
      </c>
      <c r="X970" t="s">
        <v>93</v>
      </c>
      <c r="Y970">
        <v>2</v>
      </c>
      <c r="Z970" t="s">
        <v>137</v>
      </c>
      <c r="AB970">
        <v>0.01</v>
      </c>
      <c r="AG970" t="s">
        <v>95</v>
      </c>
      <c r="AX970" t="s">
        <v>201</v>
      </c>
      <c r="AY970" t="s">
        <v>120</v>
      </c>
      <c r="AZ970" t="s">
        <v>486</v>
      </c>
      <c r="BA970" t="s">
        <v>179</v>
      </c>
      <c r="BC970">
        <v>4</v>
      </c>
      <c r="BH970" t="s">
        <v>99</v>
      </c>
      <c r="BO970" t="s">
        <v>111</v>
      </c>
      <c r="CD970" t="s">
        <v>832</v>
      </c>
      <c r="CE970">
        <v>165272</v>
      </c>
      <c r="CF970" t="s">
        <v>833</v>
      </c>
      <c r="CG970" t="s">
        <v>834</v>
      </c>
      <c r="CH970">
        <v>2013</v>
      </c>
    </row>
    <row r="971" spans="1:86" hidden="1" x14ac:dyDescent="0.25">
      <c r="A971">
        <v>330541</v>
      </c>
      <c r="B971" t="s">
        <v>86</v>
      </c>
      <c r="D971" t="s">
        <v>115</v>
      </c>
      <c r="F971">
        <v>98</v>
      </c>
      <c r="K971" t="s">
        <v>882</v>
      </c>
      <c r="L971" t="s">
        <v>117</v>
      </c>
      <c r="M971" t="s">
        <v>759</v>
      </c>
      <c r="N971" t="s">
        <v>118</v>
      </c>
      <c r="V971" t="s">
        <v>91</v>
      </c>
      <c r="W971" t="s">
        <v>92</v>
      </c>
      <c r="X971" t="s">
        <v>93</v>
      </c>
      <c r="Z971" t="s">
        <v>94</v>
      </c>
      <c r="AA971" t="s">
        <v>234</v>
      </c>
      <c r="AB971">
        <v>10.023179600000001</v>
      </c>
      <c r="AG971" t="s">
        <v>95</v>
      </c>
      <c r="AX971" t="s">
        <v>144</v>
      </c>
      <c r="AY971" t="s">
        <v>438</v>
      </c>
      <c r="AZ971" t="s">
        <v>486</v>
      </c>
      <c r="BB971" t="s">
        <v>499</v>
      </c>
      <c r="BC971">
        <v>5.5599999999999997E-2</v>
      </c>
      <c r="BH971" t="s">
        <v>99</v>
      </c>
      <c r="BO971" t="s">
        <v>111</v>
      </c>
      <c r="CD971" t="s">
        <v>500</v>
      </c>
      <c r="CE971">
        <v>158970</v>
      </c>
      <c r="CF971" t="s">
        <v>501</v>
      </c>
      <c r="CG971" t="s">
        <v>502</v>
      </c>
      <c r="CH971">
        <v>2012</v>
      </c>
    </row>
    <row r="972" spans="1:86" hidden="1" x14ac:dyDescent="0.25">
      <c r="A972">
        <v>330541</v>
      </c>
      <c r="B972" t="s">
        <v>86</v>
      </c>
      <c r="D972" t="s">
        <v>105</v>
      </c>
      <c r="K972" t="s">
        <v>767</v>
      </c>
      <c r="L972" t="s">
        <v>89</v>
      </c>
      <c r="M972" t="s">
        <v>759</v>
      </c>
      <c r="N972" t="s">
        <v>118</v>
      </c>
      <c r="V972" t="s">
        <v>91</v>
      </c>
      <c r="W972" t="s">
        <v>92</v>
      </c>
      <c r="X972" t="s">
        <v>93</v>
      </c>
      <c r="Y972">
        <v>13</v>
      </c>
      <c r="Z972" t="s">
        <v>137</v>
      </c>
      <c r="AB972">
        <v>1.5384415199999999E-2</v>
      </c>
      <c r="AG972" t="s">
        <v>95</v>
      </c>
      <c r="AX972" t="s">
        <v>108</v>
      </c>
      <c r="AY972" t="s">
        <v>120</v>
      </c>
      <c r="AZ972" t="s">
        <v>486</v>
      </c>
      <c r="BC972">
        <v>0.25</v>
      </c>
      <c r="BH972" t="s">
        <v>99</v>
      </c>
      <c r="BO972" t="s">
        <v>111</v>
      </c>
      <c r="CD972" t="s">
        <v>772</v>
      </c>
      <c r="CE972">
        <v>160529</v>
      </c>
      <c r="CF972" t="s">
        <v>773</v>
      </c>
      <c r="CG972" t="s">
        <v>774</v>
      </c>
      <c r="CH972">
        <v>2012</v>
      </c>
    </row>
    <row r="973" spans="1:86" hidden="1" x14ac:dyDescent="0.25">
      <c r="A973">
        <v>330541</v>
      </c>
      <c r="B973" t="s">
        <v>86</v>
      </c>
      <c r="D973" t="s">
        <v>105</v>
      </c>
      <c r="K973" t="s">
        <v>767</v>
      </c>
      <c r="L973" t="s">
        <v>89</v>
      </c>
      <c r="M973" t="s">
        <v>759</v>
      </c>
      <c r="N973" t="s">
        <v>118</v>
      </c>
      <c r="V973" t="s">
        <v>91</v>
      </c>
      <c r="W973" t="s">
        <v>92</v>
      </c>
      <c r="X973" t="s">
        <v>93</v>
      </c>
      <c r="Y973">
        <v>13</v>
      </c>
      <c r="Z973" t="s">
        <v>137</v>
      </c>
      <c r="AB973">
        <v>2.3309719999999999E-2</v>
      </c>
      <c r="AG973" t="s">
        <v>95</v>
      </c>
      <c r="AX973" t="s">
        <v>282</v>
      </c>
      <c r="AY973" t="s">
        <v>806</v>
      </c>
      <c r="AZ973" t="s">
        <v>486</v>
      </c>
      <c r="BC973">
        <v>8.3299999999999999E-2</v>
      </c>
      <c r="BH973" t="s">
        <v>99</v>
      </c>
      <c r="BO973" t="s">
        <v>111</v>
      </c>
      <c r="CD973" t="s">
        <v>772</v>
      </c>
      <c r="CE973">
        <v>160529</v>
      </c>
      <c r="CF973" t="s">
        <v>773</v>
      </c>
      <c r="CG973" t="s">
        <v>774</v>
      </c>
      <c r="CH973">
        <v>2012</v>
      </c>
    </row>
    <row r="974" spans="1:86" hidden="1" x14ac:dyDescent="0.25">
      <c r="A974">
        <v>330541</v>
      </c>
      <c r="B974" t="s">
        <v>86</v>
      </c>
      <c r="D974" t="s">
        <v>105</v>
      </c>
      <c r="K974" t="s">
        <v>767</v>
      </c>
      <c r="L974" t="s">
        <v>89</v>
      </c>
      <c r="M974" t="s">
        <v>759</v>
      </c>
      <c r="N974" t="s">
        <v>118</v>
      </c>
      <c r="V974" t="s">
        <v>91</v>
      </c>
      <c r="W974" t="s">
        <v>92</v>
      </c>
      <c r="X974" t="s">
        <v>93</v>
      </c>
      <c r="Y974">
        <v>13</v>
      </c>
      <c r="Z974" t="s">
        <v>137</v>
      </c>
      <c r="AB974">
        <v>7.6922076000000001E-5</v>
      </c>
      <c r="AG974" t="s">
        <v>95</v>
      </c>
      <c r="AX974" t="s">
        <v>201</v>
      </c>
      <c r="AY974" t="s">
        <v>490</v>
      </c>
      <c r="AZ974" t="s">
        <v>486</v>
      </c>
      <c r="BC974">
        <v>8.3299999999999999E-2</v>
      </c>
      <c r="BH974" t="s">
        <v>99</v>
      </c>
      <c r="BO974" t="s">
        <v>111</v>
      </c>
      <c r="CD974" t="s">
        <v>772</v>
      </c>
      <c r="CE974">
        <v>160529</v>
      </c>
      <c r="CF974" t="s">
        <v>773</v>
      </c>
      <c r="CG974" t="s">
        <v>774</v>
      </c>
      <c r="CH974">
        <v>2012</v>
      </c>
    </row>
    <row r="975" spans="1:86" hidden="1" x14ac:dyDescent="0.25">
      <c r="A975">
        <v>330541</v>
      </c>
      <c r="B975" t="s">
        <v>86</v>
      </c>
      <c r="D975" t="s">
        <v>115</v>
      </c>
      <c r="K975" t="s">
        <v>767</v>
      </c>
      <c r="L975" t="s">
        <v>89</v>
      </c>
      <c r="M975" t="s">
        <v>759</v>
      </c>
      <c r="V975" t="s">
        <v>91</v>
      </c>
      <c r="W975" t="s">
        <v>92</v>
      </c>
      <c r="X975" t="s">
        <v>93</v>
      </c>
      <c r="Y975">
        <v>2</v>
      </c>
      <c r="Z975" t="s">
        <v>137</v>
      </c>
      <c r="AB975">
        <v>1.165486</v>
      </c>
      <c r="AG975" t="s">
        <v>95</v>
      </c>
      <c r="AX975" t="s">
        <v>144</v>
      </c>
      <c r="AY975" t="s">
        <v>438</v>
      </c>
      <c r="AZ975" t="s">
        <v>486</v>
      </c>
      <c r="BC975">
        <v>2.0799999999999999E-2</v>
      </c>
      <c r="BH975" t="s">
        <v>99</v>
      </c>
      <c r="BO975" t="s">
        <v>111</v>
      </c>
      <c r="CD975" t="s">
        <v>868</v>
      </c>
      <c r="CE975">
        <v>172734</v>
      </c>
      <c r="CF975" t="s">
        <v>869</v>
      </c>
      <c r="CG975" t="s">
        <v>870</v>
      </c>
      <c r="CH975">
        <v>2014</v>
      </c>
    </row>
    <row r="976" spans="1:86" hidden="1" x14ac:dyDescent="0.25">
      <c r="A976">
        <v>330541</v>
      </c>
      <c r="B976" t="s">
        <v>86</v>
      </c>
      <c r="D976" t="s">
        <v>115</v>
      </c>
      <c r="K976" t="s">
        <v>767</v>
      </c>
      <c r="L976" t="s">
        <v>89</v>
      </c>
      <c r="M976" t="s">
        <v>759</v>
      </c>
      <c r="V976" t="s">
        <v>91</v>
      </c>
      <c r="W976" t="s">
        <v>92</v>
      </c>
      <c r="X976" t="s">
        <v>93</v>
      </c>
      <c r="Y976">
        <v>2</v>
      </c>
      <c r="Z976" t="s">
        <v>137</v>
      </c>
      <c r="AB976">
        <v>1.165486</v>
      </c>
      <c r="AG976" t="s">
        <v>95</v>
      </c>
      <c r="AX976" t="s">
        <v>144</v>
      </c>
      <c r="AY976" t="s">
        <v>438</v>
      </c>
      <c r="AZ976" t="s">
        <v>486</v>
      </c>
      <c r="BC976">
        <v>1.04E-2</v>
      </c>
      <c r="BH976" t="s">
        <v>99</v>
      </c>
      <c r="BO976" t="s">
        <v>111</v>
      </c>
      <c r="CD976" t="s">
        <v>868</v>
      </c>
      <c r="CE976">
        <v>172734</v>
      </c>
      <c r="CF976" t="s">
        <v>869</v>
      </c>
      <c r="CG976" t="s">
        <v>870</v>
      </c>
      <c r="CH976">
        <v>2014</v>
      </c>
    </row>
    <row r="977" spans="1:86" hidden="1" x14ac:dyDescent="0.25">
      <c r="A977">
        <v>330541</v>
      </c>
      <c r="B977" t="s">
        <v>86</v>
      </c>
      <c r="D977" t="s">
        <v>115</v>
      </c>
      <c r="K977" t="s">
        <v>767</v>
      </c>
      <c r="L977" t="s">
        <v>89</v>
      </c>
      <c r="M977" t="s">
        <v>759</v>
      </c>
      <c r="V977" t="s">
        <v>91</v>
      </c>
      <c r="W977" t="s">
        <v>92</v>
      </c>
      <c r="X977" t="s">
        <v>93</v>
      </c>
      <c r="Y977">
        <v>2</v>
      </c>
      <c r="Z977" t="s">
        <v>137</v>
      </c>
      <c r="AB977">
        <v>1.165486</v>
      </c>
      <c r="AG977" t="s">
        <v>95</v>
      </c>
      <c r="AX977" t="s">
        <v>144</v>
      </c>
      <c r="AY977" t="s">
        <v>438</v>
      </c>
      <c r="AZ977" t="s">
        <v>486</v>
      </c>
      <c r="BC977">
        <v>4.1700000000000001E-2</v>
      </c>
      <c r="BH977" t="s">
        <v>99</v>
      </c>
      <c r="BO977" t="s">
        <v>111</v>
      </c>
      <c r="CD977" t="s">
        <v>868</v>
      </c>
      <c r="CE977">
        <v>172734</v>
      </c>
      <c r="CF977" t="s">
        <v>869</v>
      </c>
      <c r="CG977" t="s">
        <v>870</v>
      </c>
      <c r="CH977">
        <v>2014</v>
      </c>
    </row>
    <row r="978" spans="1:86" hidden="1" x14ac:dyDescent="0.25">
      <c r="A978">
        <v>330541</v>
      </c>
      <c r="B978" t="s">
        <v>86</v>
      </c>
      <c r="D978" t="s">
        <v>115</v>
      </c>
      <c r="K978" t="s">
        <v>767</v>
      </c>
      <c r="L978" t="s">
        <v>89</v>
      </c>
      <c r="M978" t="s">
        <v>759</v>
      </c>
      <c r="V978" t="s">
        <v>91</v>
      </c>
      <c r="W978" t="s">
        <v>92</v>
      </c>
      <c r="X978" t="s">
        <v>93</v>
      </c>
      <c r="Y978">
        <v>2</v>
      </c>
      <c r="Z978" t="s">
        <v>137</v>
      </c>
      <c r="AB978">
        <v>1.165486</v>
      </c>
      <c r="AG978" t="s">
        <v>95</v>
      </c>
      <c r="AX978" t="s">
        <v>144</v>
      </c>
      <c r="AY978" t="s">
        <v>438</v>
      </c>
      <c r="AZ978" t="s">
        <v>486</v>
      </c>
      <c r="BC978">
        <v>4.1700000000000001E-2</v>
      </c>
      <c r="BH978" t="s">
        <v>99</v>
      </c>
      <c r="BO978" t="s">
        <v>111</v>
      </c>
      <c r="CD978" t="s">
        <v>868</v>
      </c>
      <c r="CE978">
        <v>172734</v>
      </c>
      <c r="CF978" t="s">
        <v>869</v>
      </c>
      <c r="CG978" t="s">
        <v>870</v>
      </c>
      <c r="CH978">
        <v>2014</v>
      </c>
    </row>
    <row r="979" spans="1:86" hidden="1" x14ac:dyDescent="0.25">
      <c r="A979">
        <v>330541</v>
      </c>
      <c r="B979" t="s">
        <v>86</v>
      </c>
      <c r="D979" t="s">
        <v>115</v>
      </c>
      <c r="K979" t="s">
        <v>767</v>
      </c>
      <c r="L979" t="s">
        <v>89</v>
      </c>
      <c r="M979" t="s">
        <v>759</v>
      </c>
      <c r="V979" t="s">
        <v>91</v>
      </c>
      <c r="W979" t="s">
        <v>92</v>
      </c>
      <c r="X979" t="s">
        <v>93</v>
      </c>
      <c r="Y979">
        <v>2</v>
      </c>
      <c r="Z979" t="s">
        <v>137</v>
      </c>
      <c r="AB979">
        <v>1.165486</v>
      </c>
      <c r="AG979" t="s">
        <v>95</v>
      </c>
      <c r="AX979" t="s">
        <v>144</v>
      </c>
      <c r="AY979" t="s">
        <v>438</v>
      </c>
      <c r="AZ979" t="s">
        <v>486</v>
      </c>
      <c r="BC979">
        <v>2.0799999999999999E-2</v>
      </c>
      <c r="BH979" t="s">
        <v>99</v>
      </c>
      <c r="BO979" t="s">
        <v>111</v>
      </c>
      <c r="CD979" t="s">
        <v>868</v>
      </c>
      <c r="CE979">
        <v>172734</v>
      </c>
      <c r="CF979" t="s">
        <v>869</v>
      </c>
      <c r="CG979" t="s">
        <v>870</v>
      </c>
      <c r="CH979">
        <v>2014</v>
      </c>
    </row>
    <row r="980" spans="1:86" hidden="1" x14ac:dyDescent="0.25">
      <c r="A980">
        <v>330541</v>
      </c>
      <c r="B980" t="s">
        <v>86</v>
      </c>
      <c r="C980" t="s">
        <v>158</v>
      </c>
      <c r="D980" t="s">
        <v>115</v>
      </c>
      <c r="K980" t="s">
        <v>766</v>
      </c>
      <c r="L980" t="s">
        <v>117</v>
      </c>
      <c r="M980" t="s">
        <v>759</v>
      </c>
      <c r="N980" t="s">
        <v>118</v>
      </c>
      <c r="V980" t="s">
        <v>91</v>
      </c>
      <c r="W980" t="s">
        <v>92</v>
      </c>
      <c r="X980" t="s">
        <v>93</v>
      </c>
      <c r="Z980" t="s">
        <v>94</v>
      </c>
      <c r="AB980">
        <v>1E-4</v>
      </c>
      <c r="AG980" t="s">
        <v>95</v>
      </c>
      <c r="AX980" t="s">
        <v>144</v>
      </c>
      <c r="AY980" t="s">
        <v>109</v>
      </c>
      <c r="AZ980" t="s">
        <v>486</v>
      </c>
      <c r="BA980" t="s">
        <v>179</v>
      </c>
      <c r="BB980" t="s">
        <v>234</v>
      </c>
      <c r="BC980">
        <v>0.16669999999999999</v>
      </c>
      <c r="BH980" t="s">
        <v>99</v>
      </c>
      <c r="BO980" t="s">
        <v>111</v>
      </c>
      <c r="CD980" t="s">
        <v>398</v>
      </c>
      <c r="CE980">
        <v>153836</v>
      </c>
      <c r="CF980" t="s">
        <v>399</v>
      </c>
      <c r="CG980" t="s">
        <v>400</v>
      </c>
      <c r="CH980">
        <v>2010</v>
      </c>
    </row>
    <row r="981" spans="1:86" hidden="1" x14ac:dyDescent="0.25">
      <c r="A981">
        <v>330541</v>
      </c>
      <c r="B981" t="s">
        <v>86</v>
      </c>
      <c r="D981" t="s">
        <v>105</v>
      </c>
      <c r="K981" t="s">
        <v>767</v>
      </c>
      <c r="L981" t="s">
        <v>89</v>
      </c>
      <c r="M981" t="s">
        <v>759</v>
      </c>
      <c r="N981" t="s">
        <v>118</v>
      </c>
      <c r="V981" t="s">
        <v>91</v>
      </c>
      <c r="W981" t="s">
        <v>92</v>
      </c>
      <c r="X981" t="s">
        <v>93</v>
      </c>
      <c r="Y981">
        <v>13</v>
      </c>
      <c r="Z981" t="s">
        <v>137</v>
      </c>
      <c r="AB981">
        <v>7.6922076000000006E-2</v>
      </c>
      <c r="AG981" t="s">
        <v>95</v>
      </c>
      <c r="AX981" t="s">
        <v>108</v>
      </c>
      <c r="AY981" t="s">
        <v>120</v>
      </c>
      <c r="AZ981" t="s">
        <v>486</v>
      </c>
      <c r="BC981">
        <v>1</v>
      </c>
      <c r="BH981" t="s">
        <v>99</v>
      </c>
      <c r="BO981" t="s">
        <v>111</v>
      </c>
      <c r="CD981" t="s">
        <v>772</v>
      </c>
      <c r="CE981">
        <v>160529</v>
      </c>
      <c r="CF981" t="s">
        <v>773</v>
      </c>
      <c r="CG981" t="s">
        <v>774</v>
      </c>
      <c r="CH981">
        <v>2012</v>
      </c>
    </row>
    <row r="982" spans="1:86" hidden="1" x14ac:dyDescent="0.25">
      <c r="A982">
        <v>330541</v>
      </c>
      <c r="B982" t="s">
        <v>86</v>
      </c>
      <c r="D982" t="s">
        <v>105</v>
      </c>
      <c r="K982" t="s">
        <v>767</v>
      </c>
      <c r="L982" t="s">
        <v>89</v>
      </c>
      <c r="M982" t="s">
        <v>759</v>
      </c>
      <c r="N982" t="s">
        <v>118</v>
      </c>
      <c r="V982" t="s">
        <v>91</v>
      </c>
      <c r="W982" t="s">
        <v>92</v>
      </c>
      <c r="X982" t="s">
        <v>93</v>
      </c>
      <c r="Y982">
        <v>13</v>
      </c>
      <c r="Z982" t="s">
        <v>137</v>
      </c>
      <c r="AB982">
        <v>2.3309720000000002E-3</v>
      </c>
      <c r="AG982" t="s">
        <v>95</v>
      </c>
      <c r="AX982" t="s">
        <v>108</v>
      </c>
      <c r="AY982" t="s">
        <v>438</v>
      </c>
      <c r="AZ982" t="s">
        <v>486</v>
      </c>
      <c r="BC982">
        <v>0.25</v>
      </c>
      <c r="BH982" t="s">
        <v>99</v>
      </c>
      <c r="BO982" t="s">
        <v>111</v>
      </c>
      <c r="CD982" t="s">
        <v>772</v>
      </c>
      <c r="CE982">
        <v>160529</v>
      </c>
      <c r="CF982" t="s">
        <v>773</v>
      </c>
      <c r="CG982" t="s">
        <v>774</v>
      </c>
      <c r="CH982">
        <v>2012</v>
      </c>
    </row>
    <row r="983" spans="1:86" hidden="1" x14ac:dyDescent="0.25">
      <c r="A983">
        <v>330541</v>
      </c>
      <c r="B983" t="s">
        <v>86</v>
      </c>
      <c r="D983" t="s">
        <v>105</v>
      </c>
      <c r="K983" t="s">
        <v>767</v>
      </c>
      <c r="L983" t="s">
        <v>89</v>
      </c>
      <c r="M983" t="s">
        <v>759</v>
      </c>
      <c r="N983" t="s">
        <v>118</v>
      </c>
      <c r="V983" t="s">
        <v>91</v>
      </c>
      <c r="W983" t="s">
        <v>92</v>
      </c>
      <c r="X983" t="s">
        <v>93</v>
      </c>
      <c r="Y983">
        <v>13</v>
      </c>
      <c r="Z983" t="s">
        <v>137</v>
      </c>
      <c r="AB983">
        <v>7.6922076000000006E-2</v>
      </c>
      <c r="AG983" t="s">
        <v>95</v>
      </c>
      <c r="AX983" t="s">
        <v>201</v>
      </c>
      <c r="AY983" t="s">
        <v>805</v>
      </c>
      <c r="AZ983" t="s">
        <v>486</v>
      </c>
      <c r="BC983">
        <v>1</v>
      </c>
      <c r="BH983" t="s">
        <v>99</v>
      </c>
      <c r="BO983" t="s">
        <v>111</v>
      </c>
      <c r="CD983" t="s">
        <v>772</v>
      </c>
      <c r="CE983">
        <v>160529</v>
      </c>
      <c r="CF983" t="s">
        <v>773</v>
      </c>
      <c r="CG983" t="s">
        <v>774</v>
      </c>
      <c r="CH983">
        <v>2012</v>
      </c>
    </row>
    <row r="984" spans="1:86" hidden="1" x14ac:dyDescent="0.25">
      <c r="A984">
        <v>330541</v>
      </c>
      <c r="B984" t="s">
        <v>86</v>
      </c>
      <c r="D984" t="s">
        <v>105</v>
      </c>
      <c r="K984" t="s">
        <v>767</v>
      </c>
      <c r="L984" t="s">
        <v>89</v>
      </c>
      <c r="M984" t="s">
        <v>759</v>
      </c>
      <c r="N984" t="s">
        <v>118</v>
      </c>
      <c r="V984" t="s">
        <v>91</v>
      </c>
      <c r="W984" t="s">
        <v>92</v>
      </c>
      <c r="X984" t="s">
        <v>93</v>
      </c>
      <c r="Y984">
        <v>13</v>
      </c>
      <c r="Z984" t="s">
        <v>137</v>
      </c>
      <c r="AB984">
        <v>7.6922076000000006E-2</v>
      </c>
      <c r="AG984" t="s">
        <v>95</v>
      </c>
      <c r="AX984" t="s">
        <v>108</v>
      </c>
      <c r="AY984" t="s">
        <v>617</v>
      </c>
      <c r="AZ984" t="s">
        <v>486</v>
      </c>
      <c r="BC984">
        <v>0.25</v>
      </c>
      <c r="BH984" t="s">
        <v>99</v>
      </c>
      <c r="BO984" t="s">
        <v>111</v>
      </c>
      <c r="CD984" t="s">
        <v>772</v>
      </c>
      <c r="CE984">
        <v>160529</v>
      </c>
      <c r="CF984" t="s">
        <v>773</v>
      </c>
      <c r="CG984" t="s">
        <v>774</v>
      </c>
      <c r="CH984">
        <v>2012</v>
      </c>
    </row>
    <row r="985" spans="1:86" hidden="1" x14ac:dyDescent="0.25">
      <c r="A985">
        <v>330541</v>
      </c>
      <c r="B985" t="s">
        <v>86</v>
      </c>
      <c r="D985" t="s">
        <v>105</v>
      </c>
      <c r="K985" t="s">
        <v>767</v>
      </c>
      <c r="L985" t="s">
        <v>89</v>
      </c>
      <c r="M985" t="s">
        <v>759</v>
      </c>
      <c r="N985" t="s">
        <v>118</v>
      </c>
      <c r="V985" t="s">
        <v>91</v>
      </c>
      <c r="W985" t="s">
        <v>92</v>
      </c>
      <c r="X985" t="s">
        <v>93</v>
      </c>
      <c r="Y985">
        <v>13</v>
      </c>
      <c r="Z985" t="s">
        <v>137</v>
      </c>
      <c r="AB985">
        <v>2.3309720000000002E-3</v>
      </c>
      <c r="AG985" t="s">
        <v>95</v>
      </c>
      <c r="AX985" t="s">
        <v>108</v>
      </c>
      <c r="AY985" t="s">
        <v>438</v>
      </c>
      <c r="AZ985" t="s">
        <v>486</v>
      </c>
      <c r="BC985">
        <v>8.3299999999999999E-2</v>
      </c>
      <c r="BH985" t="s">
        <v>99</v>
      </c>
      <c r="BO985" t="s">
        <v>111</v>
      </c>
      <c r="CD985" t="s">
        <v>772</v>
      </c>
      <c r="CE985">
        <v>160529</v>
      </c>
      <c r="CF985" t="s">
        <v>773</v>
      </c>
      <c r="CG985" t="s">
        <v>774</v>
      </c>
      <c r="CH985">
        <v>2012</v>
      </c>
    </row>
    <row r="986" spans="1:86" hidden="1" x14ac:dyDescent="0.25">
      <c r="A986">
        <v>330541</v>
      </c>
      <c r="B986" t="s">
        <v>86</v>
      </c>
      <c r="D986" t="s">
        <v>105</v>
      </c>
      <c r="K986" t="s">
        <v>767</v>
      </c>
      <c r="L986" t="s">
        <v>89</v>
      </c>
      <c r="M986" t="s">
        <v>759</v>
      </c>
      <c r="N986" t="s">
        <v>118</v>
      </c>
      <c r="V986" t="s">
        <v>91</v>
      </c>
      <c r="W986" t="s">
        <v>92</v>
      </c>
      <c r="X986" t="s">
        <v>93</v>
      </c>
      <c r="Y986">
        <v>13</v>
      </c>
      <c r="Z986" t="s">
        <v>137</v>
      </c>
      <c r="AB986">
        <v>2.3309719999999999E-2</v>
      </c>
      <c r="AG986" t="s">
        <v>95</v>
      </c>
      <c r="AX986" t="s">
        <v>108</v>
      </c>
      <c r="AY986" t="s">
        <v>160</v>
      </c>
      <c r="AZ986" t="s">
        <v>486</v>
      </c>
      <c r="BC986">
        <v>0.25</v>
      </c>
      <c r="BH986" t="s">
        <v>99</v>
      </c>
      <c r="BO986" t="s">
        <v>111</v>
      </c>
      <c r="CD986" t="s">
        <v>772</v>
      </c>
      <c r="CE986">
        <v>160529</v>
      </c>
      <c r="CF986" t="s">
        <v>773</v>
      </c>
      <c r="CG986" t="s">
        <v>774</v>
      </c>
      <c r="CH986">
        <v>2012</v>
      </c>
    </row>
    <row r="987" spans="1:86" hidden="1" x14ac:dyDescent="0.25">
      <c r="A987">
        <v>330541</v>
      </c>
      <c r="B987" t="s">
        <v>86</v>
      </c>
      <c r="D987" t="s">
        <v>105</v>
      </c>
      <c r="K987" t="s">
        <v>767</v>
      </c>
      <c r="L987" t="s">
        <v>89</v>
      </c>
      <c r="M987" t="s">
        <v>759</v>
      </c>
      <c r="N987" t="s">
        <v>118</v>
      </c>
      <c r="V987" t="s">
        <v>91</v>
      </c>
      <c r="W987" t="s">
        <v>92</v>
      </c>
      <c r="X987" t="s">
        <v>93</v>
      </c>
      <c r="Y987">
        <v>13</v>
      </c>
      <c r="Z987" t="s">
        <v>137</v>
      </c>
      <c r="AB987">
        <v>7.6922075999999997E-3</v>
      </c>
      <c r="AG987" t="s">
        <v>95</v>
      </c>
      <c r="AX987" t="s">
        <v>108</v>
      </c>
      <c r="AY987" t="s">
        <v>438</v>
      </c>
      <c r="AZ987" t="s">
        <v>486</v>
      </c>
      <c r="BC987">
        <v>0.25</v>
      </c>
      <c r="BH987" t="s">
        <v>99</v>
      </c>
      <c r="BO987" t="s">
        <v>111</v>
      </c>
      <c r="CD987" t="s">
        <v>772</v>
      </c>
      <c r="CE987">
        <v>160529</v>
      </c>
      <c r="CF987" t="s">
        <v>773</v>
      </c>
      <c r="CG987" t="s">
        <v>774</v>
      </c>
      <c r="CH987">
        <v>2012</v>
      </c>
    </row>
    <row r="988" spans="1:86" hidden="1" x14ac:dyDescent="0.25">
      <c r="A988">
        <v>330541</v>
      </c>
      <c r="B988" t="s">
        <v>86</v>
      </c>
      <c r="D988" t="s">
        <v>105</v>
      </c>
      <c r="K988" t="s">
        <v>767</v>
      </c>
      <c r="L988" t="s">
        <v>89</v>
      </c>
      <c r="M988" t="s">
        <v>759</v>
      </c>
      <c r="N988" t="s">
        <v>118</v>
      </c>
      <c r="V988" t="s">
        <v>91</v>
      </c>
      <c r="W988" t="s">
        <v>92</v>
      </c>
      <c r="X988" t="s">
        <v>93</v>
      </c>
      <c r="Y988">
        <v>13</v>
      </c>
      <c r="Z988" t="s">
        <v>137</v>
      </c>
      <c r="AB988">
        <v>7.6922076000000006E-2</v>
      </c>
      <c r="AG988" t="s">
        <v>95</v>
      </c>
      <c r="AX988" t="s">
        <v>108</v>
      </c>
      <c r="AY988" t="s">
        <v>617</v>
      </c>
      <c r="AZ988" t="s">
        <v>486</v>
      </c>
      <c r="BC988">
        <v>1</v>
      </c>
      <c r="BH988" t="s">
        <v>99</v>
      </c>
      <c r="BO988" t="s">
        <v>111</v>
      </c>
      <c r="CD988" t="s">
        <v>772</v>
      </c>
      <c r="CE988">
        <v>160529</v>
      </c>
      <c r="CF988" t="s">
        <v>773</v>
      </c>
      <c r="CG988" t="s">
        <v>774</v>
      </c>
      <c r="CH988">
        <v>2012</v>
      </c>
    </row>
    <row r="989" spans="1:86" hidden="1" x14ac:dyDescent="0.25">
      <c r="A989">
        <v>330541</v>
      </c>
      <c r="B989" t="s">
        <v>86</v>
      </c>
      <c r="D989" t="s">
        <v>105</v>
      </c>
      <c r="K989" t="s">
        <v>767</v>
      </c>
      <c r="L989" t="s">
        <v>89</v>
      </c>
      <c r="M989" t="s">
        <v>759</v>
      </c>
      <c r="N989" t="s">
        <v>118</v>
      </c>
      <c r="V989" t="s">
        <v>91</v>
      </c>
      <c r="W989" t="s">
        <v>92</v>
      </c>
      <c r="X989" t="s">
        <v>93</v>
      </c>
      <c r="Y989">
        <v>13</v>
      </c>
      <c r="Z989" t="s">
        <v>137</v>
      </c>
      <c r="AB989">
        <v>7.6922076000000004E-4</v>
      </c>
      <c r="AG989" t="s">
        <v>95</v>
      </c>
      <c r="AX989" t="s">
        <v>108</v>
      </c>
      <c r="AY989" t="s">
        <v>438</v>
      </c>
      <c r="AZ989" t="s">
        <v>486</v>
      </c>
      <c r="BC989">
        <v>8.3299999999999999E-2</v>
      </c>
      <c r="BH989" t="s">
        <v>99</v>
      </c>
      <c r="BO989" t="s">
        <v>111</v>
      </c>
      <c r="CD989" t="s">
        <v>772</v>
      </c>
      <c r="CE989">
        <v>160529</v>
      </c>
      <c r="CF989" t="s">
        <v>773</v>
      </c>
      <c r="CG989" t="s">
        <v>774</v>
      </c>
      <c r="CH989">
        <v>2012</v>
      </c>
    </row>
    <row r="990" spans="1:86" hidden="1" x14ac:dyDescent="0.25">
      <c r="A990">
        <v>330541</v>
      </c>
      <c r="B990" t="s">
        <v>86</v>
      </c>
      <c r="D990" t="s">
        <v>105</v>
      </c>
      <c r="K990" t="s">
        <v>767</v>
      </c>
      <c r="L990" t="s">
        <v>89</v>
      </c>
      <c r="M990" t="s">
        <v>759</v>
      </c>
      <c r="N990" t="s">
        <v>118</v>
      </c>
      <c r="V990" t="s">
        <v>91</v>
      </c>
      <c r="W990" t="s">
        <v>92</v>
      </c>
      <c r="X990" t="s">
        <v>93</v>
      </c>
      <c r="Y990">
        <v>13</v>
      </c>
      <c r="Z990" t="s">
        <v>137</v>
      </c>
      <c r="AB990">
        <v>1.5384415199999999E-2</v>
      </c>
      <c r="AG990" t="s">
        <v>95</v>
      </c>
      <c r="AX990" t="s">
        <v>108</v>
      </c>
      <c r="AY990" t="s">
        <v>532</v>
      </c>
      <c r="AZ990" t="s">
        <v>486</v>
      </c>
      <c r="BC990">
        <v>0.25</v>
      </c>
      <c r="BH990" t="s">
        <v>99</v>
      </c>
      <c r="BO990" t="s">
        <v>111</v>
      </c>
      <c r="CD990" t="s">
        <v>772</v>
      </c>
      <c r="CE990">
        <v>160529</v>
      </c>
      <c r="CF990" t="s">
        <v>773</v>
      </c>
      <c r="CG990" t="s">
        <v>774</v>
      </c>
      <c r="CH990">
        <v>2012</v>
      </c>
    </row>
    <row r="991" spans="1:86" hidden="1" x14ac:dyDescent="0.25">
      <c r="A991">
        <v>330541</v>
      </c>
      <c r="B991" t="s">
        <v>86</v>
      </c>
      <c r="D991" t="s">
        <v>105</v>
      </c>
      <c r="K991" t="s">
        <v>767</v>
      </c>
      <c r="L991" t="s">
        <v>89</v>
      </c>
      <c r="M991" t="s">
        <v>759</v>
      </c>
      <c r="N991" t="s">
        <v>118</v>
      </c>
      <c r="V991" t="s">
        <v>91</v>
      </c>
      <c r="W991" t="s">
        <v>92</v>
      </c>
      <c r="X991" t="s">
        <v>93</v>
      </c>
      <c r="Y991">
        <v>13</v>
      </c>
      <c r="Z991" t="s">
        <v>137</v>
      </c>
      <c r="AB991">
        <v>2.3309720000000002E-3</v>
      </c>
      <c r="AG991" t="s">
        <v>95</v>
      </c>
      <c r="AX991" t="s">
        <v>108</v>
      </c>
      <c r="AY991" t="s">
        <v>438</v>
      </c>
      <c r="AZ991" t="s">
        <v>486</v>
      </c>
      <c r="BC991">
        <v>1</v>
      </c>
      <c r="BH991" t="s">
        <v>99</v>
      </c>
      <c r="BO991" t="s">
        <v>111</v>
      </c>
      <c r="CD991" t="s">
        <v>772</v>
      </c>
      <c r="CE991">
        <v>160529</v>
      </c>
      <c r="CF991" t="s">
        <v>773</v>
      </c>
      <c r="CG991" t="s">
        <v>774</v>
      </c>
      <c r="CH991">
        <v>2012</v>
      </c>
    </row>
    <row r="992" spans="1:86" hidden="1" x14ac:dyDescent="0.25">
      <c r="A992">
        <v>330541</v>
      </c>
      <c r="B992" t="s">
        <v>86</v>
      </c>
      <c r="D992" t="s">
        <v>105</v>
      </c>
      <c r="K992" t="s">
        <v>767</v>
      </c>
      <c r="L992" t="s">
        <v>89</v>
      </c>
      <c r="M992" t="s">
        <v>759</v>
      </c>
      <c r="N992" t="s">
        <v>118</v>
      </c>
      <c r="V992" t="s">
        <v>91</v>
      </c>
      <c r="W992" t="s">
        <v>92</v>
      </c>
      <c r="X992" t="s">
        <v>93</v>
      </c>
      <c r="Y992">
        <v>13</v>
      </c>
      <c r="Z992" t="s">
        <v>137</v>
      </c>
      <c r="AB992">
        <v>7.6922075999999997E-3</v>
      </c>
      <c r="AG992" t="s">
        <v>95</v>
      </c>
      <c r="AX992" t="s">
        <v>108</v>
      </c>
      <c r="AY992" t="s">
        <v>438</v>
      </c>
      <c r="AZ992" t="s">
        <v>486</v>
      </c>
      <c r="BC992">
        <v>1</v>
      </c>
      <c r="BH992" t="s">
        <v>99</v>
      </c>
      <c r="BO992" t="s">
        <v>111</v>
      </c>
      <c r="CD992" t="s">
        <v>772</v>
      </c>
      <c r="CE992">
        <v>160529</v>
      </c>
      <c r="CF992" t="s">
        <v>773</v>
      </c>
      <c r="CG992" t="s">
        <v>774</v>
      </c>
      <c r="CH992">
        <v>2012</v>
      </c>
    </row>
    <row r="993" spans="1:86" hidden="1" x14ac:dyDescent="0.25">
      <c r="A993">
        <v>330541</v>
      </c>
      <c r="B993" t="s">
        <v>86</v>
      </c>
      <c r="D993" t="s">
        <v>115</v>
      </c>
      <c r="K993" t="s">
        <v>767</v>
      </c>
      <c r="L993" t="s">
        <v>89</v>
      </c>
      <c r="M993" t="s">
        <v>759</v>
      </c>
      <c r="V993" t="s">
        <v>91</v>
      </c>
      <c r="W993" t="s">
        <v>92</v>
      </c>
      <c r="X993" t="s">
        <v>93</v>
      </c>
      <c r="Y993">
        <v>2</v>
      </c>
      <c r="Z993" t="s">
        <v>137</v>
      </c>
      <c r="AB993">
        <v>1.165486</v>
      </c>
      <c r="AG993" t="s">
        <v>95</v>
      </c>
      <c r="AX993" t="s">
        <v>144</v>
      </c>
      <c r="AY993" t="s">
        <v>438</v>
      </c>
      <c r="AZ993" t="s">
        <v>486</v>
      </c>
      <c r="BC993">
        <v>1.04E-2</v>
      </c>
      <c r="BH993" t="s">
        <v>99</v>
      </c>
      <c r="BO993" t="s">
        <v>111</v>
      </c>
      <c r="CD993" t="s">
        <v>868</v>
      </c>
      <c r="CE993">
        <v>172734</v>
      </c>
      <c r="CF993" t="s">
        <v>869</v>
      </c>
      <c r="CG993" t="s">
        <v>870</v>
      </c>
      <c r="CH993">
        <v>2014</v>
      </c>
    </row>
    <row r="994" spans="1:86" hidden="1" x14ac:dyDescent="0.25">
      <c r="A994">
        <v>330541</v>
      </c>
      <c r="B994" t="s">
        <v>86</v>
      </c>
      <c r="D994" t="s">
        <v>115</v>
      </c>
      <c r="K994" t="s">
        <v>872</v>
      </c>
      <c r="L994" t="s">
        <v>143</v>
      </c>
      <c r="M994" t="s">
        <v>759</v>
      </c>
      <c r="N994" t="s">
        <v>118</v>
      </c>
      <c r="V994" t="s">
        <v>91</v>
      </c>
      <c r="W994" t="s">
        <v>92</v>
      </c>
      <c r="X994" t="s">
        <v>93</v>
      </c>
      <c r="Y994">
        <v>4</v>
      </c>
      <c r="Z994" t="s">
        <v>137</v>
      </c>
      <c r="AB994">
        <v>6.9929160000000004E-2</v>
      </c>
      <c r="AG994" t="s">
        <v>95</v>
      </c>
      <c r="AX994" t="s">
        <v>196</v>
      </c>
      <c r="AY994" t="s">
        <v>883</v>
      </c>
      <c r="AZ994" t="s">
        <v>486</v>
      </c>
      <c r="BC994">
        <v>7</v>
      </c>
      <c r="BH994" t="s">
        <v>99</v>
      </c>
      <c r="BO994" t="s">
        <v>111</v>
      </c>
      <c r="CD994" t="s">
        <v>884</v>
      </c>
      <c r="CE994">
        <v>101991</v>
      </c>
      <c r="CF994" t="s">
        <v>885</v>
      </c>
      <c r="CG994" t="s">
        <v>886</v>
      </c>
      <c r="CH994">
        <v>2006</v>
      </c>
    </row>
    <row r="995" spans="1:86" hidden="1" x14ac:dyDescent="0.25">
      <c r="A995">
        <v>330541</v>
      </c>
      <c r="B995" t="s">
        <v>86</v>
      </c>
      <c r="D995" t="s">
        <v>105</v>
      </c>
      <c r="K995" t="s">
        <v>767</v>
      </c>
      <c r="L995" t="s">
        <v>89</v>
      </c>
      <c r="M995" t="s">
        <v>759</v>
      </c>
      <c r="N995" t="s">
        <v>118</v>
      </c>
      <c r="V995" t="s">
        <v>91</v>
      </c>
      <c r="W995" t="s">
        <v>92</v>
      </c>
      <c r="X995" t="s">
        <v>93</v>
      </c>
      <c r="Y995">
        <v>13</v>
      </c>
      <c r="Z995" t="s">
        <v>137</v>
      </c>
      <c r="AB995">
        <v>2.3309719999999999E-5</v>
      </c>
      <c r="AG995" t="s">
        <v>95</v>
      </c>
      <c r="AX995" t="s">
        <v>201</v>
      </c>
      <c r="AY995" t="s">
        <v>490</v>
      </c>
      <c r="AZ995" t="s">
        <v>486</v>
      </c>
      <c r="BC995">
        <v>0.25</v>
      </c>
      <c r="BH995" t="s">
        <v>99</v>
      </c>
      <c r="BO995" t="s">
        <v>111</v>
      </c>
      <c r="CD995" t="s">
        <v>772</v>
      </c>
      <c r="CE995">
        <v>160529</v>
      </c>
      <c r="CF995" t="s">
        <v>773</v>
      </c>
      <c r="CG995" t="s">
        <v>774</v>
      </c>
      <c r="CH995">
        <v>2012</v>
      </c>
    </row>
    <row r="996" spans="1:86" hidden="1" x14ac:dyDescent="0.25">
      <c r="A996">
        <v>330541</v>
      </c>
      <c r="B996" t="s">
        <v>86</v>
      </c>
      <c r="D996" t="s">
        <v>105</v>
      </c>
      <c r="K996" t="s">
        <v>767</v>
      </c>
      <c r="L996" t="s">
        <v>89</v>
      </c>
      <c r="M996" t="s">
        <v>759</v>
      </c>
      <c r="N996" t="s">
        <v>118</v>
      </c>
      <c r="V996" t="s">
        <v>91</v>
      </c>
      <c r="W996" t="s">
        <v>92</v>
      </c>
      <c r="X996" t="s">
        <v>93</v>
      </c>
      <c r="Y996">
        <v>13</v>
      </c>
      <c r="Z996" t="s">
        <v>137</v>
      </c>
      <c r="AB996">
        <v>2.3309720000000002E-3</v>
      </c>
      <c r="AG996" t="s">
        <v>95</v>
      </c>
      <c r="AX996" t="s">
        <v>201</v>
      </c>
      <c r="AY996" t="s">
        <v>490</v>
      </c>
      <c r="AZ996" t="s">
        <v>486</v>
      </c>
      <c r="BC996">
        <v>1</v>
      </c>
      <c r="BH996" t="s">
        <v>99</v>
      </c>
      <c r="BO996" t="s">
        <v>111</v>
      </c>
      <c r="CD996" t="s">
        <v>772</v>
      </c>
      <c r="CE996">
        <v>160529</v>
      </c>
      <c r="CF996" t="s">
        <v>773</v>
      </c>
      <c r="CG996" t="s">
        <v>774</v>
      </c>
      <c r="CH996">
        <v>2012</v>
      </c>
    </row>
    <row r="997" spans="1:86" hidden="1" x14ac:dyDescent="0.25">
      <c r="A997">
        <v>330541</v>
      </c>
      <c r="B997" t="s">
        <v>86</v>
      </c>
      <c r="D997" t="s">
        <v>115</v>
      </c>
      <c r="K997" t="s">
        <v>771</v>
      </c>
      <c r="L997" t="s">
        <v>89</v>
      </c>
      <c r="M997" t="s">
        <v>759</v>
      </c>
      <c r="N997" t="s">
        <v>118</v>
      </c>
      <c r="V997" t="s">
        <v>91</v>
      </c>
      <c r="W997" t="s">
        <v>107</v>
      </c>
      <c r="X997" t="s">
        <v>93</v>
      </c>
      <c r="Y997">
        <v>2</v>
      </c>
      <c r="Z997" t="s">
        <v>137</v>
      </c>
      <c r="AB997">
        <v>0.01</v>
      </c>
      <c r="AG997" t="s">
        <v>95</v>
      </c>
      <c r="AX997" t="s">
        <v>108</v>
      </c>
      <c r="AY997" t="s">
        <v>160</v>
      </c>
      <c r="AZ997" t="s">
        <v>486</v>
      </c>
      <c r="BC997">
        <v>4</v>
      </c>
      <c r="BH997" t="s">
        <v>99</v>
      </c>
      <c r="BO997" t="s">
        <v>111</v>
      </c>
      <c r="CD997" t="s">
        <v>832</v>
      </c>
      <c r="CE997">
        <v>165272</v>
      </c>
      <c r="CF997" t="s">
        <v>833</v>
      </c>
      <c r="CG997" t="s">
        <v>834</v>
      </c>
      <c r="CH997">
        <v>2013</v>
      </c>
    </row>
    <row r="998" spans="1:86" hidden="1" x14ac:dyDescent="0.25">
      <c r="A998">
        <v>330541</v>
      </c>
      <c r="B998" t="s">
        <v>86</v>
      </c>
      <c r="D998" t="s">
        <v>115</v>
      </c>
      <c r="K998" t="s">
        <v>771</v>
      </c>
      <c r="L998" t="s">
        <v>89</v>
      </c>
      <c r="M998" t="s">
        <v>759</v>
      </c>
      <c r="N998" t="s">
        <v>118</v>
      </c>
      <c r="V998" t="s">
        <v>91</v>
      </c>
      <c r="W998" t="s">
        <v>107</v>
      </c>
      <c r="X998" t="s">
        <v>93</v>
      </c>
      <c r="Y998">
        <v>2</v>
      </c>
      <c r="Z998" t="s">
        <v>137</v>
      </c>
      <c r="AB998">
        <v>0.01</v>
      </c>
      <c r="AG998" t="s">
        <v>95</v>
      </c>
      <c r="AX998" t="s">
        <v>201</v>
      </c>
      <c r="AY998" t="s">
        <v>871</v>
      </c>
      <c r="AZ998" t="s">
        <v>486</v>
      </c>
      <c r="BA998" t="s">
        <v>179</v>
      </c>
      <c r="BC998">
        <v>4</v>
      </c>
      <c r="BH998" t="s">
        <v>99</v>
      </c>
      <c r="BO998" t="s">
        <v>111</v>
      </c>
      <c r="CD998" t="s">
        <v>832</v>
      </c>
      <c r="CE998">
        <v>165272</v>
      </c>
      <c r="CF998" t="s">
        <v>833</v>
      </c>
      <c r="CG998" t="s">
        <v>834</v>
      </c>
      <c r="CH998">
        <v>2013</v>
      </c>
    </row>
    <row r="999" spans="1:86" hidden="1" x14ac:dyDescent="0.25">
      <c r="A999">
        <v>330541</v>
      </c>
      <c r="B999" t="s">
        <v>86</v>
      </c>
      <c r="C999" t="s">
        <v>104</v>
      </c>
      <c r="D999" t="s">
        <v>115</v>
      </c>
      <c r="K999" t="s">
        <v>758</v>
      </c>
      <c r="L999" t="s">
        <v>89</v>
      </c>
      <c r="M999" t="s">
        <v>759</v>
      </c>
      <c r="R999">
        <v>14</v>
      </c>
      <c r="T999">
        <v>28</v>
      </c>
      <c r="U999" t="s">
        <v>99</v>
      </c>
      <c r="V999" t="s">
        <v>91</v>
      </c>
      <c r="W999" t="s">
        <v>92</v>
      </c>
      <c r="X999" t="s">
        <v>93</v>
      </c>
      <c r="Z999" t="s">
        <v>94</v>
      </c>
      <c r="AB999" s="281">
        <v>5.0000000000000001E-4</v>
      </c>
      <c r="AG999" t="s">
        <v>95</v>
      </c>
      <c r="AX999" t="s">
        <v>108</v>
      </c>
      <c r="AY999" t="s">
        <v>109</v>
      </c>
      <c r="AZ999" t="s">
        <v>486</v>
      </c>
      <c r="BC999">
        <v>1.3899999999999999E-2</v>
      </c>
      <c r="BH999" t="s">
        <v>99</v>
      </c>
      <c r="BO999" t="s">
        <v>111</v>
      </c>
      <c r="CD999" t="s">
        <v>225</v>
      </c>
      <c r="CE999">
        <v>83755</v>
      </c>
      <c r="CF999" t="s">
        <v>226</v>
      </c>
      <c r="CG999" t="s">
        <v>227</v>
      </c>
      <c r="CH999">
        <v>2005</v>
      </c>
    </row>
    <row r="1000" spans="1:86" hidden="1" x14ac:dyDescent="0.25">
      <c r="A1000">
        <v>330541</v>
      </c>
      <c r="B1000" t="s">
        <v>86</v>
      </c>
      <c r="D1000" t="s">
        <v>115</v>
      </c>
      <c r="K1000" t="s">
        <v>771</v>
      </c>
      <c r="L1000" t="s">
        <v>89</v>
      </c>
      <c r="M1000" t="s">
        <v>759</v>
      </c>
      <c r="N1000" t="s">
        <v>118</v>
      </c>
      <c r="V1000" t="s">
        <v>91</v>
      </c>
      <c r="W1000" t="s">
        <v>107</v>
      </c>
      <c r="X1000" t="s">
        <v>93</v>
      </c>
      <c r="Y1000">
        <v>2</v>
      </c>
      <c r="Z1000" t="s">
        <v>137</v>
      </c>
      <c r="AB1000">
        <v>0.01</v>
      </c>
      <c r="AG1000" t="s">
        <v>95</v>
      </c>
      <c r="AX1000" t="s">
        <v>201</v>
      </c>
      <c r="AY1000" t="s">
        <v>120</v>
      </c>
      <c r="AZ1000" t="s">
        <v>486</v>
      </c>
      <c r="BA1000" t="s">
        <v>179</v>
      </c>
      <c r="BC1000">
        <v>4</v>
      </c>
      <c r="BH1000" t="s">
        <v>99</v>
      </c>
      <c r="BO1000" t="s">
        <v>111</v>
      </c>
      <c r="CD1000" t="s">
        <v>832</v>
      </c>
      <c r="CE1000">
        <v>165272</v>
      </c>
      <c r="CF1000" t="s">
        <v>833</v>
      </c>
      <c r="CG1000" t="s">
        <v>834</v>
      </c>
      <c r="CH1000">
        <v>2013</v>
      </c>
    </row>
    <row r="1001" spans="1:86" hidden="1" x14ac:dyDescent="0.25">
      <c r="A1001">
        <v>330541</v>
      </c>
      <c r="B1001" t="s">
        <v>86</v>
      </c>
      <c r="D1001" t="s">
        <v>115</v>
      </c>
      <c r="K1001" t="s">
        <v>771</v>
      </c>
      <c r="L1001" t="s">
        <v>89</v>
      </c>
      <c r="M1001" t="s">
        <v>759</v>
      </c>
      <c r="N1001" t="s">
        <v>118</v>
      </c>
      <c r="V1001" t="s">
        <v>91</v>
      </c>
      <c r="W1001" t="s">
        <v>107</v>
      </c>
      <c r="X1001" t="s">
        <v>93</v>
      </c>
      <c r="Y1001">
        <v>2</v>
      </c>
      <c r="Z1001" t="s">
        <v>137</v>
      </c>
      <c r="AB1001">
        <v>0.01</v>
      </c>
      <c r="AG1001" t="s">
        <v>95</v>
      </c>
      <c r="AX1001" t="s">
        <v>108</v>
      </c>
      <c r="AY1001" t="s">
        <v>160</v>
      </c>
      <c r="AZ1001" t="s">
        <v>486</v>
      </c>
      <c r="BC1001">
        <v>4</v>
      </c>
      <c r="BH1001" t="s">
        <v>99</v>
      </c>
      <c r="BO1001" t="s">
        <v>111</v>
      </c>
      <c r="CD1001" t="s">
        <v>832</v>
      </c>
      <c r="CE1001">
        <v>165272</v>
      </c>
      <c r="CF1001" t="s">
        <v>833</v>
      </c>
      <c r="CG1001" t="s">
        <v>834</v>
      </c>
      <c r="CH1001">
        <v>2013</v>
      </c>
    </row>
    <row r="1002" spans="1:86" hidden="1" x14ac:dyDescent="0.25">
      <c r="A1002">
        <v>330541</v>
      </c>
      <c r="B1002" t="s">
        <v>86</v>
      </c>
      <c r="D1002" t="s">
        <v>115</v>
      </c>
      <c r="K1002" t="s">
        <v>771</v>
      </c>
      <c r="L1002" t="s">
        <v>89</v>
      </c>
      <c r="M1002" t="s">
        <v>759</v>
      </c>
      <c r="N1002" t="s">
        <v>118</v>
      </c>
      <c r="V1002" t="s">
        <v>91</v>
      </c>
      <c r="W1002" t="s">
        <v>107</v>
      </c>
      <c r="X1002" t="s">
        <v>93</v>
      </c>
      <c r="Y1002">
        <v>2</v>
      </c>
      <c r="Z1002" t="s">
        <v>137</v>
      </c>
      <c r="AB1002">
        <v>0.01</v>
      </c>
      <c r="AG1002" t="s">
        <v>95</v>
      </c>
      <c r="AX1002" t="s">
        <v>201</v>
      </c>
      <c r="AY1002" t="s">
        <v>871</v>
      </c>
      <c r="AZ1002" t="s">
        <v>486</v>
      </c>
      <c r="BA1002" t="s">
        <v>179</v>
      </c>
      <c r="BC1002">
        <v>4</v>
      </c>
      <c r="BH1002" t="s">
        <v>99</v>
      </c>
      <c r="BO1002" t="s">
        <v>111</v>
      </c>
      <c r="CD1002" t="s">
        <v>832</v>
      </c>
      <c r="CE1002">
        <v>165272</v>
      </c>
      <c r="CF1002" t="s">
        <v>833</v>
      </c>
      <c r="CG1002" t="s">
        <v>834</v>
      </c>
      <c r="CH1002">
        <v>2013</v>
      </c>
    </row>
    <row r="1003" spans="1:86" hidden="1" x14ac:dyDescent="0.25">
      <c r="A1003">
        <v>330541</v>
      </c>
      <c r="B1003" t="s">
        <v>86</v>
      </c>
      <c r="D1003" t="s">
        <v>115</v>
      </c>
      <c r="K1003" t="s">
        <v>771</v>
      </c>
      <c r="L1003" t="s">
        <v>89</v>
      </c>
      <c r="M1003" t="s">
        <v>759</v>
      </c>
      <c r="N1003" t="s">
        <v>118</v>
      </c>
      <c r="V1003" t="s">
        <v>91</v>
      </c>
      <c r="W1003" t="s">
        <v>107</v>
      </c>
      <c r="X1003" t="s">
        <v>93</v>
      </c>
      <c r="Y1003">
        <v>2</v>
      </c>
      <c r="Z1003" t="s">
        <v>137</v>
      </c>
      <c r="AB1003">
        <v>0.01</v>
      </c>
      <c r="AG1003" t="s">
        <v>95</v>
      </c>
      <c r="AX1003" t="s">
        <v>108</v>
      </c>
      <c r="AY1003" t="s">
        <v>150</v>
      </c>
      <c r="AZ1003" t="s">
        <v>486</v>
      </c>
      <c r="BC1003">
        <v>4</v>
      </c>
      <c r="BH1003" t="s">
        <v>99</v>
      </c>
      <c r="BO1003" t="s">
        <v>111</v>
      </c>
      <c r="CD1003" t="s">
        <v>832</v>
      </c>
      <c r="CE1003">
        <v>165272</v>
      </c>
      <c r="CF1003" t="s">
        <v>833</v>
      </c>
      <c r="CG1003" t="s">
        <v>834</v>
      </c>
      <c r="CH1003">
        <v>2013</v>
      </c>
    </row>
    <row r="1004" spans="1:86" hidden="1" x14ac:dyDescent="0.25">
      <c r="A1004">
        <v>330541</v>
      </c>
      <c r="B1004" t="s">
        <v>86</v>
      </c>
      <c r="D1004" t="s">
        <v>115</v>
      </c>
      <c r="K1004" t="s">
        <v>771</v>
      </c>
      <c r="L1004" t="s">
        <v>89</v>
      </c>
      <c r="M1004" t="s">
        <v>759</v>
      </c>
      <c r="N1004" t="s">
        <v>118</v>
      </c>
      <c r="V1004" t="s">
        <v>91</v>
      </c>
      <c r="W1004" t="s">
        <v>107</v>
      </c>
      <c r="X1004" t="s">
        <v>93</v>
      </c>
      <c r="Y1004">
        <v>2</v>
      </c>
      <c r="Z1004" t="s">
        <v>137</v>
      </c>
      <c r="AB1004">
        <v>0.01</v>
      </c>
      <c r="AG1004" t="s">
        <v>95</v>
      </c>
      <c r="AX1004" t="s">
        <v>201</v>
      </c>
      <c r="AY1004" t="s">
        <v>542</v>
      </c>
      <c r="AZ1004" t="s">
        <v>486</v>
      </c>
      <c r="BA1004" t="s">
        <v>179</v>
      </c>
      <c r="BC1004">
        <v>4</v>
      </c>
      <c r="BH1004" t="s">
        <v>99</v>
      </c>
      <c r="BO1004" t="s">
        <v>111</v>
      </c>
      <c r="CD1004" t="s">
        <v>832</v>
      </c>
      <c r="CE1004">
        <v>165272</v>
      </c>
      <c r="CF1004" t="s">
        <v>833</v>
      </c>
      <c r="CG1004" t="s">
        <v>834</v>
      </c>
      <c r="CH1004">
        <v>2013</v>
      </c>
    </row>
    <row r="1005" spans="1:86" hidden="1" x14ac:dyDescent="0.25">
      <c r="A1005">
        <v>330541</v>
      </c>
      <c r="B1005" t="s">
        <v>86</v>
      </c>
      <c r="D1005" t="s">
        <v>115</v>
      </c>
      <c r="K1005" t="s">
        <v>872</v>
      </c>
      <c r="L1005" t="s">
        <v>143</v>
      </c>
      <c r="M1005" t="s">
        <v>759</v>
      </c>
      <c r="N1005" t="s">
        <v>118</v>
      </c>
      <c r="V1005" t="s">
        <v>91</v>
      </c>
      <c r="W1005" t="s">
        <v>92</v>
      </c>
      <c r="X1005" t="s">
        <v>93</v>
      </c>
      <c r="Y1005">
        <v>4</v>
      </c>
      <c r="Z1005" t="s">
        <v>137</v>
      </c>
      <c r="AB1005">
        <v>6.9929160000000004E-2</v>
      </c>
      <c r="AG1005" t="s">
        <v>95</v>
      </c>
      <c r="AX1005" t="s">
        <v>196</v>
      </c>
      <c r="AY1005" t="s">
        <v>883</v>
      </c>
      <c r="AZ1005" t="s">
        <v>555</v>
      </c>
      <c r="BC1005">
        <v>7</v>
      </c>
      <c r="BH1005" t="s">
        <v>99</v>
      </c>
      <c r="BO1005" t="s">
        <v>111</v>
      </c>
      <c r="CD1005" t="s">
        <v>884</v>
      </c>
      <c r="CE1005">
        <v>101991</v>
      </c>
      <c r="CF1005" t="s">
        <v>885</v>
      </c>
      <c r="CG1005" t="s">
        <v>886</v>
      </c>
      <c r="CH1005">
        <v>2006</v>
      </c>
    </row>
    <row r="1006" spans="1:86" hidden="1" x14ac:dyDescent="0.25">
      <c r="A1006">
        <v>330541</v>
      </c>
      <c r="B1006" t="s">
        <v>86</v>
      </c>
      <c r="D1006" t="s">
        <v>105</v>
      </c>
      <c r="K1006" t="s">
        <v>767</v>
      </c>
      <c r="L1006" t="s">
        <v>89</v>
      </c>
      <c r="M1006" t="s">
        <v>759</v>
      </c>
      <c r="N1006" t="s">
        <v>118</v>
      </c>
      <c r="V1006" t="s">
        <v>91</v>
      </c>
      <c r="W1006" t="s">
        <v>92</v>
      </c>
      <c r="X1006" t="s">
        <v>93</v>
      </c>
      <c r="Y1006">
        <v>13</v>
      </c>
      <c r="Z1006" t="s">
        <v>137</v>
      </c>
      <c r="AB1006">
        <v>1.5384415199999999E-2</v>
      </c>
      <c r="AG1006" t="s">
        <v>95</v>
      </c>
      <c r="AX1006" t="s">
        <v>282</v>
      </c>
      <c r="AY1006" t="s">
        <v>806</v>
      </c>
      <c r="AZ1006" t="s">
        <v>586</v>
      </c>
      <c r="BC1006">
        <v>8.3299999999999999E-2</v>
      </c>
      <c r="BH1006" t="s">
        <v>99</v>
      </c>
      <c r="BO1006" t="s">
        <v>111</v>
      </c>
      <c r="CD1006" t="s">
        <v>772</v>
      </c>
      <c r="CE1006">
        <v>160529</v>
      </c>
      <c r="CF1006" t="s">
        <v>773</v>
      </c>
      <c r="CG1006" t="s">
        <v>774</v>
      </c>
      <c r="CH1006">
        <v>2012</v>
      </c>
    </row>
    <row r="1007" spans="1:86" hidden="1" x14ac:dyDescent="0.25">
      <c r="A1007">
        <v>330541</v>
      </c>
      <c r="B1007" t="s">
        <v>86</v>
      </c>
      <c r="D1007" t="s">
        <v>115</v>
      </c>
      <c r="K1007" t="s">
        <v>767</v>
      </c>
      <c r="L1007" t="s">
        <v>89</v>
      </c>
      <c r="M1007" t="s">
        <v>759</v>
      </c>
      <c r="V1007" t="s">
        <v>91</v>
      </c>
      <c r="W1007" t="s">
        <v>92</v>
      </c>
      <c r="X1007" t="s">
        <v>93</v>
      </c>
      <c r="Y1007">
        <v>2</v>
      </c>
      <c r="Z1007" t="s">
        <v>137</v>
      </c>
      <c r="AB1007">
        <v>1.165486</v>
      </c>
      <c r="AG1007" t="s">
        <v>95</v>
      </c>
      <c r="AX1007" t="s">
        <v>615</v>
      </c>
      <c r="AY1007" t="s">
        <v>887</v>
      </c>
      <c r="AZ1007" t="s">
        <v>586</v>
      </c>
      <c r="BC1007">
        <v>4.1700000000000001E-2</v>
      </c>
      <c r="BH1007" t="s">
        <v>99</v>
      </c>
      <c r="BO1007" t="s">
        <v>111</v>
      </c>
      <c r="CD1007" t="s">
        <v>868</v>
      </c>
      <c r="CE1007">
        <v>172734</v>
      </c>
      <c r="CF1007" t="s">
        <v>869</v>
      </c>
      <c r="CG1007" t="s">
        <v>870</v>
      </c>
      <c r="CH1007">
        <v>2014</v>
      </c>
    </row>
    <row r="1008" spans="1:86" hidden="1" x14ac:dyDescent="0.25">
      <c r="A1008">
        <v>330541</v>
      </c>
      <c r="B1008" t="s">
        <v>86</v>
      </c>
      <c r="D1008" t="s">
        <v>115</v>
      </c>
      <c r="K1008" t="s">
        <v>767</v>
      </c>
      <c r="L1008" t="s">
        <v>89</v>
      </c>
      <c r="M1008" t="s">
        <v>759</v>
      </c>
      <c r="V1008" t="s">
        <v>91</v>
      </c>
      <c r="W1008" t="s">
        <v>92</v>
      </c>
      <c r="X1008" t="s">
        <v>93</v>
      </c>
      <c r="Y1008">
        <v>2</v>
      </c>
      <c r="Z1008" t="s">
        <v>137</v>
      </c>
      <c r="AB1008">
        <v>1.165486</v>
      </c>
      <c r="AG1008" t="s">
        <v>95</v>
      </c>
      <c r="AX1008" t="s">
        <v>615</v>
      </c>
      <c r="AY1008" t="s">
        <v>888</v>
      </c>
      <c r="AZ1008" t="s">
        <v>586</v>
      </c>
      <c r="BC1008">
        <v>4.1700000000000001E-2</v>
      </c>
      <c r="BH1008" t="s">
        <v>99</v>
      </c>
      <c r="BO1008" t="s">
        <v>111</v>
      </c>
      <c r="CD1008" t="s">
        <v>868</v>
      </c>
      <c r="CE1008">
        <v>172734</v>
      </c>
      <c r="CF1008" t="s">
        <v>869</v>
      </c>
      <c r="CG1008" t="s">
        <v>870</v>
      </c>
      <c r="CH1008">
        <v>2014</v>
      </c>
    </row>
    <row r="1009" spans="1:86" hidden="1" x14ac:dyDescent="0.25">
      <c r="A1009">
        <v>330541</v>
      </c>
      <c r="B1009" t="s">
        <v>86</v>
      </c>
      <c r="D1009" t="s">
        <v>115</v>
      </c>
      <c r="K1009" t="s">
        <v>767</v>
      </c>
      <c r="L1009" t="s">
        <v>89</v>
      </c>
      <c r="M1009" t="s">
        <v>759</v>
      </c>
      <c r="V1009" t="s">
        <v>91</v>
      </c>
      <c r="W1009" t="s">
        <v>92</v>
      </c>
      <c r="X1009" t="s">
        <v>93</v>
      </c>
      <c r="Y1009">
        <v>2</v>
      </c>
      <c r="Z1009" t="s">
        <v>137</v>
      </c>
      <c r="AB1009">
        <v>1.165486</v>
      </c>
      <c r="AG1009" t="s">
        <v>95</v>
      </c>
      <c r="AX1009" t="s">
        <v>615</v>
      </c>
      <c r="AY1009" t="s">
        <v>889</v>
      </c>
      <c r="AZ1009" t="s">
        <v>586</v>
      </c>
      <c r="BC1009">
        <v>4.1700000000000001E-2</v>
      </c>
      <c r="BH1009" t="s">
        <v>99</v>
      </c>
      <c r="BO1009" t="s">
        <v>111</v>
      </c>
      <c r="CD1009" t="s">
        <v>868</v>
      </c>
      <c r="CE1009">
        <v>172734</v>
      </c>
      <c r="CF1009" t="s">
        <v>869</v>
      </c>
      <c r="CG1009" t="s">
        <v>870</v>
      </c>
      <c r="CH1009">
        <v>2014</v>
      </c>
    </row>
    <row r="1010" spans="1:86" hidden="1" x14ac:dyDescent="0.25">
      <c r="A1010">
        <v>330541</v>
      </c>
      <c r="B1010" t="s">
        <v>86</v>
      </c>
      <c r="C1010" t="s">
        <v>104</v>
      </c>
      <c r="D1010" t="s">
        <v>87</v>
      </c>
      <c r="F1010">
        <v>99</v>
      </c>
      <c r="K1010" t="s">
        <v>765</v>
      </c>
      <c r="L1010" t="s">
        <v>143</v>
      </c>
      <c r="M1010" t="s">
        <v>759</v>
      </c>
      <c r="N1010" t="s">
        <v>118</v>
      </c>
      <c r="V1010" t="s">
        <v>91</v>
      </c>
      <c r="W1010" t="s">
        <v>107</v>
      </c>
      <c r="X1010" t="s">
        <v>93</v>
      </c>
      <c r="Y1010">
        <v>5</v>
      </c>
      <c r="Z1010" t="s">
        <v>94</v>
      </c>
      <c r="AB1010" s="281">
        <v>2.1000000000000001E-4</v>
      </c>
      <c r="AG1010" t="s">
        <v>95</v>
      </c>
      <c r="AX1010" t="s">
        <v>108</v>
      </c>
      <c r="AY1010" t="s">
        <v>150</v>
      </c>
      <c r="AZ1010" t="s">
        <v>586</v>
      </c>
      <c r="BC1010">
        <v>3</v>
      </c>
      <c r="BH1010" t="s">
        <v>99</v>
      </c>
      <c r="BO1010" t="s">
        <v>111</v>
      </c>
      <c r="CD1010" t="s">
        <v>348</v>
      </c>
      <c r="CE1010">
        <v>98904</v>
      </c>
      <c r="CF1010" t="s">
        <v>349</v>
      </c>
      <c r="CG1010" t="s">
        <v>350</v>
      </c>
      <c r="CH1010">
        <v>2005</v>
      </c>
    </row>
    <row r="1011" spans="1:86" hidden="1" x14ac:dyDescent="0.25">
      <c r="A1011">
        <v>330541</v>
      </c>
      <c r="B1011" t="s">
        <v>86</v>
      </c>
      <c r="D1011" t="s">
        <v>115</v>
      </c>
      <c r="K1011" t="s">
        <v>781</v>
      </c>
      <c r="L1011" t="s">
        <v>89</v>
      </c>
      <c r="M1011" t="s">
        <v>759</v>
      </c>
      <c r="V1011" t="s">
        <v>91</v>
      </c>
      <c r="W1011" t="s">
        <v>92</v>
      </c>
      <c r="X1011" t="s">
        <v>93</v>
      </c>
      <c r="Z1011" t="s">
        <v>137</v>
      </c>
      <c r="AB1011">
        <v>4.0000000000000001E-3</v>
      </c>
      <c r="AG1011" t="s">
        <v>95</v>
      </c>
      <c r="AX1011" t="s">
        <v>144</v>
      </c>
      <c r="AY1011" t="s">
        <v>109</v>
      </c>
      <c r="AZ1011" t="s">
        <v>586</v>
      </c>
      <c r="BC1011">
        <v>1</v>
      </c>
      <c r="BH1011" t="s">
        <v>99</v>
      </c>
      <c r="BO1011" t="s">
        <v>111</v>
      </c>
      <c r="CD1011" t="s">
        <v>839</v>
      </c>
      <c r="CE1011">
        <v>4008</v>
      </c>
      <c r="CF1011" t="s">
        <v>840</v>
      </c>
      <c r="CG1011" t="s">
        <v>841</v>
      </c>
      <c r="CH1011">
        <v>1994</v>
      </c>
    </row>
    <row r="1012" spans="1:86" hidden="1" x14ac:dyDescent="0.25">
      <c r="A1012">
        <v>330541</v>
      </c>
      <c r="B1012" t="s">
        <v>86</v>
      </c>
      <c r="D1012" t="s">
        <v>115</v>
      </c>
      <c r="K1012" t="s">
        <v>767</v>
      </c>
      <c r="L1012" t="s">
        <v>89</v>
      </c>
      <c r="M1012" t="s">
        <v>759</v>
      </c>
      <c r="V1012" t="s">
        <v>91</v>
      </c>
      <c r="W1012" t="s">
        <v>92</v>
      </c>
      <c r="X1012" t="s">
        <v>93</v>
      </c>
      <c r="Y1012">
        <v>2</v>
      </c>
      <c r="Z1012" t="s">
        <v>137</v>
      </c>
      <c r="AB1012">
        <v>1.165486</v>
      </c>
      <c r="AG1012" t="s">
        <v>95</v>
      </c>
      <c r="AX1012" t="s">
        <v>615</v>
      </c>
      <c r="AY1012" t="s">
        <v>890</v>
      </c>
      <c r="AZ1012" t="s">
        <v>586</v>
      </c>
      <c r="BC1012">
        <v>4.1700000000000001E-2</v>
      </c>
      <c r="BH1012" t="s">
        <v>99</v>
      </c>
      <c r="BO1012" t="s">
        <v>111</v>
      </c>
      <c r="CD1012" t="s">
        <v>868</v>
      </c>
      <c r="CE1012">
        <v>172734</v>
      </c>
      <c r="CF1012" t="s">
        <v>869</v>
      </c>
      <c r="CG1012" t="s">
        <v>870</v>
      </c>
      <c r="CH1012">
        <v>2014</v>
      </c>
    </row>
    <row r="1013" spans="1:86" hidden="1" x14ac:dyDescent="0.25">
      <c r="A1013">
        <v>330541</v>
      </c>
      <c r="B1013" t="s">
        <v>86</v>
      </c>
      <c r="D1013" t="s">
        <v>105</v>
      </c>
      <c r="K1013" t="s">
        <v>767</v>
      </c>
      <c r="L1013" t="s">
        <v>89</v>
      </c>
      <c r="M1013" t="s">
        <v>759</v>
      </c>
      <c r="N1013" t="s">
        <v>118</v>
      </c>
      <c r="V1013" t="s">
        <v>91</v>
      </c>
      <c r="W1013" t="s">
        <v>92</v>
      </c>
      <c r="X1013" t="s">
        <v>93</v>
      </c>
      <c r="Y1013">
        <v>13</v>
      </c>
      <c r="Z1013" t="s">
        <v>137</v>
      </c>
      <c r="AB1013">
        <v>7.6922075999999997E-3</v>
      </c>
      <c r="AG1013" t="s">
        <v>95</v>
      </c>
      <c r="AX1013" t="s">
        <v>108</v>
      </c>
      <c r="AY1013" t="s">
        <v>532</v>
      </c>
      <c r="AZ1013" t="s">
        <v>586</v>
      </c>
      <c r="BC1013">
        <v>0.25</v>
      </c>
      <c r="BH1013" t="s">
        <v>99</v>
      </c>
      <c r="BO1013" t="s">
        <v>111</v>
      </c>
      <c r="CD1013" t="s">
        <v>772</v>
      </c>
      <c r="CE1013">
        <v>160529</v>
      </c>
      <c r="CF1013" t="s">
        <v>773</v>
      </c>
      <c r="CG1013" t="s">
        <v>774</v>
      </c>
      <c r="CH1013">
        <v>2012</v>
      </c>
    </row>
    <row r="1014" spans="1:86" hidden="1" x14ac:dyDescent="0.25">
      <c r="A1014">
        <v>330541</v>
      </c>
      <c r="B1014" t="s">
        <v>86</v>
      </c>
      <c r="D1014" t="s">
        <v>105</v>
      </c>
      <c r="K1014" t="s">
        <v>767</v>
      </c>
      <c r="L1014" t="s">
        <v>89</v>
      </c>
      <c r="M1014" t="s">
        <v>759</v>
      </c>
      <c r="N1014" t="s">
        <v>118</v>
      </c>
      <c r="V1014" t="s">
        <v>91</v>
      </c>
      <c r="W1014" t="s">
        <v>92</v>
      </c>
      <c r="X1014" t="s">
        <v>93</v>
      </c>
      <c r="Y1014">
        <v>13</v>
      </c>
      <c r="Z1014" t="s">
        <v>137</v>
      </c>
      <c r="AB1014">
        <v>2.3309720000000002E-3</v>
      </c>
      <c r="AG1014" t="s">
        <v>95</v>
      </c>
      <c r="AX1014" t="s">
        <v>108</v>
      </c>
      <c r="AY1014" t="s">
        <v>160</v>
      </c>
      <c r="AZ1014" t="s">
        <v>586</v>
      </c>
      <c r="BC1014">
        <v>1</v>
      </c>
      <c r="BH1014" t="s">
        <v>99</v>
      </c>
      <c r="BO1014" t="s">
        <v>111</v>
      </c>
      <c r="CD1014" t="s">
        <v>772</v>
      </c>
      <c r="CE1014">
        <v>160529</v>
      </c>
      <c r="CF1014" t="s">
        <v>773</v>
      </c>
      <c r="CG1014" t="s">
        <v>774</v>
      </c>
      <c r="CH1014">
        <v>2012</v>
      </c>
    </row>
    <row r="1015" spans="1:86" hidden="1" x14ac:dyDescent="0.25">
      <c r="A1015">
        <v>330541</v>
      </c>
      <c r="B1015" t="s">
        <v>86</v>
      </c>
      <c r="D1015" t="s">
        <v>115</v>
      </c>
      <c r="K1015" t="s">
        <v>781</v>
      </c>
      <c r="L1015" t="s">
        <v>89</v>
      </c>
      <c r="M1015" t="s">
        <v>759</v>
      </c>
      <c r="V1015" t="s">
        <v>91</v>
      </c>
      <c r="W1015" t="s">
        <v>92</v>
      </c>
      <c r="X1015" t="s">
        <v>93</v>
      </c>
      <c r="Z1015" t="s">
        <v>137</v>
      </c>
      <c r="AB1015">
        <v>0.01</v>
      </c>
      <c r="AG1015" t="s">
        <v>95</v>
      </c>
      <c r="AX1015" t="s">
        <v>108</v>
      </c>
      <c r="AY1015" t="s">
        <v>160</v>
      </c>
      <c r="AZ1015" t="s">
        <v>586</v>
      </c>
      <c r="BC1015">
        <v>3</v>
      </c>
      <c r="BH1015" t="s">
        <v>99</v>
      </c>
      <c r="BO1015" t="s">
        <v>111</v>
      </c>
      <c r="CD1015" t="s">
        <v>839</v>
      </c>
      <c r="CE1015">
        <v>4008</v>
      </c>
      <c r="CF1015" t="s">
        <v>840</v>
      </c>
      <c r="CG1015" t="s">
        <v>841</v>
      </c>
      <c r="CH1015">
        <v>1994</v>
      </c>
    </row>
    <row r="1016" spans="1:86" hidden="1" x14ac:dyDescent="0.25">
      <c r="A1016">
        <v>330541</v>
      </c>
      <c r="B1016" t="s">
        <v>86</v>
      </c>
      <c r="D1016" t="s">
        <v>115</v>
      </c>
      <c r="K1016" t="s">
        <v>767</v>
      </c>
      <c r="L1016" t="s">
        <v>89</v>
      </c>
      <c r="M1016" t="s">
        <v>759</v>
      </c>
      <c r="V1016" t="s">
        <v>91</v>
      </c>
      <c r="W1016" t="s">
        <v>92</v>
      </c>
      <c r="X1016" t="s">
        <v>93</v>
      </c>
      <c r="Y1016">
        <v>2</v>
      </c>
      <c r="Z1016" t="s">
        <v>137</v>
      </c>
      <c r="AB1016">
        <v>1.165486</v>
      </c>
      <c r="AG1016" t="s">
        <v>95</v>
      </c>
      <c r="AX1016" t="s">
        <v>615</v>
      </c>
      <c r="AY1016" t="s">
        <v>887</v>
      </c>
      <c r="AZ1016" t="s">
        <v>586</v>
      </c>
      <c r="BC1016">
        <v>4.1700000000000001E-2</v>
      </c>
      <c r="BH1016" t="s">
        <v>99</v>
      </c>
      <c r="BO1016" t="s">
        <v>111</v>
      </c>
      <c r="CD1016" t="s">
        <v>868</v>
      </c>
      <c r="CE1016">
        <v>172734</v>
      </c>
      <c r="CF1016" t="s">
        <v>869</v>
      </c>
      <c r="CG1016" t="s">
        <v>870</v>
      </c>
      <c r="CH1016">
        <v>2014</v>
      </c>
    </row>
    <row r="1017" spans="1:86" hidden="1" x14ac:dyDescent="0.25">
      <c r="A1017">
        <v>330541</v>
      </c>
      <c r="B1017" t="s">
        <v>86</v>
      </c>
      <c r="C1017" t="s">
        <v>158</v>
      </c>
      <c r="D1017" t="s">
        <v>115</v>
      </c>
      <c r="K1017" t="s">
        <v>872</v>
      </c>
      <c r="L1017" t="s">
        <v>143</v>
      </c>
      <c r="M1017" t="s">
        <v>759</v>
      </c>
      <c r="N1017" t="s">
        <v>118</v>
      </c>
      <c r="V1017" t="s">
        <v>168</v>
      </c>
      <c r="W1017" t="s">
        <v>92</v>
      </c>
      <c r="X1017" t="s">
        <v>93</v>
      </c>
      <c r="Y1017">
        <v>3</v>
      </c>
      <c r="Z1017" t="s">
        <v>94</v>
      </c>
      <c r="AB1017" s="281">
        <v>7.5</v>
      </c>
      <c r="AG1017" t="s">
        <v>95</v>
      </c>
      <c r="AX1017" t="s">
        <v>108</v>
      </c>
      <c r="AY1017" t="s">
        <v>160</v>
      </c>
      <c r="AZ1017" t="s">
        <v>586</v>
      </c>
      <c r="BC1017">
        <v>0.16669999999999999</v>
      </c>
      <c r="BH1017" t="s">
        <v>99</v>
      </c>
      <c r="BO1017" t="s">
        <v>111</v>
      </c>
      <c r="CD1017" t="s">
        <v>874</v>
      </c>
      <c r="CE1017">
        <v>165988</v>
      </c>
      <c r="CF1017" t="s">
        <v>875</v>
      </c>
      <c r="CG1017" t="s">
        <v>876</v>
      </c>
      <c r="CH1017">
        <v>2013</v>
      </c>
    </row>
    <row r="1018" spans="1:86" hidden="1" x14ac:dyDescent="0.25">
      <c r="A1018">
        <v>330541</v>
      </c>
      <c r="B1018" t="s">
        <v>86</v>
      </c>
      <c r="D1018" t="s">
        <v>115</v>
      </c>
      <c r="K1018" t="s">
        <v>781</v>
      </c>
      <c r="L1018" t="s">
        <v>89</v>
      </c>
      <c r="M1018" t="s">
        <v>759</v>
      </c>
      <c r="V1018" t="s">
        <v>91</v>
      </c>
      <c r="W1018" t="s">
        <v>92</v>
      </c>
      <c r="X1018" t="s">
        <v>93</v>
      </c>
      <c r="Z1018" t="s">
        <v>137</v>
      </c>
      <c r="AB1018">
        <v>7.0000000000000001E-3</v>
      </c>
      <c r="AG1018" t="s">
        <v>95</v>
      </c>
      <c r="AX1018" t="s">
        <v>108</v>
      </c>
      <c r="AY1018" t="s">
        <v>160</v>
      </c>
      <c r="AZ1018" t="s">
        <v>586</v>
      </c>
      <c r="BC1018">
        <v>1</v>
      </c>
      <c r="BH1018" t="s">
        <v>99</v>
      </c>
      <c r="BO1018" t="s">
        <v>111</v>
      </c>
      <c r="CD1018" t="s">
        <v>839</v>
      </c>
      <c r="CE1018">
        <v>4008</v>
      </c>
      <c r="CF1018" t="s">
        <v>840</v>
      </c>
      <c r="CG1018" t="s">
        <v>841</v>
      </c>
      <c r="CH1018">
        <v>1994</v>
      </c>
    </row>
    <row r="1019" spans="1:86" hidden="1" x14ac:dyDescent="0.25">
      <c r="A1019">
        <v>330541</v>
      </c>
      <c r="B1019" t="s">
        <v>86</v>
      </c>
      <c r="D1019" t="s">
        <v>115</v>
      </c>
      <c r="K1019" t="s">
        <v>767</v>
      </c>
      <c r="L1019" t="s">
        <v>89</v>
      </c>
      <c r="M1019" t="s">
        <v>759</v>
      </c>
      <c r="V1019" t="s">
        <v>91</v>
      </c>
      <c r="W1019" t="s">
        <v>92</v>
      </c>
      <c r="X1019" t="s">
        <v>93</v>
      </c>
      <c r="Y1019">
        <v>2</v>
      </c>
      <c r="Z1019" t="s">
        <v>137</v>
      </c>
      <c r="AB1019">
        <v>1.165486</v>
      </c>
      <c r="AG1019" t="s">
        <v>95</v>
      </c>
      <c r="AX1019" t="s">
        <v>615</v>
      </c>
      <c r="AY1019" t="s">
        <v>891</v>
      </c>
      <c r="AZ1019" t="s">
        <v>586</v>
      </c>
      <c r="BC1019">
        <v>4.1700000000000001E-2</v>
      </c>
      <c r="BH1019" t="s">
        <v>99</v>
      </c>
      <c r="BO1019" t="s">
        <v>111</v>
      </c>
      <c r="CD1019" t="s">
        <v>868</v>
      </c>
      <c r="CE1019">
        <v>172734</v>
      </c>
      <c r="CF1019" t="s">
        <v>869</v>
      </c>
      <c r="CG1019" t="s">
        <v>870</v>
      </c>
      <c r="CH1019">
        <v>2014</v>
      </c>
    </row>
    <row r="1020" spans="1:86" hidden="1" x14ac:dyDescent="0.25">
      <c r="A1020">
        <v>330541</v>
      </c>
      <c r="B1020" t="s">
        <v>86</v>
      </c>
      <c r="C1020" t="s">
        <v>104</v>
      </c>
      <c r="D1020" t="s">
        <v>115</v>
      </c>
      <c r="K1020" t="s">
        <v>758</v>
      </c>
      <c r="L1020" t="s">
        <v>89</v>
      </c>
      <c r="M1020" t="s">
        <v>759</v>
      </c>
      <c r="R1020">
        <v>14</v>
      </c>
      <c r="T1020">
        <v>28</v>
      </c>
      <c r="U1020" t="s">
        <v>99</v>
      </c>
      <c r="V1020" t="s">
        <v>91</v>
      </c>
      <c r="W1020" t="s">
        <v>92</v>
      </c>
      <c r="X1020" t="s">
        <v>93</v>
      </c>
      <c r="Z1020" t="s">
        <v>94</v>
      </c>
      <c r="AB1020" s="281">
        <v>1E-4</v>
      </c>
      <c r="AG1020" t="s">
        <v>95</v>
      </c>
      <c r="AX1020" t="s">
        <v>108</v>
      </c>
      <c r="AY1020" t="s">
        <v>109</v>
      </c>
      <c r="AZ1020" t="s">
        <v>586</v>
      </c>
      <c r="BC1020">
        <v>1.3899999999999999E-2</v>
      </c>
      <c r="BH1020" t="s">
        <v>99</v>
      </c>
      <c r="BO1020" t="s">
        <v>111</v>
      </c>
      <c r="CD1020" t="s">
        <v>225</v>
      </c>
      <c r="CE1020">
        <v>83755</v>
      </c>
      <c r="CF1020" t="s">
        <v>226</v>
      </c>
      <c r="CG1020" t="s">
        <v>227</v>
      </c>
      <c r="CH1020">
        <v>2005</v>
      </c>
    </row>
    <row r="1021" spans="1:86" hidden="1" x14ac:dyDescent="0.25">
      <c r="A1021">
        <v>330541</v>
      </c>
      <c r="B1021" t="s">
        <v>86</v>
      </c>
      <c r="D1021" t="s">
        <v>115</v>
      </c>
      <c r="K1021" t="s">
        <v>767</v>
      </c>
      <c r="L1021" t="s">
        <v>89</v>
      </c>
      <c r="M1021" t="s">
        <v>759</v>
      </c>
      <c r="V1021" t="s">
        <v>91</v>
      </c>
      <c r="W1021" t="s">
        <v>92</v>
      </c>
      <c r="X1021" t="s">
        <v>93</v>
      </c>
      <c r="Y1021">
        <v>2</v>
      </c>
      <c r="Z1021" t="s">
        <v>137</v>
      </c>
      <c r="AB1021">
        <v>1.165486</v>
      </c>
      <c r="AG1021" t="s">
        <v>95</v>
      </c>
      <c r="AX1021" t="s">
        <v>615</v>
      </c>
      <c r="AY1021" t="s">
        <v>888</v>
      </c>
      <c r="AZ1021" t="s">
        <v>586</v>
      </c>
      <c r="BC1021">
        <v>4.1700000000000001E-2</v>
      </c>
      <c r="BH1021" t="s">
        <v>99</v>
      </c>
      <c r="BO1021" t="s">
        <v>111</v>
      </c>
      <c r="CD1021" t="s">
        <v>868</v>
      </c>
      <c r="CE1021">
        <v>172734</v>
      </c>
      <c r="CF1021" t="s">
        <v>869</v>
      </c>
      <c r="CG1021" t="s">
        <v>870</v>
      </c>
      <c r="CH1021">
        <v>2014</v>
      </c>
    </row>
    <row r="1022" spans="1:86" hidden="1" x14ac:dyDescent="0.25">
      <c r="A1022">
        <v>330541</v>
      </c>
      <c r="B1022" t="s">
        <v>86</v>
      </c>
      <c r="D1022" t="s">
        <v>115</v>
      </c>
      <c r="K1022" t="s">
        <v>767</v>
      </c>
      <c r="L1022" t="s">
        <v>89</v>
      </c>
      <c r="M1022" t="s">
        <v>759</v>
      </c>
      <c r="V1022" t="s">
        <v>91</v>
      </c>
      <c r="W1022" t="s">
        <v>92</v>
      </c>
      <c r="X1022" t="s">
        <v>93</v>
      </c>
      <c r="Y1022">
        <v>2</v>
      </c>
      <c r="Z1022" t="s">
        <v>137</v>
      </c>
      <c r="AB1022">
        <v>1.165486</v>
      </c>
      <c r="AG1022" t="s">
        <v>95</v>
      </c>
      <c r="AX1022" t="s">
        <v>615</v>
      </c>
      <c r="AY1022" t="s">
        <v>890</v>
      </c>
      <c r="AZ1022" t="s">
        <v>586</v>
      </c>
      <c r="BC1022">
        <v>4.1700000000000001E-2</v>
      </c>
      <c r="BH1022" t="s">
        <v>99</v>
      </c>
      <c r="BO1022" t="s">
        <v>111</v>
      </c>
      <c r="CD1022" t="s">
        <v>868</v>
      </c>
      <c r="CE1022">
        <v>172734</v>
      </c>
      <c r="CF1022" t="s">
        <v>869</v>
      </c>
      <c r="CG1022" t="s">
        <v>870</v>
      </c>
      <c r="CH1022">
        <v>2014</v>
      </c>
    </row>
    <row r="1023" spans="1:86" hidden="1" x14ac:dyDescent="0.25">
      <c r="A1023">
        <v>330541</v>
      </c>
      <c r="B1023" t="s">
        <v>86</v>
      </c>
      <c r="D1023" t="s">
        <v>115</v>
      </c>
      <c r="K1023" t="s">
        <v>767</v>
      </c>
      <c r="L1023" t="s">
        <v>89</v>
      </c>
      <c r="M1023" t="s">
        <v>759</v>
      </c>
      <c r="V1023" t="s">
        <v>91</v>
      </c>
      <c r="W1023" t="s">
        <v>92</v>
      </c>
      <c r="X1023" t="s">
        <v>93</v>
      </c>
      <c r="Y1023">
        <v>2</v>
      </c>
      <c r="Z1023" t="s">
        <v>137</v>
      </c>
      <c r="AB1023">
        <v>1.165486</v>
      </c>
      <c r="AG1023" t="s">
        <v>95</v>
      </c>
      <c r="AX1023" t="s">
        <v>615</v>
      </c>
      <c r="AY1023" t="s">
        <v>889</v>
      </c>
      <c r="AZ1023" t="s">
        <v>586</v>
      </c>
      <c r="BC1023">
        <v>4.1700000000000001E-2</v>
      </c>
      <c r="BH1023" t="s">
        <v>99</v>
      </c>
      <c r="BO1023" t="s">
        <v>111</v>
      </c>
      <c r="CD1023" t="s">
        <v>868</v>
      </c>
      <c r="CE1023">
        <v>172734</v>
      </c>
      <c r="CF1023" t="s">
        <v>869</v>
      </c>
      <c r="CG1023" t="s">
        <v>870</v>
      </c>
      <c r="CH1023">
        <v>2014</v>
      </c>
    </row>
    <row r="1024" spans="1:86" hidden="1" x14ac:dyDescent="0.25">
      <c r="A1024">
        <v>330541</v>
      </c>
      <c r="B1024" t="s">
        <v>86</v>
      </c>
      <c r="D1024" t="s">
        <v>115</v>
      </c>
      <c r="K1024" t="s">
        <v>767</v>
      </c>
      <c r="L1024" t="s">
        <v>89</v>
      </c>
      <c r="M1024" t="s">
        <v>759</v>
      </c>
      <c r="V1024" t="s">
        <v>91</v>
      </c>
      <c r="W1024" t="s">
        <v>92</v>
      </c>
      <c r="X1024" t="s">
        <v>93</v>
      </c>
      <c r="Y1024">
        <v>2</v>
      </c>
      <c r="Z1024" t="s">
        <v>137</v>
      </c>
      <c r="AB1024">
        <v>1.165486</v>
      </c>
      <c r="AG1024" t="s">
        <v>95</v>
      </c>
      <c r="AX1024" t="s">
        <v>615</v>
      </c>
      <c r="AY1024" t="s">
        <v>891</v>
      </c>
      <c r="AZ1024" t="s">
        <v>586</v>
      </c>
      <c r="BC1024">
        <v>4.1700000000000001E-2</v>
      </c>
      <c r="BH1024" t="s">
        <v>99</v>
      </c>
      <c r="BO1024" t="s">
        <v>111</v>
      </c>
      <c r="CD1024" t="s">
        <v>868</v>
      </c>
      <c r="CE1024">
        <v>172734</v>
      </c>
      <c r="CF1024" t="s">
        <v>869</v>
      </c>
      <c r="CG1024" t="s">
        <v>870</v>
      </c>
      <c r="CH1024">
        <v>2014</v>
      </c>
    </row>
    <row r="1025" spans="1:86" hidden="1" x14ac:dyDescent="0.25">
      <c r="A1025">
        <v>330541</v>
      </c>
      <c r="B1025" t="s">
        <v>86</v>
      </c>
      <c r="D1025" t="s">
        <v>105</v>
      </c>
      <c r="K1025" t="s">
        <v>767</v>
      </c>
      <c r="L1025" t="s">
        <v>89</v>
      </c>
      <c r="M1025" t="s">
        <v>759</v>
      </c>
      <c r="N1025" t="s">
        <v>118</v>
      </c>
      <c r="V1025" t="s">
        <v>91</v>
      </c>
      <c r="W1025" t="s">
        <v>92</v>
      </c>
      <c r="X1025" t="s">
        <v>93</v>
      </c>
      <c r="Y1025">
        <v>13</v>
      </c>
      <c r="Z1025" t="s">
        <v>137</v>
      </c>
      <c r="AB1025">
        <v>7.6922076000000004E-4</v>
      </c>
      <c r="AG1025" t="s">
        <v>95</v>
      </c>
      <c r="AX1025" t="s">
        <v>108</v>
      </c>
      <c r="AY1025" t="s">
        <v>438</v>
      </c>
      <c r="AZ1025" t="s">
        <v>586</v>
      </c>
      <c r="BC1025">
        <v>8.3299999999999999E-2</v>
      </c>
      <c r="BH1025" t="s">
        <v>99</v>
      </c>
      <c r="BO1025" t="s">
        <v>111</v>
      </c>
      <c r="CD1025" t="s">
        <v>772</v>
      </c>
      <c r="CE1025">
        <v>160529</v>
      </c>
      <c r="CF1025" t="s">
        <v>773</v>
      </c>
      <c r="CG1025" t="s">
        <v>774</v>
      </c>
      <c r="CH1025">
        <v>2012</v>
      </c>
    </row>
    <row r="1026" spans="1:86" hidden="1" x14ac:dyDescent="0.25">
      <c r="A1026">
        <v>330541</v>
      </c>
      <c r="B1026" t="s">
        <v>86</v>
      </c>
      <c r="D1026" t="s">
        <v>105</v>
      </c>
      <c r="K1026" t="s">
        <v>767</v>
      </c>
      <c r="L1026" t="s">
        <v>89</v>
      </c>
      <c r="M1026" t="s">
        <v>759</v>
      </c>
      <c r="N1026" t="s">
        <v>118</v>
      </c>
      <c r="V1026" t="s">
        <v>91</v>
      </c>
      <c r="W1026" t="s">
        <v>92</v>
      </c>
      <c r="X1026" t="s">
        <v>93</v>
      </c>
      <c r="Y1026">
        <v>13</v>
      </c>
      <c r="Z1026" t="s">
        <v>137</v>
      </c>
      <c r="AB1026">
        <v>2.3309720000000002E-3</v>
      </c>
      <c r="AG1026" t="s">
        <v>95</v>
      </c>
      <c r="AX1026" t="s">
        <v>108</v>
      </c>
      <c r="AY1026" t="s">
        <v>438</v>
      </c>
      <c r="AZ1026" t="s">
        <v>586</v>
      </c>
      <c r="BC1026">
        <v>1</v>
      </c>
      <c r="BH1026" t="s">
        <v>99</v>
      </c>
      <c r="BO1026" t="s">
        <v>111</v>
      </c>
      <c r="CD1026" t="s">
        <v>772</v>
      </c>
      <c r="CE1026">
        <v>160529</v>
      </c>
      <c r="CF1026" t="s">
        <v>773</v>
      </c>
      <c r="CG1026" t="s">
        <v>774</v>
      </c>
      <c r="CH1026">
        <v>2012</v>
      </c>
    </row>
    <row r="1027" spans="1:86" hidden="1" x14ac:dyDescent="0.25">
      <c r="A1027">
        <v>330541</v>
      </c>
      <c r="B1027" t="s">
        <v>86</v>
      </c>
      <c r="D1027" t="s">
        <v>105</v>
      </c>
      <c r="K1027" t="s">
        <v>767</v>
      </c>
      <c r="L1027" t="s">
        <v>89</v>
      </c>
      <c r="M1027" t="s">
        <v>759</v>
      </c>
      <c r="N1027" t="s">
        <v>118</v>
      </c>
      <c r="V1027" t="s">
        <v>91</v>
      </c>
      <c r="W1027" t="s">
        <v>92</v>
      </c>
      <c r="X1027" t="s">
        <v>93</v>
      </c>
      <c r="Y1027">
        <v>13</v>
      </c>
      <c r="Z1027" t="s">
        <v>137</v>
      </c>
      <c r="AB1027">
        <v>7.6922076000000004E-4</v>
      </c>
      <c r="AG1027" t="s">
        <v>95</v>
      </c>
      <c r="AX1027" t="s">
        <v>201</v>
      </c>
      <c r="AY1027" t="s">
        <v>490</v>
      </c>
      <c r="AZ1027" t="s">
        <v>586</v>
      </c>
      <c r="BC1027">
        <v>1</v>
      </c>
      <c r="BH1027" t="s">
        <v>99</v>
      </c>
      <c r="BO1027" t="s">
        <v>111</v>
      </c>
      <c r="CD1027" t="s">
        <v>772</v>
      </c>
      <c r="CE1027">
        <v>160529</v>
      </c>
      <c r="CF1027" t="s">
        <v>773</v>
      </c>
      <c r="CG1027" t="s">
        <v>774</v>
      </c>
      <c r="CH1027">
        <v>2012</v>
      </c>
    </row>
    <row r="1028" spans="1:86" hidden="1" x14ac:dyDescent="0.25">
      <c r="A1028">
        <v>330541</v>
      </c>
      <c r="B1028" t="s">
        <v>86</v>
      </c>
      <c r="D1028" t="s">
        <v>115</v>
      </c>
      <c r="K1028" t="s">
        <v>767</v>
      </c>
      <c r="L1028" t="s">
        <v>89</v>
      </c>
      <c r="M1028" t="s">
        <v>759</v>
      </c>
      <c r="V1028" t="s">
        <v>91</v>
      </c>
      <c r="W1028" t="s">
        <v>92</v>
      </c>
      <c r="X1028" t="s">
        <v>93</v>
      </c>
      <c r="Y1028">
        <v>2</v>
      </c>
      <c r="Z1028" t="s">
        <v>137</v>
      </c>
      <c r="AB1028">
        <v>1.165486</v>
      </c>
      <c r="AG1028" t="s">
        <v>95</v>
      </c>
      <c r="AX1028" t="s">
        <v>615</v>
      </c>
      <c r="AY1028" t="s">
        <v>888</v>
      </c>
      <c r="AZ1028" t="s">
        <v>586</v>
      </c>
      <c r="BC1028">
        <v>4.1700000000000001E-2</v>
      </c>
      <c r="BH1028" t="s">
        <v>99</v>
      </c>
      <c r="BO1028" t="s">
        <v>111</v>
      </c>
      <c r="CD1028" t="s">
        <v>868</v>
      </c>
      <c r="CE1028">
        <v>172734</v>
      </c>
      <c r="CF1028" t="s">
        <v>869</v>
      </c>
      <c r="CG1028" t="s">
        <v>870</v>
      </c>
      <c r="CH1028">
        <v>2014</v>
      </c>
    </row>
    <row r="1029" spans="1:86" hidden="1" x14ac:dyDescent="0.25">
      <c r="A1029">
        <v>330541</v>
      </c>
      <c r="B1029" t="s">
        <v>86</v>
      </c>
      <c r="D1029" t="s">
        <v>115</v>
      </c>
      <c r="K1029" t="s">
        <v>767</v>
      </c>
      <c r="L1029" t="s">
        <v>89</v>
      </c>
      <c r="M1029" t="s">
        <v>759</v>
      </c>
      <c r="V1029" t="s">
        <v>91</v>
      </c>
      <c r="W1029" t="s">
        <v>92</v>
      </c>
      <c r="X1029" t="s">
        <v>93</v>
      </c>
      <c r="Y1029">
        <v>2</v>
      </c>
      <c r="Z1029" t="s">
        <v>137</v>
      </c>
      <c r="AB1029">
        <v>1.165486</v>
      </c>
      <c r="AG1029" t="s">
        <v>95</v>
      </c>
      <c r="AX1029" t="s">
        <v>615</v>
      </c>
      <c r="AY1029" t="s">
        <v>887</v>
      </c>
      <c r="AZ1029" t="s">
        <v>586</v>
      </c>
      <c r="BC1029">
        <v>4.1700000000000001E-2</v>
      </c>
      <c r="BH1029" t="s">
        <v>99</v>
      </c>
      <c r="BO1029" t="s">
        <v>111</v>
      </c>
      <c r="CD1029" t="s">
        <v>868</v>
      </c>
      <c r="CE1029">
        <v>172734</v>
      </c>
      <c r="CF1029" t="s">
        <v>869</v>
      </c>
      <c r="CG1029" t="s">
        <v>870</v>
      </c>
      <c r="CH1029">
        <v>2014</v>
      </c>
    </row>
    <row r="1030" spans="1:86" hidden="1" x14ac:dyDescent="0.25">
      <c r="A1030">
        <v>330541</v>
      </c>
      <c r="B1030" t="s">
        <v>86</v>
      </c>
      <c r="D1030" t="s">
        <v>115</v>
      </c>
      <c r="K1030" t="s">
        <v>767</v>
      </c>
      <c r="L1030" t="s">
        <v>89</v>
      </c>
      <c r="M1030" t="s">
        <v>759</v>
      </c>
      <c r="V1030" t="s">
        <v>91</v>
      </c>
      <c r="W1030" t="s">
        <v>92</v>
      </c>
      <c r="X1030" t="s">
        <v>93</v>
      </c>
      <c r="Y1030">
        <v>2</v>
      </c>
      <c r="Z1030" t="s">
        <v>137</v>
      </c>
      <c r="AB1030">
        <v>1.165486</v>
      </c>
      <c r="AG1030" t="s">
        <v>95</v>
      </c>
      <c r="AX1030" t="s">
        <v>615</v>
      </c>
      <c r="AY1030" t="s">
        <v>890</v>
      </c>
      <c r="AZ1030" t="s">
        <v>586</v>
      </c>
      <c r="BC1030">
        <v>4.1700000000000001E-2</v>
      </c>
      <c r="BH1030" t="s">
        <v>99</v>
      </c>
      <c r="BO1030" t="s">
        <v>111</v>
      </c>
      <c r="CD1030" t="s">
        <v>868</v>
      </c>
      <c r="CE1030">
        <v>172734</v>
      </c>
      <c r="CF1030" t="s">
        <v>869</v>
      </c>
      <c r="CG1030" t="s">
        <v>870</v>
      </c>
      <c r="CH1030">
        <v>2014</v>
      </c>
    </row>
    <row r="1031" spans="1:86" hidden="1" x14ac:dyDescent="0.25">
      <c r="A1031">
        <v>330541</v>
      </c>
      <c r="B1031" t="s">
        <v>86</v>
      </c>
      <c r="D1031" t="s">
        <v>115</v>
      </c>
      <c r="K1031" t="s">
        <v>767</v>
      </c>
      <c r="L1031" t="s">
        <v>89</v>
      </c>
      <c r="M1031" t="s">
        <v>759</v>
      </c>
      <c r="V1031" t="s">
        <v>91</v>
      </c>
      <c r="W1031" t="s">
        <v>92</v>
      </c>
      <c r="X1031" t="s">
        <v>93</v>
      </c>
      <c r="Y1031">
        <v>2</v>
      </c>
      <c r="Z1031" t="s">
        <v>137</v>
      </c>
      <c r="AB1031">
        <v>1.165486</v>
      </c>
      <c r="AG1031" t="s">
        <v>95</v>
      </c>
      <c r="AX1031" t="s">
        <v>615</v>
      </c>
      <c r="AY1031" t="s">
        <v>889</v>
      </c>
      <c r="AZ1031" t="s">
        <v>586</v>
      </c>
      <c r="BC1031">
        <v>4.1700000000000001E-2</v>
      </c>
      <c r="BH1031" t="s">
        <v>99</v>
      </c>
      <c r="BO1031" t="s">
        <v>111</v>
      </c>
      <c r="CD1031" t="s">
        <v>868</v>
      </c>
      <c r="CE1031">
        <v>172734</v>
      </c>
      <c r="CF1031" t="s">
        <v>869</v>
      </c>
      <c r="CG1031" t="s">
        <v>870</v>
      </c>
      <c r="CH1031">
        <v>2014</v>
      </c>
    </row>
    <row r="1032" spans="1:86" hidden="1" x14ac:dyDescent="0.25">
      <c r="A1032">
        <v>330541</v>
      </c>
      <c r="B1032" t="s">
        <v>86</v>
      </c>
      <c r="D1032" t="s">
        <v>105</v>
      </c>
      <c r="K1032" t="s">
        <v>767</v>
      </c>
      <c r="L1032" t="s">
        <v>89</v>
      </c>
      <c r="M1032" t="s">
        <v>759</v>
      </c>
      <c r="N1032" t="s">
        <v>118</v>
      </c>
      <c r="V1032" t="s">
        <v>91</v>
      </c>
      <c r="W1032" t="s">
        <v>92</v>
      </c>
      <c r="X1032" t="s">
        <v>93</v>
      </c>
      <c r="Y1032">
        <v>13</v>
      </c>
      <c r="Z1032" t="s">
        <v>137</v>
      </c>
      <c r="AB1032">
        <v>7.6922076000000004E-4</v>
      </c>
      <c r="AG1032" t="s">
        <v>95</v>
      </c>
      <c r="AX1032" t="s">
        <v>108</v>
      </c>
      <c r="AY1032" t="s">
        <v>438</v>
      </c>
      <c r="AZ1032" t="s">
        <v>586</v>
      </c>
      <c r="BC1032">
        <v>1</v>
      </c>
      <c r="BH1032" t="s">
        <v>99</v>
      </c>
      <c r="BO1032" t="s">
        <v>111</v>
      </c>
      <c r="CD1032" t="s">
        <v>772</v>
      </c>
      <c r="CE1032">
        <v>160529</v>
      </c>
      <c r="CF1032" t="s">
        <v>773</v>
      </c>
      <c r="CG1032" t="s">
        <v>774</v>
      </c>
      <c r="CH1032">
        <v>2012</v>
      </c>
    </row>
    <row r="1033" spans="1:86" hidden="1" x14ac:dyDescent="0.25">
      <c r="A1033">
        <v>330541</v>
      </c>
      <c r="B1033" t="s">
        <v>86</v>
      </c>
      <c r="D1033" t="s">
        <v>105</v>
      </c>
      <c r="K1033" t="s">
        <v>767</v>
      </c>
      <c r="L1033" t="s">
        <v>89</v>
      </c>
      <c r="M1033" t="s">
        <v>759</v>
      </c>
      <c r="N1033" t="s">
        <v>118</v>
      </c>
      <c r="V1033" t="s">
        <v>91</v>
      </c>
      <c r="W1033" t="s">
        <v>92</v>
      </c>
      <c r="X1033" t="s">
        <v>93</v>
      </c>
      <c r="Y1033">
        <v>13</v>
      </c>
      <c r="Z1033" t="s">
        <v>137</v>
      </c>
      <c r="AB1033">
        <v>2.3309719999999999E-2</v>
      </c>
      <c r="AG1033" t="s">
        <v>95</v>
      </c>
      <c r="AX1033" t="s">
        <v>201</v>
      </c>
      <c r="AY1033" t="s">
        <v>805</v>
      </c>
      <c r="AZ1033" t="s">
        <v>586</v>
      </c>
      <c r="BC1033">
        <v>0.25</v>
      </c>
      <c r="BH1033" t="s">
        <v>99</v>
      </c>
      <c r="BO1033" t="s">
        <v>111</v>
      </c>
      <c r="CD1033" t="s">
        <v>772</v>
      </c>
      <c r="CE1033">
        <v>160529</v>
      </c>
      <c r="CF1033" t="s">
        <v>773</v>
      </c>
      <c r="CG1033" t="s">
        <v>774</v>
      </c>
      <c r="CH1033">
        <v>2012</v>
      </c>
    </row>
    <row r="1034" spans="1:86" hidden="1" x14ac:dyDescent="0.25">
      <c r="A1034">
        <v>330541</v>
      </c>
      <c r="B1034" t="s">
        <v>86</v>
      </c>
      <c r="D1034" t="s">
        <v>105</v>
      </c>
      <c r="K1034" t="s">
        <v>767</v>
      </c>
      <c r="L1034" t="s">
        <v>89</v>
      </c>
      <c r="M1034" t="s">
        <v>759</v>
      </c>
      <c r="N1034" t="s">
        <v>118</v>
      </c>
      <c r="V1034" t="s">
        <v>91</v>
      </c>
      <c r="W1034" t="s">
        <v>92</v>
      </c>
      <c r="X1034" t="s">
        <v>93</v>
      </c>
      <c r="Y1034">
        <v>13</v>
      </c>
      <c r="Z1034" t="s">
        <v>137</v>
      </c>
      <c r="AB1034">
        <v>2.3309719999999999E-2</v>
      </c>
      <c r="AG1034" t="s">
        <v>95</v>
      </c>
      <c r="AX1034" t="s">
        <v>108</v>
      </c>
      <c r="AY1034" t="s">
        <v>532</v>
      </c>
      <c r="AZ1034" t="s">
        <v>586</v>
      </c>
      <c r="BC1034">
        <v>1</v>
      </c>
      <c r="BH1034" t="s">
        <v>99</v>
      </c>
      <c r="BO1034" t="s">
        <v>111</v>
      </c>
      <c r="CD1034" t="s">
        <v>772</v>
      </c>
      <c r="CE1034">
        <v>160529</v>
      </c>
      <c r="CF1034" t="s">
        <v>773</v>
      </c>
      <c r="CG1034" t="s">
        <v>774</v>
      </c>
      <c r="CH1034">
        <v>2012</v>
      </c>
    </row>
    <row r="1035" spans="1:86" hidden="1" x14ac:dyDescent="0.25">
      <c r="A1035">
        <v>330541</v>
      </c>
      <c r="B1035" t="s">
        <v>86</v>
      </c>
      <c r="D1035" t="s">
        <v>105</v>
      </c>
      <c r="K1035" t="s">
        <v>767</v>
      </c>
      <c r="L1035" t="s">
        <v>89</v>
      </c>
      <c r="M1035" t="s">
        <v>759</v>
      </c>
      <c r="N1035" t="s">
        <v>118</v>
      </c>
      <c r="V1035" t="s">
        <v>91</v>
      </c>
      <c r="W1035" t="s">
        <v>92</v>
      </c>
      <c r="X1035" t="s">
        <v>93</v>
      </c>
      <c r="Y1035">
        <v>13</v>
      </c>
      <c r="Z1035" t="s">
        <v>137</v>
      </c>
      <c r="AB1035">
        <v>2.3309719999999999E-2</v>
      </c>
      <c r="AG1035" t="s">
        <v>95</v>
      </c>
      <c r="AX1035" t="s">
        <v>108</v>
      </c>
      <c r="AY1035" t="s">
        <v>617</v>
      </c>
      <c r="AZ1035" t="s">
        <v>586</v>
      </c>
      <c r="BC1035">
        <v>1</v>
      </c>
      <c r="BH1035" t="s">
        <v>99</v>
      </c>
      <c r="BO1035" t="s">
        <v>111</v>
      </c>
      <c r="CD1035" t="s">
        <v>772</v>
      </c>
      <c r="CE1035">
        <v>160529</v>
      </c>
      <c r="CF1035" t="s">
        <v>773</v>
      </c>
      <c r="CG1035" t="s">
        <v>774</v>
      </c>
      <c r="CH1035">
        <v>2012</v>
      </c>
    </row>
    <row r="1036" spans="1:86" hidden="1" x14ac:dyDescent="0.25">
      <c r="A1036">
        <v>330541</v>
      </c>
      <c r="B1036" t="s">
        <v>86</v>
      </c>
      <c r="D1036" t="s">
        <v>105</v>
      </c>
      <c r="K1036" t="s">
        <v>767</v>
      </c>
      <c r="L1036" t="s">
        <v>89</v>
      </c>
      <c r="M1036" t="s">
        <v>759</v>
      </c>
      <c r="N1036" t="s">
        <v>118</v>
      </c>
      <c r="V1036" t="s">
        <v>91</v>
      </c>
      <c r="W1036" t="s">
        <v>92</v>
      </c>
      <c r="X1036" t="s">
        <v>93</v>
      </c>
      <c r="Y1036">
        <v>13</v>
      </c>
      <c r="Z1036" t="s">
        <v>137</v>
      </c>
      <c r="AB1036">
        <v>7.6922076000000004E-4</v>
      </c>
      <c r="AG1036" t="s">
        <v>95</v>
      </c>
      <c r="AX1036" t="s">
        <v>108</v>
      </c>
      <c r="AY1036" t="s">
        <v>438</v>
      </c>
      <c r="AZ1036" t="s">
        <v>586</v>
      </c>
      <c r="BC1036">
        <v>0.25</v>
      </c>
      <c r="BH1036" t="s">
        <v>99</v>
      </c>
      <c r="BO1036" t="s">
        <v>111</v>
      </c>
      <c r="CD1036" t="s">
        <v>772</v>
      </c>
      <c r="CE1036">
        <v>160529</v>
      </c>
      <c r="CF1036" t="s">
        <v>773</v>
      </c>
      <c r="CG1036" t="s">
        <v>774</v>
      </c>
      <c r="CH1036">
        <v>2012</v>
      </c>
    </row>
    <row r="1037" spans="1:86" hidden="1" x14ac:dyDescent="0.25">
      <c r="A1037">
        <v>330541</v>
      </c>
      <c r="B1037" t="s">
        <v>86</v>
      </c>
      <c r="D1037" t="s">
        <v>105</v>
      </c>
      <c r="K1037" t="s">
        <v>767</v>
      </c>
      <c r="L1037" t="s">
        <v>89</v>
      </c>
      <c r="M1037" t="s">
        <v>759</v>
      </c>
      <c r="N1037" t="s">
        <v>118</v>
      </c>
      <c r="V1037" t="s">
        <v>91</v>
      </c>
      <c r="W1037" t="s">
        <v>92</v>
      </c>
      <c r="X1037" t="s">
        <v>93</v>
      </c>
      <c r="Y1037">
        <v>13</v>
      </c>
      <c r="Z1037" t="s">
        <v>137</v>
      </c>
      <c r="AB1037">
        <v>2.3309719999999999E-5</v>
      </c>
      <c r="AG1037" t="s">
        <v>95</v>
      </c>
      <c r="AX1037" t="s">
        <v>201</v>
      </c>
      <c r="AY1037" t="s">
        <v>490</v>
      </c>
      <c r="AZ1037" t="s">
        <v>586</v>
      </c>
      <c r="BC1037">
        <v>8.3299999999999999E-2</v>
      </c>
      <c r="BH1037" t="s">
        <v>99</v>
      </c>
      <c r="BO1037" t="s">
        <v>111</v>
      </c>
      <c r="CD1037" t="s">
        <v>772</v>
      </c>
      <c r="CE1037">
        <v>160529</v>
      </c>
      <c r="CF1037" t="s">
        <v>773</v>
      </c>
      <c r="CG1037" t="s">
        <v>774</v>
      </c>
      <c r="CH1037">
        <v>2012</v>
      </c>
    </row>
    <row r="1038" spans="1:86" hidden="1" x14ac:dyDescent="0.25">
      <c r="A1038">
        <v>330541</v>
      </c>
      <c r="B1038" t="s">
        <v>86</v>
      </c>
      <c r="D1038" t="s">
        <v>105</v>
      </c>
      <c r="K1038" t="s">
        <v>767</v>
      </c>
      <c r="L1038" t="s">
        <v>89</v>
      </c>
      <c r="M1038" t="s">
        <v>759</v>
      </c>
      <c r="N1038" t="s">
        <v>118</v>
      </c>
      <c r="V1038" t="s">
        <v>91</v>
      </c>
      <c r="W1038" t="s">
        <v>92</v>
      </c>
      <c r="X1038" t="s">
        <v>93</v>
      </c>
      <c r="Y1038">
        <v>13</v>
      </c>
      <c r="Z1038" t="s">
        <v>137</v>
      </c>
      <c r="AB1038">
        <v>2.3309719999999999E-2</v>
      </c>
      <c r="AG1038" t="s">
        <v>95</v>
      </c>
      <c r="AX1038" t="s">
        <v>108</v>
      </c>
      <c r="AY1038" t="s">
        <v>617</v>
      </c>
      <c r="AZ1038" t="s">
        <v>586</v>
      </c>
      <c r="BC1038">
        <v>0.25</v>
      </c>
      <c r="BH1038" t="s">
        <v>99</v>
      </c>
      <c r="BO1038" t="s">
        <v>111</v>
      </c>
      <c r="CD1038" t="s">
        <v>772</v>
      </c>
      <c r="CE1038">
        <v>160529</v>
      </c>
      <c r="CF1038" t="s">
        <v>773</v>
      </c>
      <c r="CG1038" t="s">
        <v>774</v>
      </c>
      <c r="CH1038">
        <v>2012</v>
      </c>
    </row>
    <row r="1039" spans="1:86" hidden="1" x14ac:dyDescent="0.25">
      <c r="A1039">
        <v>330541</v>
      </c>
      <c r="B1039" t="s">
        <v>86</v>
      </c>
      <c r="D1039" t="s">
        <v>105</v>
      </c>
      <c r="K1039" t="s">
        <v>767</v>
      </c>
      <c r="L1039" t="s">
        <v>89</v>
      </c>
      <c r="M1039" t="s">
        <v>759</v>
      </c>
      <c r="N1039" t="s">
        <v>118</v>
      </c>
      <c r="V1039" t="s">
        <v>91</v>
      </c>
      <c r="W1039" t="s">
        <v>92</v>
      </c>
      <c r="X1039" t="s">
        <v>93</v>
      </c>
      <c r="Y1039">
        <v>13</v>
      </c>
      <c r="Z1039" t="s">
        <v>137</v>
      </c>
      <c r="AB1039">
        <v>2.3309719999999999E-2</v>
      </c>
      <c r="AG1039" t="s">
        <v>95</v>
      </c>
      <c r="AX1039" t="s">
        <v>108</v>
      </c>
      <c r="AY1039" t="s">
        <v>120</v>
      </c>
      <c r="AZ1039" t="s">
        <v>586</v>
      </c>
      <c r="BC1039">
        <v>1</v>
      </c>
      <c r="BH1039" t="s">
        <v>99</v>
      </c>
      <c r="BO1039" t="s">
        <v>111</v>
      </c>
      <c r="CD1039" t="s">
        <v>772</v>
      </c>
      <c r="CE1039">
        <v>160529</v>
      </c>
      <c r="CF1039" t="s">
        <v>773</v>
      </c>
      <c r="CG1039" t="s">
        <v>774</v>
      </c>
      <c r="CH1039">
        <v>2012</v>
      </c>
    </row>
    <row r="1040" spans="1:86" hidden="1" x14ac:dyDescent="0.25">
      <c r="A1040">
        <v>330541</v>
      </c>
      <c r="B1040" t="s">
        <v>86</v>
      </c>
      <c r="D1040" t="s">
        <v>105</v>
      </c>
      <c r="K1040" t="s">
        <v>767</v>
      </c>
      <c r="L1040" t="s">
        <v>89</v>
      </c>
      <c r="M1040" t="s">
        <v>759</v>
      </c>
      <c r="N1040" t="s">
        <v>118</v>
      </c>
      <c r="V1040" t="s">
        <v>91</v>
      </c>
      <c r="W1040" t="s">
        <v>92</v>
      </c>
      <c r="X1040" t="s">
        <v>93</v>
      </c>
      <c r="Y1040">
        <v>13</v>
      </c>
      <c r="Z1040" t="s">
        <v>137</v>
      </c>
      <c r="AB1040">
        <v>2.3309720000000002E-3</v>
      </c>
      <c r="AG1040" t="s">
        <v>95</v>
      </c>
      <c r="AX1040" t="s">
        <v>108</v>
      </c>
      <c r="AY1040" t="s">
        <v>438</v>
      </c>
      <c r="AZ1040" t="s">
        <v>586</v>
      </c>
      <c r="BC1040">
        <v>0.25</v>
      </c>
      <c r="BH1040" t="s">
        <v>99</v>
      </c>
      <c r="BO1040" t="s">
        <v>111</v>
      </c>
      <c r="CD1040" t="s">
        <v>772</v>
      </c>
      <c r="CE1040">
        <v>160529</v>
      </c>
      <c r="CF1040" t="s">
        <v>773</v>
      </c>
      <c r="CG1040" t="s">
        <v>774</v>
      </c>
      <c r="CH1040">
        <v>2012</v>
      </c>
    </row>
    <row r="1041" spans="1:86" hidden="1" x14ac:dyDescent="0.25">
      <c r="A1041">
        <v>330541</v>
      </c>
      <c r="B1041" t="s">
        <v>86</v>
      </c>
      <c r="D1041" t="s">
        <v>105</v>
      </c>
      <c r="K1041" t="s">
        <v>767</v>
      </c>
      <c r="L1041" t="s">
        <v>89</v>
      </c>
      <c r="M1041" t="s">
        <v>759</v>
      </c>
      <c r="N1041" t="s">
        <v>118</v>
      </c>
      <c r="V1041" t="s">
        <v>91</v>
      </c>
      <c r="W1041" t="s">
        <v>92</v>
      </c>
      <c r="X1041" t="s">
        <v>93</v>
      </c>
      <c r="Y1041">
        <v>13</v>
      </c>
      <c r="Z1041" t="s">
        <v>137</v>
      </c>
      <c r="AB1041">
        <v>1.5384415199999999E-2</v>
      </c>
      <c r="AG1041" t="s">
        <v>95</v>
      </c>
      <c r="AX1041" t="s">
        <v>108</v>
      </c>
      <c r="AY1041" t="s">
        <v>160</v>
      </c>
      <c r="AZ1041" t="s">
        <v>586</v>
      </c>
      <c r="BC1041">
        <v>0.25</v>
      </c>
      <c r="BH1041" t="s">
        <v>99</v>
      </c>
      <c r="BO1041" t="s">
        <v>111</v>
      </c>
      <c r="CD1041" t="s">
        <v>772</v>
      </c>
      <c r="CE1041">
        <v>160529</v>
      </c>
      <c r="CF1041" t="s">
        <v>773</v>
      </c>
      <c r="CG1041" t="s">
        <v>774</v>
      </c>
      <c r="CH1041">
        <v>2012</v>
      </c>
    </row>
    <row r="1042" spans="1:86" hidden="1" x14ac:dyDescent="0.25">
      <c r="A1042">
        <v>330541</v>
      </c>
      <c r="B1042" t="s">
        <v>86</v>
      </c>
      <c r="D1042" t="s">
        <v>105</v>
      </c>
      <c r="K1042" t="s">
        <v>767</v>
      </c>
      <c r="L1042" t="s">
        <v>89</v>
      </c>
      <c r="M1042" t="s">
        <v>759</v>
      </c>
      <c r="N1042" t="s">
        <v>118</v>
      </c>
      <c r="V1042" t="s">
        <v>91</v>
      </c>
      <c r="W1042" t="s">
        <v>92</v>
      </c>
      <c r="X1042" t="s">
        <v>93</v>
      </c>
      <c r="Y1042">
        <v>13</v>
      </c>
      <c r="Z1042" t="s">
        <v>137</v>
      </c>
      <c r="AB1042">
        <v>0.76922075999999995</v>
      </c>
      <c r="AG1042" t="s">
        <v>95</v>
      </c>
      <c r="AX1042" t="s">
        <v>201</v>
      </c>
      <c r="AY1042" t="s">
        <v>805</v>
      </c>
      <c r="AZ1042" t="s">
        <v>586</v>
      </c>
      <c r="BC1042">
        <v>8.3299999999999999E-2</v>
      </c>
      <c r="BH1042" t="s">
        <v>99</v>
      </c>
      <c r="BO1042" t="s">
        <v>111</v>
      </c>
      <c r="CD1042" t="s">
        <v>772</v>
      </c>
      <c r="CE1042">
        <v>160529</v>
      </c>
      <c r="CF1042" t="s">
        <v>773</v>
      </c>
      <c r="CG1042" t="s">
        <v>774</v>
      </c>
      <c r="CH1042">
        <v>2012</v>
      </c>
    </row>
    <row r="1043" spans="1:86" hidden="1" x14ac:dyDescent="0.25">
      <c r="A1043">
        <v>330541</v>
      </c>
      <c r="B1043" t="s">
        <v>86</v>
      </c>
      <c r="D1043" t="s">
        <v>105</v>
      </c>
      <c r="K1043" t="s">
        <v>767</v>
      </c>
      <c r="L1043" t="s">
        <v>89</v>
      </c>
      <c r="M1043" t="s">
        <v>759</v>
      </c>
      <c r="N1043" t="s">
        <v>118</v>
      </c>
      <c r="V1043" t="s">
        <v>91</v>
      </c>
      <c r="W1043" t="s">
        <v>92</v>
      </c>
      <c r="X1043" t="s">
        <v>93</v>
      </c>
      <c r="Y1043">
        <v>13</v>
      </c>
      <c r="Z1043" t="s">
        <v>137</v>
      </c>
      <c r="AB1043">
        <v>2.3309719999999999E-2</v>
      </c>
      <c r="AG1043" t="s">
        <v>95</v>
      </c>
      <c r="AX1043" t="s">
        <v>282</v>
      </c>
      <c r="AY1043" t="s">
        <v>806</v>
      </c>
      <c r="AZ1043" t="s">
        <v>586</v>
      </c>
      <c r="BC1043">
        <v>0.25</v>
      </c>
      <c r="BH1043" t="s">
        <v>99</v>
      </c>
      <c r="BO1043" t="s">
        <v>111</v>
      </c>
      <c r="CD1043" t="s">
        <v>772</v>
      </c>
      <c r="CE1043">
        <v>160529</v>
      </c>
      <c r="CF1043" t="s">
        <v>773</v>
      </c>
      <c r="CG1043" t="s">
        <v>774</v>
      </c>
      <c r="CH1043">
        <v>2012</v>
      </c>
    </row>
    <row r="1044" spans="1:86" hidden="1" x14ac:dyDescent="0.25">
      <c r="A1044">
        <v>330541</v>
      </c>
      <c r="B1044" t="s">
        <v>86</v>
      </c>
      <c r="D1044" t="s">
        <v>105</v>
      </c>
      <c r="K1044" t="s">
        <v>767</v>
      </c>
      <c r="L1044" t="s">
        <v>89</v>
      </c>
      <c r="M1044" t="s">
        <v>759</v>
      </c>
      <c r="N1044" t="s">
        <v>118</v>
      </c>
      <c r="V1044" t="s">
        <v>91</v>
      </c>
      <c r="W1044" t="s">
        <v>92</v>
      </c>
      <c r="X1044" t="s">
        <v>93</v>
      </c>
      <c r="Y1044">
        <v>13</v>
      </c>
      <c r="Z1044" t="s">
        <v>137</v>
      </c>
      <c r="AB1044">
        <v>7.6922076000000004E-4</v>
      </c>
      <c r="AG1044" t="s">
        <v>95</v>
      </c>
      <c r="AX1044" t="s">
        <v>282</v>
      </c>
      <c r="AY1044" t="s">
        <v>806</v>
      </c>
      <c r="AZ1044" t="s">
        <v>586</v>
      </c>
      <c r="BC1044">
        <v>1</v>
      </c>
      <c r="BH1044" t="s">
        <v>99</v>
      </c>
      <c r="BO1044" t="s">
        <v>111</v>
      </c>
      <c r="CD1044" t="s">
        <v>772</v>
      </c>
      <c r="CE1044">
        <v>160529</v>
      </c>
      <c r="CF1044" t="s">
        <v>773</v>
      </c>
      <c r="CG1044" t="s">
        <v>774</v>
      </c>
      <c r="CH1044">
        <v>2012</v>
      </c>
    </row>
    <row r="1045" spans="1:86" hidden="1" x14ac:dyDescent="0.25">
      <c r="A1045">
        <v>330541</v>
      </c>
      <c r="B1045" t="s">
        <v>86</v>
      </c>
      <c r="D1045" t="s">
        <v>105</v>
      </c>
      <c r="K1045" t="s">
        <v>767</v>
      </c>
      <c r="L1045" t="s">
        <v>89</v>
      </c>
      <c r="M1045" t="s">
        <v>759</v>
      </c>
      <c r="N1045" t="s">
        <v>118</v>
      </c>
      <c r="V1045" t="s">
        <v>91</v>
      </c>
      <c r="W1045" t="s">
        <v>92</v>
      </c>
      <c r="X1045" t="s">
        <v>93</v>
      </c>
      <c r="Y1045">
        <v>13</v>
      </c>
      <c r="Z1045" t="s">
        <v>137</v>
      </c>
      <c r="AB1045">
        <v>7.6922075999999997E-3</v>
      </c>
      <c r="AG1045" t="s">
        <v>95</v>
      </c>
      <c r="AX1045" t="s">
        <v>108</v>
      </c>
      <c r="AY1045" t="s">
        <v>120</v>
      </c>
      <c r="AZ1045" t="s">
        <v>586</v>
      </c>
      <c r="BC1045">
        <v>0.25</v>
      </c>
      <c r="BH1045" t="s">
        <v>99</v>
      </c>
      <c r="BO1045" t="s">
        <v>111</v>
      </c>
      <c r="CD1045" t="s">
        <v>772</v>
      </c>
      <c r="CE1045">
        <v>160529</v>
      </c>
      <c r="CF1045" t="s">
        <v>773</v>
      </c>
      <c r="CG1045" t="s">
        <v>774</v>
      </c>
      <c r="CH1045">
        <v>2012</v>
      </c>
    </row>
    <row r="1046" spans="1:86" hidden="1" x14ac:dyDescent="0.25">
      <c r="A1046">
        <v>330541</v>
      </c>
      <c r="B1046" t="s">
        <v>86</v>
      </c>
      <c r="D1046" t="s">
        <v>115</v>
      </c>
      <c r="K1046" t="s">
        <v>767</v>
      </c>
      <c r="L1046" t="s">
        <v>89</v>
      </c>
      <c r="M1046" t="s">
        <v>759</v>
      </c>
      <c r="V1046" t="s">
        <v>91</v>
      </c>
      <c r="W1046" t="s">
        <v>92</v>
      </c>
      <c r="X1046" t="s">
        <v>93</v>
      </c>
      <c r="Y1046">
        <v>2</v>
      </c>
      <c r="Z1046" t="s">
        <v>137</v>
      </c>
      <c r="AB1046">
        <v>1.165486</v>
      </c>
      <c r="AG1046" t="s">
        <v>95</v>
      </c>
      <c r="AX1046" t="s">
        <v>615</v>
      </c>
      <c r="AY1046" t="s">
        <v>891</v>
      </c>
      <c r="AZ1046" t="s">
        <v>586</v>
      </c>
      <c r="BC1046">
        <v>4.1700000000000001E-2</v>
      </c>
      <c r="BH1046" t="s">
        <v>99</v>
      </c>
      <c r="BO1046" t="s">
        <v>111</v>
      </c>
      <c r="CD1046" t="s">
        <v>868</v>
      </c>
      <c r="CE1046">
        <v>172734</v>
      </c>
      <c r="CF1046" t="s">
        <v>869</v>
      </c>
      <c r="CG1046" t="s">
        <v>870</v>
      </c>
      <c r="CH1046">
        <v>2014</v>
      </c>
    </row>
    <row r="1047" spans="1:86" hidden="1" x14ac:dyDescent="0.25">
      <c r="A1047">
        <v>330541</v>
      </c>
      <c r="B1047" t="s">
        <v>86</v>
      </c>
      <c r="D1047" t="s">
        <v>105</v>
      </c>
      <c r="K1047" t="s">
        <v>767</v>
      </c>
      <c r="L1047" t="s">
        <v>89</v>
      </c>
      <c r="M1047" t="s">
        <v>759</v>
      </c>
      <c r="N1047" t="s">
        <v>118</v>
      </c>
      <c r="V1047" t="s">
        <v>91</v>
      </c>
      <c r="W1047" t="s">
        <v>92</v>
      </c>
      <c r="X1047" t="s">
        <v>93</v>
      </c>
      <c r="Y1047">
        <v>13</v>
      </c>
      <c r="Z1047" t="s">
        <v>137</v>
      </c>
      <c r="AB1047">
        <v>2.3309719999999999E-2</v>
      </c>
      <c r="AG1047" t="s">
        <v>95</v>
      </c>
      <c r="AX1047" t="s">
        <v>201</v>
      </c>
      <c r="AY1047" t="s">
        <v>805</v>
      </c>
      <c r="AZ1047" t="s">
        <v>586</v>
      </c>
      <c r="BC1047">
        <v>1</v>
      </c>
      <c r="BH1047" t="s">
        <v>99</v>
      </c>
      <c r="BO1047" t="s">
        <v>111</v>
      </c>
      <c r="CD1047" t="s">
        <v>772</v>
      </c>
      <c r="CE1047">
        <v>160529</v>
      </c>
      <c r="CF1047" t="s">
        <v>773</v>
      </c>
      <c r="CG1047" t="s">
        <v>774</v>
      </c>
      <c r="CH1047">
        <v>2012</v>
      </c>
    </row>
    <row r="1048" spans="1:86" hidden="1" x14ac:dyDescent="0.25">
      <c r="A1048">
        <v>330541</v>
      </c>
      <c r="B1048" t="s">
        <v>86</v>
      </c>
      <c r="D1048" t="s">
        <v>105</v>
      </c>
      <c r="K1048" t="s">
        <v>767</v>
      </c>
      <c r="L1048" t="s">
        <v>89</v>
      </c>
      <c r="M1048" t="s">
        <v>759</v>
      </c>
      <c r="N1048" t="s">
        <v>118</v>
      </c>
      <c r="V1048" t="s">
        <v>91</v>
      </c>
      <c r="W1048" t="s">
        <v>92</v>
      </c>
      <c r="X1048" t="s">
        <v>93</v>
      </c>
      <c r="Y1048">
        <v>13</v>
      </c>
      <c r="Z1048" t="s">
        <v>137</v>
      </c>
      <c r="AA1048" t="s">
        <v>434</v>
      </c>
      <c r="AB1048">
        <v>2.3309719999999999E-4</v>
      </c>
      <c r="AG1048" t="s">
        <v>95</v>
      </c>
      <c r="AX1048" t="s">
        <v>108</v>
      </c>
      <c r="AY1048" t="s">
        <v>438</v>
      </c>
      <c r="AZ1048" t="s">
        <v>586</v>
      </c>
      <c r="BC1048">
        <v>8.3299999999999999E-2</v>
      </c>
      <c r="BH1048" t="s">
        <v>99</v>
      </c>
      <c r="BO1048" t="s">
        <v>111</v>
      </c>
      <c r="CD1048" t="s">
        <v>772</v>
      </c>
      <c r="CE1048">
        <v>160529</v>
      </c>
      <c r="CF1048" t="s">
        <v>773</v>
      </c>
      <c r="CG1048" t="s">
        <v>774</v>
      </c>
      <c r="CH1048">
        <v>2012</v>
      </c>
    </row>
    <row r="1049" spans="1:86" hidden="1" x14ac:dyDescent="0.25">
      <c r="A1049">
        <v>330541</v>
      </c>
      <c r="B1049" t="s">
        <v>86</v>
      </c>
      <c r="C1049" t="s">
        <v>104</v>
      </c>
      <c r="D1049" t="s">
        <v>87</v>
      </c>
      <c r="F1049">
        <v>99</v>
      </c>
      <c r="K1049" t="s">
        <v>765</v>
      </c>
      <c r="L1049" t="s">
        <v>143</v>
      </c>
      <c r="M1049" t="s">
        <v>759</v>
      </c>
      <c r="N1049" t="s">
        <v>118</v>
      </c>
      <c r="V1049" t="s">
        <v>91</v>
      </c>
      <c r="W1049" t="s">
        <v>107</v>
      </c>
      <c r="X1049" t="s">
        <v>93</v>
      </c>
      <c r="Y1049">
        <v>5</v>
      </c>
      <c r="Z1049" t="s">
        <v>94</v>
      </c>
      <c r="AB1049">
        <v>3.3E-3</v>
      </c>
      <c r="AG1049" t="s">
        <v>95</v>
      </c>
      <c r="AX1049" t="s">
        <v>201</v>
      </c>
      <c r="AY1049" t="s">
        <v>892</v>
      </c>
      <c r="AZ1049" t="s">
        <v>609</v>
      </c>
      <c r="BC1049">
        <v>3</v>
      </c>
      <c r="BH1049" t="s">
        <v>99</v>
      </c>
      <c r="BO1049" t="s">
        <v>111</v>
      </c>
      <c r="CD1049" t="s">
        <v>348</v>
      </c>
      <c r="CE1049">
        <v>98904</v>
      </c>
      <c r="CF1049" t="s">
        <v>349</v>
      </c>
      <c r="CG1049" t="s">
        <v>350</v>
      </c>
      <c r="CH1049">
        <v>2005</v>
      </c>
    </row>
    <row r="1050" spans="1:86" hidden="1" x14ac:dyDescent="0.25">
      <c r="A1050">
        <v>330541</v>
      </c>
      <c r="B1050" t="s">
        <v>86</v>
      </c>
      <c r="D1050" t="s">
        <v>115</v>
      </c>
      <c r="K1050" t="s">
        <v>766</v>
      </c>
      <c r="L1050" t="s">
        <v>117</v>
      </c>
      <c r="M1050" t="s">
        <v>759</v>
      </c>
      <c r="V1050" t="s">
        <v>91</v>
      </c>
      <c r="W1050" t="s">
        <v>107</v>
      </c>
      <c r="X1050" t="s">
        <v>93</v>
      </c>
      <c r="Z1050" t="s">
        <v>94</v>
      </c>
      <c r="AB1050">
        <v>4.0000000000000001E-3</v>
      </c>
      <c r="AG1050" t="s">
        <v>95</v>
      </c>
      <c r="AX1050" t="s">
        <v>523</v>
      </c>
      <c r="AY1050" t="s">
        <v>523</v>
      </c>
      <c r="AZ1050" t="s">
        <v>626</v>
      </c>
      <c r="BC1050">
        <v>10</v>
      </c>
      <c r="BH1050" t="s">
        <v>99</v>
      </c>
      <c r="BO1050" t="s">
        <v>111</v>
      </c>
      <c r="CD1050" t="s">
        <v>635</v>
      </c>
      <c r="CE1050">
        <v>8039</v>
      </c>
      <c r="CF1050" t="s">
        <v>636</v>
      </c>
      <c r="CG1050" t="s">
        <v>637</v>
      </c>
      <c r="CH1050">
        <v>1962</v>
      </c>
    </row>
    <row r="1051" spans="1:86" hidden="1" x14ac:dyDescent="0.25">
      <c r="A1051">
        <v>330541</v>
      </c>
      <c r="B1051" t="s">
        <v>86</v>
      </c>
      <c r="D1051" t="s">
        <v>115</v>
      </c>
      <c r="K1051" t="s">
        <v>767</v>
      </c>
      <c r="L1051" t="s">
        <v>89</v>
      </c>
      <c r="M1051" t="s">
        <v>759</v>
      </c>
      <c r="V1051" t="s">
        <v>91</v>
      </c>
      <c r="W1051" t="s">
        <v>92</v>
      </c>
      <c r="X1051" t="s">
        <v>93</v>
      </c>
      <c r="Y1051">
        <v>7</v>
      </c>
      <c r="Z1051" t="s">
        <v>137</v>
      </c>
      <c r="AB1051"/>
      <c r="AD1051">
        <v>1.165486E-2</v>
      </c>
      <c r="AF1051">
        <v>0.2330972</v>
      </c>
      <c r="AG1051" t="s">
        <v>95</v>
      </c>
      <c r="AX1051" t="s">
        <v>108</v>
      </c>
      <c r="AY1051" t="s">
        <v>160</v>
      </c>
      <c r="BB1051" t="s">
        <v>499</v>
      </c>
      <c r="BC1051">
        <v>14.125</v>
      </c>
      <c r="BH1051" t="s">
        <v>99</v>
      </c>
      <c r="BO1051" t="s">
        <v>111</v>
      </c>
      <c r="CD1051" t="s">
        <v>775</v>
      </c>
      <c r="CE1051">
        <v>172392</v>
      </c>
      <c r="CF1051" t="s">
        <v>776</v>
      </c>
      <c r="CG1051" t="s">
        <v>777</v>
      </c>
      <c r="CH1051">
        <v>2015</v>
      </c>
    </row>
    <row r="1052" spans="1:86" hidden="1" x14ac:dyDescent="0.25">
      <c r="A1052">
        <v>330541</v>
      </c>
      <c r="B1052" t="s">
        <v>86</v>
      </c>
      <c r="D1052" t="s">
        <v>115</v>
      </c>
      <c r="K1052" t="s">
        <v>767</v>
      </c>
      <c r="L1052" t="s">
        <v>89</v>
      </c>
      <c r="M1052" t="s">
        <v>759</v>
      </c>
      <c r="V1052" t="s">
        <v>91</v>
      </c>
      <c r="W1052" t="s">
        <v>92</v>
      </c>
      <c r="X1052" t="s">
        <v>93</v>
      </c>
      <c r="Z1052" t="s">
        <v>137</v>
      </c>
      <c r="AB1052">
        <v>3.4964580000000002E-2</v>
      </c>
      <c r="AG1052" t="s">
        <v>95</v>
      </c>
      <c r="AX1052" t="s">
        <v>144</v>
      </c>
      <c r="AY1052" t="s">
        <v>810</v>
      </c>
      <c r="BC1052">
        <v>3.5000000000000001E-3</v>
      </c>
      <c r="BH1052" t="s">
        <v>99</v>
      </c>
      <c r="BO1052" t="s">
        <v>111</v>
      </c>
      <c r="CD1052" t="s">
        <v>423</v>
      </c>
      <c r="CE1052">
        <v>15663</v>
      </c>
      <c r="CF1052" t="s">
        <v>811</v>
      </c>
      <c r="CG1052" t="s">
        <v>812</v>
      </c>
      <c r="CH1052">
        <v>1975</v>
      </c>
    </row>
    <row r="1053" spans="1:86" hidden="1" x14ac:dyDescent="0.25">
      <c r="A1053">
        <v>330541</v>
      </c>
      <c r="B1053" t="s">
        <v>86</v>
      </c>
      <c r="D1053" t="s">
        <v>115</v>
      </c>
      <c r="K1053" t="s">
        <v>771</v>
      </c>
      <c r="L1053" t="s">
        <v>89</v>
      </c>
      <c r="M1053" t="s">
        <v>759</v>
      </c>
      <c r="N1053" t="s">
        <v>118</v>
      </c>
      <c r="V1053" t="s">
        <v>91</v>
      </c>
      <c r="W1053" t="s">
        <v>107</v>
      </c>
      <c r="X1053" t="s">
        <v>93</v>
      </c>
      <c r="Z1053" t="s">
        <v>137</v>
      </c>
      <c r="AB1053">
        <v>0.01</v>
      </c>
      <c r="AG1053" t="s">
        <v>95</v>
      </c>
      <c r="AX1053" t="s">
        <v>201</v>
      </c>
      <c r="AY1053" t="s">
        <v>646</v>
      </c>
      <c r="BC1053">
        <v>7</v>
      </c>
      <c r="BH1053" t="s">
        <v>99</v>
      </c>
      <c r="BO1053" t="s">
        <v>111</v>
      </c>
      <c r="CD1053" t="s">
        <v>647</v>
      </c>
      <c r="CE1053">
        <v>9446</v>
      </c>
      <c r="CF1053" t="s">
        <v>648</v>
      </c>
      <c r="CG1053" t="s">
        <v>649</v>
      </c>
      <c r="CH1053">
        <v>1971</v>
      </c>
    </row>
    <row r="1054" spans="1:86" hidden="1" x14ac:dyDescent="0.25">
      <c r="A1054">
        <v>330541</v>
      </c>
      <c r="B1054" t="s">
        <v>86</v>
      </c>
      <c r="D1054" t="s">
        <v>115</v>
      </c>
      <c r="K1054" t="s">
        <v>842</v>
      </c>
      <c r="L1054" t="s">
        <v>117</v>
      </c>
      <c r="M1054" t="s">
        <v>759</v>
      </c>
      <c r="V1054" t="s">
        <v>507</v>
      </c>
      <c r="W1054" t="s">
        <v>107</v>
      </c>
      <c r="X1054" t="s">
        <v>93</v>
      </c>
      <c r="Z1054" t="s">
        <v>137</v>
      </c>
      <c r="AB1054">
        <v>50</v>
      </c>
      <c r="AG1054" t="s">
        <v>893</v>
      </c>
      <c r="AX1054" t="s">
        <v>108</v>
      </c>
      <c r="AY1054" t="s">
        <v>174</v>
      </c>
      <c r="BC1054">
        <v>2</v>
      </c>
      <c r="BH1054" t="s">
        <v>99</v>
      </c>
      <c r="BO1054" t="s">
        <v>111</v>
      </c>
      <c r="CD1054" t="s">
        <v>894</v>
      </c>
      <c r="CE1054">
        <v>16469</v>
      </c>
      <c r="CF1054" t="s">
        <v>895</v>
      </c>
      <c r="CG1054" t="s">
        <v>896</v>
      </c>
      <c r="CH1054">
        <v>1994</v>
      </c>
    </row>
    <row r="1055" spans="1:86" hidden="1" x14ac:dyDescent="0.25">
      <c r="A1055">
        <v>330541</v>
      </c>
      <c r="B1055" t="s">
        <v>86</v>
      </c>
      <c r="D1055" t="s">
        <v>115</v>
      </c>
      <c r="K1055" t="s">
        <v>764</v>
      </c>
      <c r="L1055" t="s">
        <v>117</v>
      </c>
      <c r="M1055" t="s">
        <v>759</v>
      </c>
      <c r="N1055" t="s">
        <v>897</v>
      </c>
      <c r="V1055" t="s">
        <v>91</v>
      </c>
      <c r="W1055" t="s">
        <v>107</v>
      </c>
      <c r="X1055" t="s">
        <v>93</v>
      </c>
      <c r="Y1055">
        <v>1</v>
      </c>
      <c r="Z1055" t="s">
        <v>137</v>
      </c>
      <c r="AB1055">
        <v>2.330972</v>
      </c>
      <c r="AG1055" t="s">
        <v>95</v>
      </c>
      <c r="AX1055" t="s">
        <v>144</v>
      </c>
      <c r="AY1055" t="s">
        <v>438</v>
      </c>
      <c r="BE1055">
        <v>4.1700000000000001E-2</v>
      </c>
      <c r="BG1055">
        <v>0.25</v>
      </c>
      <c r="BH1055" t="s">
        <v>99</v>
      </c>
      <c r="BO1055" t="s">
        <v>111</v>
      </c>
      <c r="CD1055" t="s">
        <v>898</v>
      </c>
      <c r="CE1055">
        <v>173019</v>
      </c>
      <c r="CF1055" t="s">
        <v>899</v>
      </c>
      <c r="CG1055" t="s">
        <v>900</v>
      </c>
      <c r="CH1055">
        <v>2013</v>
      </c>
    </row>
    <row r="1056" spans="1:86" hidden="1" x14ac:dyDescent="0.25">
      <c r="A1056">
        <v>330541</v>
      </c>
      <c r="B1056" t="s">
        <v>86</v>
      </c>
      <c r="D1056" t="s">
        <v>115</v>
      </c>
      <c r="K1056" t="s">
        <v>771</v>
      </c>
      <c r="L1056" t="s">
        <v>89</v>
      </c>
      <c r="M1056" t="s">
        <v>759</v>
      </c>
      <c r="N1056" t="s">
        <v>118</v>
      </c>
      <c r="V1056" t="s">
        <v>91</v>
      </c>
      <c r="W1056" t="s">
        <v>107</v>
      </c>
      <c r="X1056" t="s">
        <v>93</v>
      </c>
      <c r="Z1056" t="s">
        <v>137</v>
      </c>
      <c r="AB1056">
        <v>0.01</v>
      </c>
      <c r="AG1056" t="s">
        <v>95</v>
      </c>
      <c r="AX1056" t="s">
        <v>201</v>
      </c>
      <c r="AY1056" t="s">
        <v>311</v>
      </c>
      <c r="BC1056">
        <v>7</v>
      </c>
      <c r="BH1056" t="s">
        <v>99</v>
      </c>
      <c r="BO1056" t="s">
        <v>111</v>
      </c>
      <c r="CD1056" t="s">
        <v>647</v>
      </c>
      <c r="CE1056">
        <v>9446</v>
      </c>
      <c r="CF1056" t="s">
        <v>648</v>
      </c>
      <c r="CG1056" t="s">
        <v>649</v>
      </c>
      <c r="CH1056">
        <v>1971</v>
      </c>
    </row>
    <row r="1057" spans="1:86" hidden="1" x14ac:dyDescent="0.25">
      <c r="A1057">
        <v>330541</v>
      </c>
      <c r="B1057" t="s">
        <v>86</v>
      </c>
      <c r="D1057" t="s">
        <v>115</v>
      </c>
      <c r="K1057" t="s">
        <v>766</v>
      </c>
      <c r="L1057" t="s">
        <v>117</v>
      </c>
      <c r="M1057" t="s">
        <v>759</v>
      </c>
      <c r="N1057" t="s">
        <v>118</v>
      </c>
      <c r="P1057">
        <v>3</v>
      </c>
      <c r="U1057" t="s">
        <v>99</v>
      </c>
      <c r="V1057" t="s">
        <v>860</v>
      </c>
      <c r="W1057" t="s">
        <v>107</v>
      </c>
      <c r="X1057" t="s">
        <v>93</v>
      </c>
      <c r="Y1057">
        <v>2</v>
      </c>
      <c r="Z1057" t="s">
        <v>137</v>
      </c>
      <c r="AB1057"/>
      <c r="AD1057">
        <v>2.3309719999999999E-2</v>
      </c>
      <c r="AF1057">
        <v>0.2330972</v>
      </c>
      <c r="AG1057" t="s">
        <v>95</v>
      </c>
      <c r="AX1057" t="s">
        <v>108</v>
      </c>
      <c r="AY1057" t="s">
        <v>120</v>
      </c>
      <c r="BE1057">
        <v>0</v>
      </c>
      <c r="BG1057">
        <v>4</v>
      </c>
      <c r="BH1057" t="s">
        <v>99</v>
      </c>
      <c r="BO1057" t="s">
        <v>111</v>
      </c>
      <c r="CD1057" t="s">
        <v>861</v>
      </c>
      <c r="CE1057">
        <v>101990</v>
      </c>
      <c r="CF1057" t="s">
        <v>862</v>
      </c>
      <c r="CG1057" t="s">
        <v>863</v>
      </c>
      <c r="CH1057">
        <v>1998</v>
      </c>
    </row>
    <row r="1058" spans="1:86" hidden="1" x14ac:dyDescent="0.25">
      <c r="A1058">
        <v>330541</v>
      </c>
      <c r="B1058" t="s">
        <v>86</v>
      </c>
      <c r="D1058" t="s">
        <v>115</v>
      </c>
      <c r="K1058" t="s">
        <v>771</v>
      </c>
      <c r="L1058" t="s">
        <v>89</v>
      </c>
      <c r="M1058" t="s">
        <v>759</v>
      </c>
      <c r="N1058" t="s">
        <v>118</v>
      </c>
      <c r="V1058" t="s">
        <v>91</v>
      </c>
      <c r="W1058" t="s">
        <v>107</v>
      </c>
      <c r="X1058" t="s">
        <v>93</v>
      </c>
      <c r="Z1058" t="s">
        <v>137</v>
      </c>
      <c r="AB1058">
        <v>0.01</v>
      </c>
      <c r="AG1058" t="s">
        <v>95</v>
      </c>
      <c r="AX1058" t="s">
        <v>201</v>
      </c>
      <c r="AY1058" t="s">
        <v>646</v>
      </c>
      <c r="BC1058">
        <v>7</v>
      </c>
      <c r="BH1058" t="s">
        <v>99</v>
      </c>
      <c r="BO1058" t="s">
        <v>111</v>
      </c>
      <c r="CD1058" t="s">
        <v>647</v>
      </c>
      <c r="CE1058">
        <v>9446</v>
      </c>
      <c r="CF1058" t="s">
        <v>648</v>
      </c>
      <c r="CG1058" t="s">
        <v>649</v>
      </c>
      <c r="CH1058">
        <v>1971</v>
      </c>
    </row>
    <row r="1059" spans="1:86" hidden="1" x14ac:dyDescent="0.25">
      <c r="A1059">
        <v>330541</v>
      </c>
      <c r="B1059" t="s">
        <v>86</v>
      </c>
      <c r="D1059" t="s">
        <v>115</v>
      </c>
      <c r="K1059" t="s">
        <v>771</v>
      </c>
      <c r="L1059" t="s">
        <v>89</v>
      </c>
      <c r="M1059" t="s">
        <v>759</v>
      </c>
      <c r="N1059" t="s">
        <v>118</v>
      </c>
      <c r="V1059" t="s">
        <v>91</v>
      </c>
      <c r="W1059" t="s">
        <v>107</v>
      </c>
      <c r="X1059" t="s">
        <v>93</v>
      </c>
      <c r="Z1059" t="s">
        <v>137</v>
      </c>
      <c r="AB1059">
        <v>0.01</v>
      </c>
      <c r="AG1059" t="s">
        <v>95</v>
      </c>
      <c r="AX1059" t="s">
        <v>201</v>
      </c>
      <c r="AY1059" t="s">
        <v>311</v>
      </c>
      <c r="BC1059">
        <v>7</v>
      </c>
      <c r="BH1059" t="s">
        <v>99</v>
      </c>
      <c r="BO1059" t="s">
        <v>111</v>
      </c>
      <c r="CD1059" t="s">
        <v>647</v>
      </c>
      <c r="CE1059">
        <v>9446</v>
      </c>
      <c r="CF1059" t="s">
        <v>648</v>
      </c>
      <c r="CG1059" t="s">
        <v>649</v>
      </c>
      <c r="CH1059">
        <v>1971</v>
      </c>
    </row>
    <row r="1060" spans="1:86" hidden="1" x14ac:dyDescent="0.25">
      <c r="A1060">
        <v>330541</v>
      </c>
      <c r="B1060" t="s">
        <v>86</v>
      </c>
      <c r="D1060" t="s">
        <v>115</v>
      </c>
      <c r="K1060" t="s">
        <v>766</v>
      </c>
      <c r="L1060" t="s">
        <v>117</v>
      </c>
      <c r="M1060" t="s">
        <v>759</v>
      </c>
      <c r="V1060" t="s">
        <v>91</v>
      </c>
      <c r="W1060" t="s">
        <v>107</v>
      </c>
      <c r="X1060" t="s">
        <v>93</v>
      </c>
      <c r="Z1060" t="s">
        <v>94</v>
      </c>
      <c r="AB1060">
        <v>4.0000000000000002E-4</v>
      </c>
      <c r="AG1060" t="s">
        <v>95</v>
      </c>
      <c r="AX1060" t="s">
        <v>108</v>
      </c>
      <c r="AY1060" t="s">
        <v>308</v>
      </c>
      <c r="BC1060">
        <v>10</v>
      </c>
      <c r="BH1060" t="s">
        <v>99</v>
      </c>
      <c r="BO1060" t="s">
        <v>111</v>
      </c>
      <c r="CD1060" t="s">
        <v>635</v>
      </c>
      <c r="CE1060">
        <v>8039</v>
      </c>
      <c r="CF1060" t="s">
        <v>636</v>
      </c>
      <c r="CG1060" t="s">
        <v>637</v>
      </c>
      <c r="CH1060">
        <v>1962</v>
      </c>
    </row>
    <row r="1061" spans="1:86" hidden="1" x14ac:dyDescent="0.25">
      <c r="A1061">
        <v>330541</v>
      </c>
      <c r="B1061" t="s">
        <v>86</v>
      </c>
      <c r="D1061" t="s">
        <v>115</v>
      </c>
      <c r="K1061" t="s">
        <v>835</v>
      </c>
      <c r="L1061" t="s">
        <v>89</v>
      </c>
      <c r="M1061" t="s">
        <v>759</v>
      </c>
      <c r="V1061" t="s">
        <v>91</v>
      </c>
      <c r="W1061" t="s">
        <v>92</v>
      </c>
      <c r="X1061" t="s">
        <v>93</v>
      </c>
      <c r="Z1061" t="s">
        <v>137</v>
      </c>
      <c r="AB1061">
        <v>0.1</v>
      </c>
      <c r="AG1061" t="s">
        <v>95</v>
      </c>
      <c r="AX1061" t="s">
        <v>144</v>
      </c>
      <c r="AY1061" t="s">
        <v>109</v>
      </c>
      <c r="BC1061">
        <v>4</v>
      </c>
      <c r="BH1061" t="s">
        <v>99</v>
      </c>
      <c r="BO1061" t="s">
        <v>111</v>
      </c>
      <c r="CD1061" t="s">
        <v>901</v>
      </c>
      <c r="CE1061">
        <v>2251</v>
      </c>
      <c r="CF1061" t="s">
        <v>902</v>
      </c>
      <c r="CG1061" t="s">
        <v>903</v>
      </c>
      <c r="CH1061">
        <v>1971</v>
      </c>
    </row>
    <row r="1062" spans="1:86" hidden="1" x14ac:dyDescent="0.25">
      <c r="A1062">
        <v>330541</v>
      </c>
      <c r="B1062" t="s">
        <v>86</v>
      </c>
      <c r="D1062" t="s">
        <v>115</v>
      </c>
      <c r="K1062" t="s">
        <v>835</v>
      </c>
      <c r="L1062" t="s">
        <v>89</v>
      </c>
      <c r="M1062" t="s">
        <v>759</v>
      </c>
      <c r="V1062" t="s">
        <v>91</v>
      </c>
      <c r="W1062" t="s">
        <v>92</v>
      </c>
      <c r="X1062" t="s">
        <v>93</v>
      </c>
      <c r="Z1062" t="s">
        <v>137</v>
      </c>
      <c r="AB1062">
        <v>0.1</v>
      </c>
      <c r="AG1062" t="s">
        <v>95</v>
      </c>
      <c r="AX1062" t="s">
        <v>144</v>
      </c>
      <c r="AY1062" t="s">
        <v>109</v>
      </c>
      <c r="BC1062">
        <v>2</v>
      </c>
      <c r="BH1062" t="s">
        <v>99</v>
      </c>
      <c r="BO1062" t="s">
        <v>111</v>
      </c>
      <c r="CD1062" t="s">
        <v>901</v>
      </c>
      <c r="CE1062">
        <v>2251</v>
      </c>
      <c r="CF1062" t="s">
        <v>902</v>
      </c>
      <c r="CG1062" t="s">
        <v>903</v>
      </c>
      <c r="CH1062">
        <v>1971</v>
      </c>
    </row>
    <row r="1063" spans="1:86" hidden="1" x14ac:dyDescent="0.25">
      <c r="A1063">
        <v>330541</v>
      </c>
      <c r="B1063" t="s">
        <v>86</v>
      </c>
      <c r="D1063" t="s">
        <v>115</v>
      </c>
      <c r="K1063" t="s">
        <v>835</v>
      </c>
      <c r="L1063" t="s">
        <v>89</v>
      </c>
      <c r="M1063" t="s">
        <v>759</v>
      </c>
      <c r="V1063" t="s">
        <v>91</v>
      </c>
      <c r="W1063" t="s">
        <v>92</v>
      </c>
      <c r="X1063" t="s">
        <v>93</v>
      </c>
      <c r="Z1063" t="s">
        <v>137</v>
      </c>
      <c r="AB1063">
        <v>0.1</v>
      </c>
      <c r="AG1063" t="s">
        <v>95</v>
      </c>
      <c r="AX1063" t="s">
        <v>144</v>
      </c>
      <c r="AY1063" t="s">
        <v>109</v>
      </c>
      <c r="BC1063">
        <v>8</v>
      </c>
      <c r="BH1063" t="s">
        <v>99</v>
      </c>
      <c r="BO1063" t="s">
        <v>111</v>
      </c>
      <c r="CD1063" t="s">
        <v>901</v>
      </c>
      <c r="CE1063">
        <v>2251</v>
      </c>
      <c r="CF1063" t="s">
        <v>902</v>
      </c>
      <c r="CG1063" t="s">
        <v>903</v>
      </c>
      <c r="CH1063">
        <v>1971</v>
      </c>
    </row>
    <row r="1064" spans="1:86" hidden="1" x14ac:dyDescent="0.25">
      <c r="A1064">
        <v>330541</v>
      </c>
      <c r="B1064" t="s">
        <v>86</v>
      </c>
      <c r="D1064" t="s">
        <v>115</v>
      </c>
      <c r="K1064" t="s">
        <v>771</v>
      </c>
      <c r="L1064" t="s">
        <v>89</v>
      </c>
      <c r="M1064" t="s">
        <v>759</v>
      </c>
      <c r="N1064" t="s">
        <v>118</v>
      </c>
      <c r="V1064" t="s">
        <v>91</v>
      </c>
      <c r="W1064" t="s">
        <v>107</v>
      </c>
      <c r="X1064" t="s">
        <v>93</v>
      </c>
      <c r="Z1064" t="s">
        <v>137</v>
      </c>
      <c r="AB1064">
        <v>0.01</v>
      </c>
      <c r="AG1064" t="s">
        <v>95</v>
      </c>
      <c r="AX1064" t="s">
        <v>201</v>
      </c>
      <c r="AY1064" t="s">
        <v>646</v>
      </c>
      <c r="BC1064">
        <v>7</v>
      </c>
      <c r="BH1064" t="s">
        <v>99</v>
      </c>
      <c r="BO1064" t="s">
        <v>111</v>
      </c>
      <c r="CD1064" t="s">
        <v>647</v>
      </c>
      <c r="CE1064">
        <v>9446</v>
      </c>
      <c r="CF1064" t="s">
        <v>648</v>
      </c>
      <c r="CG1064" t="s">
        <v>649</v>
      </c>
      <c r="CH1064">
        <v>1971</v>
      </c>
    </row>
    <row r="1065" spans="1:86" hidden="1" x14ac:dyDescent="0.25">
      <c r="A1065">
        <v>330541</v>
      </c>
      <c r="B1065" t="s">
        <v>86</v>
      </c>
      <c r="C1065" t="s">
        <v>620</v>
      </c>
      <c r="D1065" t="s">
        <v>115</v>
      </c>
      <c r="F1065">
        <v>80</v>
      </c>
      <c r="K1065" t="s">
        <v>872</v>
      </c>
      <c r="L1065" t="s">
        <v>143</v>
      </c>
      <c r="M1065" t="s">
        <v>759</v>
      </c>
      <c r="N1065" t="s">
        <v>118</v>
      </c>
      <c r="V1065" t="s">
        <v>91</v>
      </c>
      <c r="W1065" t="s">
        <v>92</v>
      </c>
      <c r="X1065" t="s">
        <v>93</v>
      </c>
      <c r="Z1065" t="s">
        <v>94</v>
      </c>
      <c r="AB1065"/>
      <c r="AD1065">
        <v>0.01</v>
      </c>
      <c r="AF1065">
        <v>0.05</v>
      </c>
      <c r="AG1065" t="s">
        <v>95</v>
      </c>
      <c r="AX1065" t="s">
        <v>108</v>
      </c>
      <c r="AY1065" t="s">
        <v>150</v>
      </c>
      <c r="BC1065">
        <v>12</v>
      </c>
      <c r="BH1065" t="s">
        <v>99</v>
      </c>
      <c r="BO1065" t="s">
        <v>111</v>
      </c>
      <c r="CD1065" t="s">
        <v>904</v>
      </c>
      <c r="CE1065">
        <v>16557</v>
      </c>
      <c r="CF1065" t="s">
        <v>905</v>
      </c>
      <c r="CG1065" t="s">
        <v>906</v>
      </c>
      <c r="CH1065">
        <v>1994</v>
      </c>
    </row>
    <row r="1066" spans="1:86" hidden="1" x14ac:dyDescent="0.25">
      <c r="A1066">
        <v>330541</v>
      </c>
      <c r="B1066" t="s">
        <v>86</v>
      </c>
      <c r="D1066" t="s">
        <v>115</v>
      </c>
      <c r="K1066" t="s">
        <v>767</v>
      </c>
      <c r="L1066" t="s">
        <v>89</v>
      </c>
      <c r="M1066" t="s">
        <v>759</v>
      </c>
      <c r="N1066" t="s">
        <v>118</v>
      </c>
      <c r="V1066" t="s">
        <v>91</v>
      </c>
      <c r="W1066" t="s">
        <v>92</v>
      </c>
      <c r="X1066" t="s">
        <v>93</v>
      </c>
      <c r="Y1066">
        <v>9</v>
      </c>
      <c r="Z1066" t="s">
        <v>137</v>
      </c>
      <c r="AB1066"/>
      <c r="AD1066">
        <v>2.0978747999999998E-3</v>
      </c>
      <c r="AF1066">
        <v>0.2330972</v>
      </c>
      <c r="AG1066" t="s">
        <v>95</v>
      </c>
      <c r="AX1066" t="s">
        <v>108</v>
      </c>
      <c r="AY1066" t="s">
        <v>160</v>
      </c>
      <c r="BC1066">
        <v>2</v>
      </c>
      <c r="BH1066" t="s">
        <v>99</v>
      </c>
      <c r="BO1066" t="s">
        <v>111</v>
      </c>
      <c r="CD1066" t="s">
        <v>844</v>
      </c>
      <c r="CE1066">
        <v>172697</v>
      </c>
      <c r="CF1066" t="s">
        <v>845</v>
      </c>
      <c r="CG1066" t="s">
        <v>846</v>
      </c>
      <c r="CH1066">
        <v>2015</v>
      </c>
    </row>
    <row r="1067" spans="1:86" hidden="1" x14ac:dyDescent="0.25">
      <c r="A1067">
        <v>330541</v>
      </c>
      <c r="B1067" t="s">
        <v>86</v>
      </c>
      <c r="C1067" t="s">
        <v>158</v>
      </c>
      <c r="D1067" t="s">
        <v>115</v>
      </c>
      <c r="K1067" t="s">
        <v>872</v>
      </c>
      <c r="L1067" t="s">
        <v>143</v>
      </c>
      <c r="M1067" t="s">
        <v>759</v>
      </c>
      <c r="N1067" t="s">
        <v>118</v>
      </c>
      <c r="V1067" t="s">
        <v>91</v>
      </c>
      <c r="W1067" t="s">
        <v>92</v>
      </c>
      <c r="X1067" t="s">
        <v>93</v>
      </c>
      <c r="Z1067" t="s">
        <v>94</v>
      </c>
      <c r="AB1067"/>
      <c r="AD1067">
        <v>0.01</v>
      </c>
      <c r="AF1067">
        <v>0.05</v>
      </c>
      <c r="AG1067" t="s">
        <v>95</v>
      </c>
      <c r="AX1067" t="s">
        <v>108</v>
      </c>
      <c r="AY1067" t="s">
        <v>150</v>
      </c>
      <c r="BC1067">
        <v>12</v>
      </c>
      <c r="BH1067" t="s">
        <v>99</v>
      </c>
      <c r="BO1067" t="s">
        <v>111</v>
      </c>
      <c r="CD1067" t="s">
        <v>904</v>
      </c>
      <c r="CE1067">
        <v>16557</v>
      </c>
      <c r="CF1067" t="s">
        <v>905</v>
      </c>
      <c r="CG1067" t="s">
        <v>906</v>
      </c>
      <c r="CH1067">
        <v>1994</v>
      </c>
    </row>
    <row r="1068" spans="1:86" hidden="1" x14ac:dyDescent="0.25">
      <c r="A1068">
        <v>330541</v>
      </c>
      <c r="B1068" t="s">
        <v>86</v>
      </c>
      <c r="D1068" t="s">
        <v>115</v>
      </c>
      <c r="K1068" t="s">
        <v>771</v>
      </c>
      <c r="L1068" t="s">
        <v>89</v>
      </c>
      <c r="M1068" t="s">
        <v>759</v>
      </c>
      <c r="N1068" t="s">
        <v>118</v>
      </c>
      <c r="V1068" t="s">
        <v>91</v>
      </c>
      <c r="W1068" t="s">
        <v>107</v>
      </c>
      <c r="X1068" t="s">
        <v>93</v>
      </c>
      <c r="Z1068" t="s">
        <v>137</v>
      </c>
      <c r="AB1068">
        <v>0.01</v>
      </c>
      <c r="AG1068" t="s">
        <v>95</v>
      </c>
      <c r="AX1068" t="s">
        <v>201</v>
      </c>
      <c r="AY1068" t="s">
        <v>311</v>
      </c>
      <c r="BC1068">
        <v>7</v>
      </c>
      <c r="BH1068" t="s">
        <v>99</v>
      </c>
      <c r="BO1068" t="s">
        <v>111</v>
      </c>
      <c r="CD1068" t="s">
        <v>647</v>
      </c>
      <c r="CE1068">
        <v>9446</v>
      </c>
      <c r="CF1068" t="s">
        <v>648</v>
      </c>
      <c r="CG1068" t="s">
        <v>649</v>
      </c>
      <c r="CH1068">
        <v>1971</v>
      </c>
    </row>
    <row r="1069" spans="1:86" hidden="1" x14ac:dyDescent="0.25">
      <c r="A1069">
        <v>330541</v>
      </c>
      <c r="B1069" t="s">
        <v>86</v>
      </c>
      <c r="D1069" t="s">
        <v>115</v>
      </c>
      <c r="K1069" t="s">
        <v>764</v>
      </c>
      <c r="L1069" t="s">
        <v>117</v>
      </c>
      <c r="M1069" t="s">
        <v>759</v>
      </c>
      <c r="N1069" t="s">
        <v>897</v>
      </c>
      <c r="V1069" t="s">
        <v>91</v>
      </c>
      <c r="W1069" t="s">
        <v>107</v>
      </c>
      <c r="X1069" t="s">
        <v>93</v>
      </c>
      <c r="Y1069">
        <v>1</v>
      </c>
      <c r="Z1069" t="s">
        <v>137</v>
      </c>
      <c r="AB1069">
        <v>2.330972</v>
      </c>
      <c r="AG1069" t="s">
        <v>95</v>
      </c>
      <c r="AX1069" t="s">
        <v>144</v>
      </c>
      <c r="AY1069" t="s">
        <v>438</v>
      </c>
      <c r="BE1069">
        <v>4.1700000000000001E-2</v>
      </c>
      <c r="BG1069">
        <v>0.25</v>
      </c>
      <c r="BH1069" t="s">
        <v>99</v>
      </c>
      <c r="BO1069" t="s">
        <v>111</v>
      </c>
      <c r="CD1069" t="s">
        <v>898</v>
      </c>
      <c r="CE1069">
        <v>173019</v>
      </c>
      <c r="CF1069" t="s">
        <v>899</v>
      </c>
      <c r="CG1069" t="s">
        <v>900</v>
      </c>
      <c r="CH1069">
        <v>2013</v>
      </c>
    </row>
    <row r="1070" spans="1:86" hidden="1" x14ac:dyDescent="0.25">
      <c r="A1070">
        <v>330541</v>
      </c>
      <c r="B1070" t="s">
        <v>86</v>
      </c>
      <c r="D1070" t="s">
        <v>115</v>
      </c>
      <c r="K1070" t="s">
        <v>835</v>
      </c>
      <c r="L1070" t="s">
        <v>89</v>
      </c>
      <c r="M1070" t="s">
        <v>759</v>
      </c>
      <c r="V1070" t="s">
        <v>91</v>
      </c>
      <c r="W1070" t="s">
        <v>92</v>
      </c>
      <c r="X1070" t="s">
        <v>93</v>
      </c>
      <c r="Z1070" t="s">
        <v>137</v>
      </c>
      <c r="AB1070">
        <v>0.1</v>
      </c>
      <c r="AG1070" t="s">
        <v>95</v>
      </c>
      <c r="AX1070" t="s">
        <v>144</v>
      </c>
      <c r="AY1070" t="s">
        <v>109</v>
      </c>
      <c r="BC1070">
        <v>6</v>
      </c>
      <c r="BH1070" t="s">
        <v>99</v>
      </c>
      <c r="BO1070" t="s">
        <v>111</v>
      </c>
      <c r="CD1070" t="s">
        <v>901</v>
      </c>
      <c r="CE1070">
        <v>2251</v>
      </c>
      <c r="CF1070" t="s">
        <v>902</v>
      </c>
      <c r="CG1070" t="s">
        <v>903</v>
      </c>
      <c r="CH1070">
        <v>1971</v>
      </c>
    </row>
    <row r="1071" spans="1:86" hidden="1" x14ac:dyDescent="0.25">
      <c r="A1071">
        <v>330541</v>
      </c>
      <c r="B1071" t="s">
        <v>86</v>
      </c>
      <c r="D1071" t="s">
        <v>115</v>
      </c>
      <c r="K1071" t="s">
        <v>771</v>
      </c>
      <c r="L1071" t="s">
        <v>89</v>
      </c>
      <c r="M1071" t="s">
        <v>759</v>
      </c>
      <c r="N1071" t="s">
        <v>118</v>
      </c>
      <c r="V1071" t="s">
        <v>91</v>
      </c>
      <c r="W1071" t="s">
        <v>107</v>
      </c>
      <c r="X1071" t="s">
        <v>93</v>
      </c>
      <c r="Z1071" t="s">
        <v>137</v>
      </c>
      <c r="AB1071">
        <v>0.01</v>
      </c>
      <c r="AG1071" t="s">
        <v>95</v>
      </c>
      <c r="AX1071" t="s">
        <v>201</v>
      </c>
      <c r="AY1071" t="s">
        <v>646</v>
      </c>
      <c r="BC1071">
        <v>7</v>
      </c>
      <c r="BH1071" t="s">
        <v>99</v>
      </c>
      <c r="BO1071" t="s">
        <v>111</v>
      </c>
      <c r="CD1071" t="s">
        <v>647</v>
      </c>
      <c r="CE1071">
        <v>9446</v>
      </c>
      <c r="CF1071" t="s">
        <v>648</v>
      </c>
      <c r="CG1071" t="s">
        <v>649</v>
      </c>
      <c r="CH1071">
        <v>1971</v>
      </c>
    </row>
    <row r="1072" spans="1:86" hidden="1" x14ac:dyDescent="0.25">
      <c r="A1072">
        <v>330541</v>
      </c>
      <c r="B1072" t="s">
        <v>86</v>
      </c>
      <c r="D1072" t="s">
        <v>115</v>
      </c>
      <c r="K1072" t="s">
        <v>767</v>
      </c>
      <c r="L1072" t="s">
        <v>89</v>
      </c>
      <c r="M1072" t="s">
        <v>759</v>
      </c>
      <c r="N1072" t="s">
        <v>118</v>
      </c>
      <c r="V1072" t="s">
        <v>91</v>
      </c>
      <c r="W1072" t="s">
        <v>92</v>
      </c>
      <c r="X1072" t="s">
        <v>93</v>
      </c>
      <c r="Y1072">
        <v>9</v>
      </c>
      <c r="Z1072" t="s">
        <v>137</v>
      </c>
      <c r="AB1072"/>
      <c r="AD1072">
        <v>2.0978747999999998E-3</v>
      </c>
      <c r="AF1072">
        <v>0.2330972</v>
      </c>
      <c r="AG1072" t="s">
        <v>95</v>
      </c>
      <c r="AX1072" t="s">
        <v>196</v>
      </c>
      <c r="AY1072" t="s">
        <v>883</v>
      </c>
      <c r="BA1072" t="s">
        <v>179</v>
      </c>
      <c r="BC1072">
        <v>2</v>
      </c>
      <c r="BH1072" t="s">
        <v>99</v>
      </c>
      <c r="BO1072" t="s">
        <v>111</v>
      </c>
      <c r="CD1072" t="s">
        <v>844</v>
      </c>
      <c r="CE1072">
        <v>172697</v>
      </c>
      <c r="CF1072" t="s">
        <v>845</v>
      </c>
      <c r="CG1072" t="s">
        <v>846</v>
      </c>
      <c r="CH1072">
        <v>2015</v>
      </c>
    </row>
    <row r="1073" spans="1:86" hidden="1" x14ac:dyDescent="0.25">
      <c r="A1073">
        <v>330541</v>
      </c>
      <c r="B1073" t="s">
        <v>86</v>
      </c>
      <c r="D1073" t="s">
        <v>115</v>
      </c>
      <c r="K1073" t="s">
        <v>767</v>
      </c>
      <c r="L1073" t="s">
        <v>89</v>
      </c>
      <c r="M1073" t="s">
        <v>759</v>
      </c>
      <c r="N1073" t="s">
        <v>118</v>
      </c>
      <c r="V1073" t="s">
        <v>91</v>
      </c>
      <c r="W1073" t="s">
        <v>92</v>
      </c>
      <c r="X1073" t="s">
        <v>93</v>
      </c>
      <c r="Y1073">
        <v>2</v>
      </c>
      <c r="Z1073" t="s">
        <v>137</v>
      </c>
      <c r="AB1073">
        <v>4.1957495999999997E-2</v>
      </c>
      <c r="AG1073" t="s">
        <v>95</v>
      </c>
      <c r="AX1073" t="s">
        <v>144</v>
      </c>
      <c r="AY1073" t="s">
        <v>438</v>
      </c>
      <c r="BE1073">
        <v>0.125</v>
      </c>
      <c r="BG1073">
        <v>1.2917000000000001</v>
      </c>
      <c r="BH1073" t="s">
        <v>99</v>
      </c>
      <c r="BO1073" t="s">
        <v>111</v>
      </c>
      <c r="CD1073" t="s">
        <v>844</v>
      </c>
      <c r="CE1073">
        <v>172697</v>
      </c>
      <c r="CF1073" t="s">
        <v>845</v>
      </c>
      <c r="CG1073" t="s">
        <v>846</v>
      </c>
      <c r="CH1073">
        <v>2015</v>
      </c>
    </row>
    <row r="1074" spans="1:86" hidden="1" x14ac:dyDescent="0.25">
      <c r="A1074">
        <v>330541</v>
      </c>
      <c r="B1074" t="s">
        <v>86</v>
      </c>
      <c r="D1074" t="s">
        <v>115</v>
      </c>
      <c r="K1074" t="s">
        <v>771</v>
      </c>
      <c r="L1074" t="s">
        <v>89</v>
      </c>
      <c r="M1074" t="s">
        <v>759</v>
      </c>
      <c r="N1074" t="s">
        <v>118</v>
      </c>
      <c r="V1074" t="s">
        <v>91</v>
      </c>
      <c r="W1074" t="s">
        <v>107</v>
      </c>
      <c r="X1074" t="s">
        <v>93</v>
      </c>
      <c r="Z1074" t="s">
        <v>137</v>
      </c>
      <c r="AB1074">
        <v>0.01</v>
      </c>
      <c r="AG1074" t="s">
        <v>95</v>
      </c>
      <c r="AX1074" t="s">
        <v>201</v>
      </c>
      <c r="AY1074" t="s">
        <v>311</v>
      </c>
      <c r="BC1074">
        <v>7</v>
      </c>
      <c r="BH1074" t="s">
        <v>99</v>
      </c>
      <c r="BO1074" t="s">
        <v>111</v>
      </c>
      <c r="CD1074" t="s">
        <v>647</v>
      </c>
      <c r="CE1074">
        <v>9446</v>
      </c>
      <c r="CF1074" t="s">
        <v>648</v>
      </c>
      <c r="CG1074" t="s">
        <v>649</v>
      </c>
      <c r="CH1074">
        <v>1971</v>
      </c>
    </row>
    <row r="1075" spans="1:86" hidden="1" x14ac:dyDescent="0.25">
      <c r="A1075">
        <v>330541</v>
      </c>
      <c r="B1075" t="s">
        <v>86</v>
      </c>
      <c r="D1075" t="s">
        <v>115</v>
      </c>
      <c r="K1075" t="s">
        <v>767</v>
      </c>
      <c r="L1075" t="s">
        <v>89</v>
      </c>
      <c r="M1075" t="s">
        <v>759</v>
      </c>
      <c r="N1075" t="s">
        <v>118</v>
      </c>
      <c r="V1075" t="s">
        <v>91</v>
      </c>
      <c r="W1075" t="s">
        <v>92</v>
      </c>
      <c r="X1075" t="s">
        <v>93</v>
      </c>
      <c r="Y1075">
        <v>10</v>
      </c>
      <c r="Z1075" t="s">
        <v>137</v>
      </c>
      <c r="AB1075"/>
      <c r="AC1075" t="s">
        <v>434</v>
      </c>
      <c r="AD1075">
        <v>1.6316804000000001E-3</v>
      </c>
      <c r="AE1075" t="s">
        <v>434</v>
      </c>
      <c r="AF1075">
        <v>0.2330972</v>
      </c>
      <c r="AG1075" t="s">
        <v>95</v>
      </c>
      <c r="AX1075" t="s">
        <v>144</v>
      </c>
      <c r="AY1075" t="s">
        <v>438</v>
      </c>
      <c r="BE1075">
        <v>0.125</v>
      </c>
      <c r="BG1075">
        <v>1.2917000000000001</v>
      </c>
      <c r="BH1075" t="s">
        <v>99</v>
      </c>
      <c r="BO1075" t="s">
        <v>111</v>
      </c>
      <c r="CD1075" t="s">
        <v>844</v>
      </c>
      <c r="CE1075">
        <v>172697</v>
      </c>
      <c r="CF1075" t="s">
        <v>845</v>
      </c>
      <c r="CG1075" t="s">
        <v>846</v>
      </c>
      <c r="CH1075">
        <v>2015</v>
      </c>
    </row>
    <row r="1076" spans="1:86" hidden="1" x14ac:dyDescent="0.25">
      <c r="A1076">
        <v>330541</v>
      </c>
      <c r="B1076" t="s">
        <v>86</v>
      </c>
      <c r="C1076" t="s">
        <v>158</v>
      </c>
      <c r="D1076" t="s">
        <v>115</v>
      </c>
      <c r="K1076" t="s">
        <v>872</v>
      </c>
      <c r="L1076" t="s">
        <v>143</v>
      </c>
      <c r="M1076" t="s">
        <v>759</v>
      </c>
      <c r="N1076" t="s">
        <v>118</v>
      </c>
      <c r="V1076" t="s">
        <v>91</v>
      </c>
      <c r="W1076" t="s">
        <v>92</v>
      </c>
      <c r="X1076" t="s">
        <v>93</v>
      </c>
      <c r="Z1076" t="s">
        <v>94</v>
      </c>
      <c r="AB1076"/>
      <c r="AD1076">
        <v>0.01</v>
      </c>
      <c r="AF1076">
        <v>0.05</v>
      </c>
      <c r="AG1076" t="s">
        <v>95</v>
      </c>
      <c r="AX1076" t="s">
        <v>144</v>
      </c>
      <c r="AY1076" t="s">
        <v>109</v>
      </c>
      <c r="BC1076">
        <v>72</v>
      </c>
      <c r="BH1076" t="s">
        <v>99</v>
      </c>
      <c r="BO1076" t="s">
        <v>111</v>
      </c>
      <c r="CD1076" t="s">
        <v>904</v>
      </c>
      <c r="CE1076">
        <v>16557</v>
      </c>
      <c r="CF1076" t="s">
        <v>905</v>
      </c>
      <c r="CG1076" t="s">
        <v>906</v>
      </c>
      <c r="CH1076">
        <v>1994</v>
      </c>
    </row>
    <row r="1077" spans="1:86" hidden="1" x14ac:dyDescent="0.25">
      <c r="A1077">
        <v>330541</v>
      </c>
      <c r="B1077" t="s">
        <v>86</v>
      </c>
      <c r="D1077" t="s">
        <v>115</v>
      </c>
      <c r="K1077" t="s">
        <v>835</v>
      </c>
      <c r="L1077" t="s">
        <v>89</v>
      </c>
      <c r="M1077" t="s">
        <v>759</v>
      </c>
      <c r="W1077" t="s">
        <v>92</v>
      </c>
      <c r="Z1077" t="s">
        <v>137</v>
      </c>
      <c r="AB1077">
        <v>5.3E-3</v>
      </c>
      <c r="AG1077" t="s">
        <v>95</v>
      </c>
      <c r="AX1077" t="s">
        <v>108</v>
      </c>
      <c r="AY1077" t="s">
        <v>308</v>
      </c>
      <c r="BH1077" t="s">
        <v>627</v>
      </c>
      <c r="BO1077" t="s">
        <v>111</v>
      </c>
      <c r="CD1077" t="s">
        <v>722</v>
      </c>
      <c r="CE1077">
        <v>7364</v>
      </c>
      <c r="CF1077" t="s">
        <v>723</v>
      </c>
      <c r="CG1077" t="s">
        <v>724</v>
      </c>
      <c r="CH1077">
        <v>1975</v>
      </c>
    </row>
    <row r="1078" spans="1:86" hidden="1" x14ac:dyDescent="0.25">
      <c r="A1078">
        <v>330541</v>
      </c>
      <c r="B1078" t="s">
        <v>86</v>
      </c>
      <c r="D1078" t="s">
        <v>115</v>
      </c>
      <c r="K1078" t="s">
        <v>835</v>
      </c>
      <c r="L1078" t="s">
        <v>89</v>
      </c>
      <c r="M1078" t="s">
        <v>759</v>
      </c>
      <c r="V1078" t="s">
        <v>91</v>
      </c>
      <c r="W1078" t="s">
        <v>92</v>
      </c>
      <c r="X1078" t="s">
        <v>93</v>
      </c>
      <c r="Z1078" t="s">
        <v>94</v>
      </c>
      <c r="AB1078">
        <v>10</v>
      </c>
      <c r="AG1078" t="s">
        <v>95</v>
      </c>
      <c r="AX1078" t="s">
        <v>108</v>
      </c>
      <c r="AY1078" t="s">
        <v>160</v>
      </c>
      <c r="BE1078">
        <v>0</v>
      </c>
      <c r="BF1078" t="s">
        <v>234</v>
      </c>
      <c r="BG1078">
        <v>12</v>
      </c>
      <c r="BH1078" t="s">
        <v>99</v>
      </c>
      <c r="BO1078" t="s">
        <v>111</v>
      </c>
      <c r="CD1078" t="s">
        <v>477</v>
      </c>
      <c r="CE1078">
        <v>60995</v>
      </c>
      <c r="CF1078" t="s">
        <v>694</v>
      </c>
      <c r="CG1078" t="s">
        <v>695</v>
      </c>
      <c r="CH1078">
        <v>1981</v>
      </c>
    </row>
    <row r="1079" spans="1:86" hidden="1" x14ac:dyDescent="0.25">
      <c r="A1079">
        <v>330541</v>
      </c>
      <c r="B1079" t="s">
        <v>86</v>
      </c>
      <c r="C1079" t="s">
        <v>620</v>
      </c>
      <c r="D1079" t="s">
        <v>115</v>
      </c>
      <c r="F1079">
        <v>80</v>
      </c>
      <c r="K1079" t="s">
        <v>872</v>
      </c>
      <c r="L1079" t="s">
        <v>143</v>
      </c>
      <c r="M1079" t="s">
        <v>759</v>
      </c>
      <c r="N1079" t="s">
        <v>118</v>
      </c>
      <c r="V1079" t="s">
        <v>91</v>
      </c>
      <c r="W1079" t="s">
        <v>92</v>
      </c>
      <c r="X1079" t="s">
        <v>93</v>
      </c>
      <c r="Z1079" t="s">
        <v>94</v>
      </c>
      <c r="AB1079"/>
      <c r="AD1079">
        <v>0.01</v>
      </c>
      <c r="AF1079">
        <v>0.05</v>
      </c>
      <c r="AG1079" t="s">
        <v>95</v>
      </c>
      <c r="AX1079" t="s">
        <v>144</v>
      </c>
      <c r="AY1079" t="s">
        <v>109</v>
      </c>
      <c r="BC1079">
        <v>72</v>
      </c>
      <c r="BH1079" t="s">
        <v>99</v>
      </c>
      <c r="BO1079" t="s">
        <v>111</v>
      </c>
      <c r="CD1079" t="s">
        <v>904</v>
      </c>
      <c r="CE1079">
        <v>16557</v>
      </c>
      <c r="CF1079" t="s">
        <v>905</v>
      </c>
      <c r="CG1079" t="s">
        <v>906</v>
      </c>
      <c r="CH1079">
        <v>1994</v>
      </c>
    </row>
    <row r="1080" spans="1:86" hidden="1" x14ac:dyDescent="0.25">
      <c r="A1080">
        <v>330541</v>
      </c>
      <c r="B1080" t="s">
        <v>86</v>
      </c>
      <c r="C1080" t="s">
        <v>183</v>
      </c>
      <c r="D1080" t="s">
        <v>87</v>
      </c>
      <c r="F1080">
        <v>99.8</v>
      </c>
      <c r="K1080" t="s">
        <v>907</v>
      </c>
      <c r="L1080" t="s">
        <v>908</v>
      </c>
      <c r="M1080" t="s">
        <v>909</v>
      </c>
      <c r="N1080" t="s">
        <v>910</v>
      </c>
      <c r="P1080">
        <v>12</v>
      </c>
      <c r="U1080" t="s">
        <v>911</v>
      </c>
      <c r="V1080" t="s">
        <v>507</v>
      </c>
      <c r="W1080" t="s">
        <v>92</v>
      </c>
      <c r="X1080" t="s">
        <v>93</v>
      </c>
      <c r="Z1080" t="s">
        <v>94</v>
      </c>
      <c r="AB1080">
        <v>22.2</v>
      </c>
      <c r="AD1080">
        <v>20.5</v>
      </c>
      <c r="AF1080">
        <v>24.2</v>
      </c>
      <c r="AG1080" t="s">
        <v>95</v>
      </c>
      <c r="AX1080" t="s">
        <v>912</v>
      </c>
      <c r="AY1080" t="s">
        <v>913</v>
      </c>
      <c r="AZ1080" t="s">
        <v>214</v>
      </c>
      <c r="BC1080">
        <v>10</v>
      </c>
      <c r="BH1080" t="s">
        <v>99</v>
      </c>
      <c r="BO1080" t="s">
        <v>111</v>
      </c>
      <c r="CD1080" t="s">
        <v>914</v>
      </c>
      <c r="CE1080">
        <v>18988</v>
      </c>
      <c r="CF1080" t="s">
        <v>915</v>
      </c>
      <c r="CG1080" t="s">
        <v>916</v>
      </c>
      <c r="CH1080">
        <v>1998</v>
      </c>
    </row>
    <row r="1081" spans="1:86" hidden="1" x14ac:dyDescent="0.25">
      <c r="A1081">
        <v>330541</v>
      </c>
      <c r="B1081" t="s">
        <v>86</v>
      </c>
      <c r="C1081" t="s">
        <v>183</v>
      </c>
      <c r="D1081" t="s">
        <v>87</v>
      </c>
      <c r="F1081">
        <v>99.8</v>
      </c>
      <c r="K1081" t="s">
        <v>907</v>
      </c>
      <c r="L1081" t="s">
        <v>908</v>
      </c>
      <c r="M1081" t="s">
        <v>909</v>
      </c>
      <c r="N1081" t="s">
        <v>910</v>
      </c>
      <c r="P1081">
        <v>12</v>
      </c>
      <c r="U1081" t="s">
        <v>911</v>
      </c>
      <c r="V1081" t="s">
        <v>507</v>
      </c>
      <c r="W1081" t="s">
        <v>92</v>
      </c>
      <c r="X1081" t="s">
        <v>93</v>
      </c>
      <c r="Z1081" t="s">
        <v>94</v>
      </c>
      <c r="AA1081" t="s">
        <v>106</v>
      </c>
      <c r="AB1081">
        <v>29.1</v>
      </c>
      <c r="AG1081" t="s">
        <v>95</v>
      </c>
      <c r="AX1081" t="s">
        <v>523</v>
      </c>
      <c r="AY1081" t="s">
        <v>523</v>
      </c>
      <c r="AZ1081" t="s">
        <v>475</v>
      </c>
      <c r="BC1081">
        <v>10</v>
      </c>
      <c r="BH1081" t="s">
        <v>99</v>
      </c>
      <c r="BO1081" t="s">
        <v>111</v>
      </c>
      <c r="CD1081" t="s">
        <v>914</v>
      </c>
      <c r="CE1081">
        <v>18988</v>
      </c>
      <c r="CF1081" t="s">
        <v>915</v>
      </c>
      <c r="CG1081" t="s">
        <v>916</v>
      </c>
      <c r="CH1081">
        <v>1998</v>
      </c>
    </row>
    <row r="1082" spans="1:86" hidden="1" x14ac:dyDescent="0.25">
      <c r="A1082">
        <v>330541</v>
      </c>
      <c r="B1082" t="s">
        <v>86</v>
      </c>
      <c r="D1082" t="s">
        <v>115</v>
      </c>
      <c r="F1082">
        <v>80</v>
      </c>
      <c r="K1082" t="s">
        <v>917</v>
      </c>
      <c r="L1082" t="s">
        <v>918</v>
      </c>
      <c r="M1082" t="s">
        <v>909</v>
      </c>
      <c r="N1082" t="s">
        <v>919</v>
      </c>
      <c r="R1082">
        <v>3</v>
      </c>
      <c r="T1082">
        <v>7</v>
      </c>
      <c r="U1082" t="s">
        <v>920</v>
      </c>
      <c r="V1082" t="s">
        <v>507</v>
      </c>
      <c r="W1082" t="s">
        <v>92</v>
      </c>
      <c r="X1082" t="s">
        <v>93</v>
      </c>
      <c r="Z1082" t="s">
        <v>137</v>
      </c>
      <c r="AB1082">
        <v>63.335999999999999</v>
      </c>
      <c r="AG1082" t="s">
        <v>95</v>
      </c>
      <c r="AX1082" t="s">
        <v>523</v>
      </c>
      <c r="AY1082" t="s">
        <v>523</v>
      </c>
      <c r="AZ1082" t="s">
        <v>475</v>
      </c>
      <c r="BC1082">
        <v>8</v>
      </c>
      <c r="BH1082" t="s">
        <v>99</v>
      </c>
      <c r="BO1082" t="s">
        <v>111</v>
      </c>
      <c r="CD1082" t="s">
        <v>921</v>
      </c>
      <c r="CE1082">
        <v>168034</v>
      </c>
      <c r="CF1082" t="s">
        <v>922</v>
      </c>
      <c r="CG1082" t="s">
        <v>923</v>
      </c>
      <c r="CH1082">
        <v>2014</v>
      </c>
    </row>
    <row r="1083" spans="1:86" hidden="1" x14ac:dyDescent="0.25">
      <c r="A1083">
        <v>330541</v>
      </c>
      <c r="B1083" t="s">
        <v>86</v>
      </c>
      <c r="C1083" t="s">
        <v>183</v>
      </c>
      <c r="D1083" t="s">
        <v>87</v>
      </c>
      <c r="F1083">
        <v>99.8</v>
      </c>
      <c r="K1083" t="s">
        <v>907</v>
      </c>
      <c r="L1083" t="s">
        <v>908</v>
      </c>
      <c r="M1083" t="s">
        <v>909</v>
      </c>
      <c r="N1083" t="s">
        <v>919</v>
      </c>
      <c r="P1083">
        <v>12</v>
      </c>
      <c r="U1083" t="s">
        <v>920</v>
      </c>
      <c r="V1083" t="s">
        <v>507</v>
      </c>
      <c r="W1083" t="s">
        <v>92</v>
      </c>
      <c r="X1083" t="s">
        <v>93</v>
      </c>
      <c r="Z1083" t="s">
        <v>94</v>
      </c>
      <c r="AB1083">
        <v>19.600000000000001</v>
      </c>
      <c r="AD1083">
        <v>13.9</v>
      </c>
      <c r="AF1083">
        <v>27.7</v>
      </c>
      <c r="AG1083" t="s">
        <v>95</v>
      </c>
      <c r="AX1083" t="s">
        <v>523</v>
      </c>
      <c r="AY1083" t="s">
        <v>523</v>
      </c>
      <c r="AZ1083" t="s">
        <v>475</v>
      </c>
      <c r="BC1083">
        <v>14</v>
      </c>
      <c r="BH1083" t="s">
        <v>99</v>
      </c>
      <c r="BO1083" t="s">
        <v>111</v>
      </c>
      <c r="CD1083" t="s">
        <v>914</v>
      </c>
      <c r="CE1083">
        <v>18988</v>
      </c>
      <c r="CF1083" t="s">
        <v>915</v>
      </c>
      <c r="CG1083" t="s">
        <v>916</v>
      </c>
      <c r="CH1083">
        <v>1998</v>
      </c>
    </row>
    <row r="1084" spans="1:86" hidden="1" x14ac:dyDescent="0.25">
      <c r="A1084">
        <v>330541</v>
      </c>
      <c r="B1084" t="s">
        <v>86</v>
      </c>
      <c r="C1084" t="s">
        <v>183</v>
      </c>
      <c r="D1084" t="s">
        <v>87</v>
      </c>
      <c r="F1084">
        <v>99.8</v>
      </c>
      <c r="K1084" t="s">
        <v>924</v>
      </c>
      <c r="L1084" t="s">
        <v>925</v>
      </c>
      <c r="M1084" t="s">
        <v>909</v>
      </c>
      <c r="N1084" t="s">
        <v>919</v>
      </c>
      <c r="P1084">
        <v>7</v>
      </c>
      <c r="U1084" t="s">
        <v>99</v>
      </c>
      <c r="V1084" t="s">
        <v>507</v>
      </c>
      <c r="W1084" t="s">
        <v>92</v>
      </c>
      <c r="X1084" t="s">
        <v>93</v>
      </c>
      <c r="Z1084" t="s">
        <v>94</v>
      </c>
      <c r="AB1084">
        <v>22.2</v>
      </c>
      <c r="AD1084">
        <v>19.8</v>
      </c>
      <c r="AF1084">
        <v>25</v>
      </c>
      <c r="AG1084" t="s">
        <v>95</v>
      </c>
      <c r="AX1084" t="s">
        <v>523</v>
      </c>
      <c r="AY1084" t="s">
        <v>523</v>
      </c>
      <c r="AZ1084" t="s">
        <v>475</v>
      </c>
      <c r="BC1084">
        <v>14</v>
      </c>
      <c r="BH1084" t="s">
        <v>99</v>
      </c>
      <c r="BO1084" t="s">
        <v>111</v>
      </c>
      <c r="CD1084" t="s">
        <v>914</v>
      </c>
      <c r="CE1084">
        <v>18988</v>
      </c>
      <c r="CF1084" t="s">
        <v>915</v>
      </c>
      <c r="CG1084" t="s">
        <v>916</v>
      </c>
      <c r="CH1084">
        <v>1998</v>
      </c>
    </row>
    <row r="1085" spans="1:86" hidden="1" x14ac:dyDescent="0.25">
      <c r="A1085">
        <v>330541</v>
      </c>
      <c r="B1085" t="s">
        <v>86</v>
      </c>
      <c r="C1085" t="s">
        <v>183</v>
      </c>
      <c r="D1085" t="s">
        <v>87</v>
      </c>
      <c r="F1085">
        <v>99.8</v>
      </c>
      <c r="K1085" t="s">
        <v>907</v>
      </c>
      <c r="L1085" t="s">
        <v>908</v>
      </c>
      <c r="M1085" t="s">
        <v>909</v>
      </c>
      <c r="N1085" t="s">
        <v>919</v>
      </c>
      <c r="P1085">
        <v>24</v>
      </c>
      <c r="U1085" t="s">
        <v>920</v>
      </c>
      <c r="V1085" t="s">
        <v>507</v>
      </c>
      <c r="W1085" t="s">
        <v>92</v>
      </c>
      <c r="X1085" t="s">
        <v>93</v>
      </c>
      <c r="Z1085" t="s">
        <v>94</v>
      </c>
      <c r="AB1085">
        <v>10.8</v>
      </c>
      <c r="AD1085">
        <v>8.1</v>
      </c>
      <c r="AF1085">
        <v>14.6</v>
      </c>
      <c r="AG1085" t="s">
        <v>95</v>
      </c>
      <c r="AX1085" t="s">
        <v>523</v>
      </c>
      <c r="AY1085" t="s">
        <v>523</v>
      </c>
      <c r="AZ1085" t="s">
        <v>475</v>
      </c>
      <c r="BC1085">
        <v>14</v>
      </c>
      <c r="BH1085" t="s">
        <v>99</v>
      </c>
      <c r="BO1085" t="s">
        <v>111</v>
      </c>
      <c r="CD1085" t="s">
        <v>914</v>
      </c>
      <c r="CE1085">
        <v>18988</v>
      </c>
      <c r="CF1085" t="s">
        <v>915</v>
      </c>
      <c r="CG1085" t="s">
        <v>916</v>
      </c>
      <c r="CH1085">
        <v>1998</v>
      </c>
    </row>
    <row r="1086" spans="1:86" hidden="1" x14ac:dyDescent="0.25">
      <c r="A1086">
        <v>330541</v>
      </c>
      <c r="B1086" t="s">
        <v>86</v>
      </c>
      <c r="C1086" t="s">
        <v>183</v>
      </c>
      <c r="D1086" t="s">
        <v>87</v>
      </c>
      <c r="F1086">
        <v>99.8</v>
      </c>
      <c r="K1086" t="s">
        <v>907</v>
      </c>
      <c r="L1086" t="s">
        <v>908</v>
      </c>
      <c r="M1086" t="s">
        <v>909</v>
      </c>
      <c r="N1086" t="s">
        <v>919</v>
      </c>
      <c r="P1086">
        <v>12</v>
      </c>
      <c r="U1086" t="s">
        <v>920</v>
      </c>
      <c r="V1086" t="s">
        <v>507</v>
      </c>
      <c r="W1086" t="s">
        <v>92</v>
      </c>
      <c r="X1086" t="s">
        <v>93</v>
      </c>
      <c r="Z1086" t="s">
        <v>94</v>
      </c>
      <c r="AB1086">
        <v>21.1</v>
      </c>
      <c r="AG1086" t="s">
        <v>95</v>
      </c>
      <c r="AX1086" t="s">
        <v>196</v>
      </c>
      <c r="AY1086" t="s">
        <v>817</v>
      </c>
      <c r="AZ1086" t="s">
        <v>486</v>
      </c>
      <c r="BA1086" t="s">
        <v>179</v>
      </c>
      <c r="BC1086">
        <v>14</v>
      </c>
      <c r="BH1086" t="s">
        <v>99</v>
      </c>
      <c r="BO1086" t="s">
        <v>111</v>
      </c>
      <c r="CD1086" t="s">
        <v>914</v>
      </c>
      <c r="CE1086">
        <v>18988</v>
      </c>
      <c r="CF1086" t="s">
        <v>915</v>
      </c>
      <c r="CG1086" t="s">
        <v>916</v>
      </c>
      <c r="CH1086">
        <v>1998</v>
      </c>
    </row>
    <row r="1087" spans="1:86" hidden="1" x14ac:dyDescent="0.25">
      <c r="A1087">
        <v>330541</v>
      </c>
      <c r="B1087" t="s">
        <v>86</v>
      </c>
      <c r="C1087" t="s">
        <v>183</v>
      </c>
      <c r="D1087" t="s">
        <v>87</v>
      </c>
      <c r="F1087">
        <v>99.8</v>
      </c>
      <c r="K1087" t="s">
        <v>907</v>
      </c>
      <c r="L1087" t="s">
        <v>908</v>
      </c>
      <c r="M1087" t="s">
        <v>909</v>
      </c>
      <c r="N1087" t="s">
        <v>919</v>
      </c>
      <c r="P1087">
        <v>24</v>
      </c>
      <c r="U1087" t="s">
        <v>920</v>
      </c>
      <c r="V1087" t="s">
        <v>507</v>
      </c>
      <c r="W1087" t="s">
        <v>92</v>
      </c>
      <c r="X1087" t="s">
        <v>93</v>
      </c>
      <c r="Z1087" t="s">
        <v>94</v>
      </c>
      <c r="AA1087" t="s">
        <v>106</v>
      </c>
      <c r="AB1087">
        <v>29.1</v>
      </c>
      <c r="AG1087" t="s">
        <v>95</v>
      </c>
      <c r="AX1087" t="s">
        <v>196</v>
      </c>
      <c r="AY1087" t="s">
        <v>817</v>
      </c>
      <c r="AZ1087" t="s">
        <v>486</v>
      </c>
      <c r="BA1087" t="s">
        <v>179</v>
      </c>
      <c r="BC1087">
        <v>14</v>
      </c>
      <c r="BH1087" t="s">
        <v>99</v>
      </c>
      <c r="BO1087" t="s">
        <v>111</v>
      </c>
      <c r="CD1087" t="s">
        <v>914</v>
      </c>
      <c r="CE1087">
        <v>18988</v>
      </c>
      <c r="CF1087" t="s">
        <v>915</v>
      </c>
      <c r="CG1087" t="s">
        <v>916</v>
      </c>
      <c r="CH1087">
        <v>1998</v>
      </c>
    </row>
    <row r="1088" spans="1:86" hidden="1" x14ac:dyDescent="0.25">
      <c r="A1088">
        <v>330541</v>
      </c>
      <c r="B1088" t="s">
        <v>86</v>
      </c>
      <c r="D1088" t="s">
        <v>115</v>
      </c>
      <c r="F1088">
        <v>80</v>
      </c>
      <c r="K1088" t="s">
        <v>917</v>
      </c>
      <c r="L1088" t="s">
        <v>918</v>
      </c>
      <c r="M1088" t="s">
        <v>909</v>
      </c>
      <c r="N1088" t="s">
        <v>919</v>
      </c>
      <c r="R1088">
        <v>3</v>
      </c>
      <c r="T1088">
        <v>7</v>
      </c>
      <c r="U1088" t="s">
        <v>920</v>
      </c>
      <c r="V1088" t="s">
        <v>507</v>
      </c>
      <c r="W1088" t="s">
        <v>92</v>
      </c>
      <c r="X1088" t="s">
        <v>93</v>
      </c>
      <c r="Z1088" t="s">
        <v>137</v>
      </c>
      <c r="AB1088">
        <v>31.25</v>
      </c>
      <c r="AG1088" t="s">
        <v>95</v>
      </c>
      <c r="AX1088" t="s">
        <v>926</v>
      </c>
      <c r="AY1088" t="s">
        <v>927</v>
      </c>
      <c r="AZ1088" t="s">
        <v>486</v>
      </c>
      <c r="BC1088">
        <v>8</v>
      </c>
      <c r="BH1088" t="s">
        <v>99</v>
      </c>
      <c r="BO1088" t="s">
        <v>111</v>
      </c>
      <c r="CD1088" t="s">
        <v>921</v>
      </c>
      <c r="CE1088">
        <v>168034</v>
      </c>
      <c r="CF1088" t="s">
        <v>922</v>
      </c>
      <c r="CG1088" t="s">
        <v>923</v>
      </c>
      <c r="CH1088">
        <v>2014</v>
      </c>
    </row>
    <row r="1089" spans="1:86" hidden="1" x14ac:dyDescent="0.25">
      <c r="A1089">
        <v>330541</v>
      </c>
      <c r="B1089" t="s">
        <v>86</v>
      </c>
      <c r="C1089" t="s">
        <v>183</v>
      </c>
      <c r="D1089" t="s">
        <v>87</v>
      </c>
      <c r="F1089">
        <v>99.8</v>
      </c>
      <c r="K1089" t="s">
        <v>907</v>
      </c>
      <c r="L1089" t="s">
        <v>908</v>
      </c>
      <c r="M1089" t="s">
        <v>909</v>
      </c>
      <c r="N1089" t="s">
        <v>919</v>
      </c>
      <c r="P1089">
        <v>12</v>
      </c>
      <c r="U1089" t="s">
        <v>920</v>
      </c>
      <c r="V1089" t="s">
        <v>507</v>
      </c>
      <c r="W1089" t="s">
        <v>92</v>
      </c>
      <c r="X1089" t="s">
        <v>93</v>
      </c>
      <c r="Z1089" t="s">
        <v>94</v>
      </c>
      <c r="AB1089">
        <v>29.1</v>
      </c>
      <c r="AG1089" t="s">
        <v>95</v>
      </c>
      <c r="AX1089" t="s">
        <v>196</v>
      </c>
      <c r="AY1089" t="s">
        <v>928</v>
      </c>
      <c r="AZ1089" t="s">
        <v>486</v>
      </c>
      <c r="BA1089" t="s">
        <v>179</v>
      </c>
      <c r="BC1089">
        <v>14</v>
      </c>
      <c r="BH1089" t="s">
        <v>99</v>
      </c>
      <c r="BO1089" t="s">
        <v>111</v>
      </c>
      <c r="CD1089" t="s">
        <v>914</v>
      </c>
      <c r="CE1089">
        <v>18988</v>
      </c>
      <c r="CF1089" t="s">
        <v>915</v>
      </c>
      <c r="CG1089" t="s">
        <v>916</v>
      </c>
      <c r="CH1089">
        <v>1998</v>
      </c>
    </row>
    <row r="1090" spans="1:86" hidden="1" x14ac:dyDescent="0.25">
      <c r="A1090">
        <v>330541</v>
      </c>
      <c r="B1090" t="s">
        <v>86</v>
      </c>
      <c r="C1090" t="s">
        <v>183</v>
      </c>
      <c r="D1090" t="s">
        <v>87</v>
      </c>
      <c r="F1090">
        <v>99.8</v>
      </c>
      <c r="K1090" t="s">
        <v>907</v>
      </c>
      <c r="L1090" t="s">
        <v>908</v>
      </c>
      <c r="M1090" t="s">
        <v>909</v>
      </c>
      <c r="N1090" t="s">
        <v>919</v>
      </c>
      <c r="P1090">
        <v>24</v>
      </c>
      <c r="U1090" t="s">
        <v>920</v>
      </c>
      <c r="V1090" t="s">
        <v>507</v>
      </c>
      <c r="W1090" t="s">
        <v>92</v>
      </c>
      <c r="X1090" t="s">
        <v>93</v>
      </c>
      <c r="Z1090" t="s">
        <v>94</v>
      </c>
      <c r="AB1090">
        <v>29.1</v>
      </c>
      <c r="AG1090" t="s">
        <v>95</v>
      </c>
      <c r="AX1090" t="s">
        <v>196</v>
      </c>
      <c r="AY1090" t="s">
        <v>929</v>
      </c>
      <c r="AZ1090" t="s">
        <v>486</v>
      </c>
      <c r="BC1090">
        <v>14</v>
      </c>
      <c r="BH1090" t="s">
        <v>99</v>
      </c>
      <c r="BO1090" t="s">
        <v>111</v>
      </c>
      <c r="CD1090" t="s">
        <v>914</v>
      </c>
      <c r="CE1090">
        <v>18988</v>
      </c>
      <c r="CF1090" t="s">
        <v>915</v>
      </c>
      <c r="CG1090" t="s">
        <v>916</v>
      </c>
      <c r="CH1090">
        <v>1998</v>
      </c>
    </row>
    <row r="1091" spans="1:86" hidden="1" x14ac:dyDescent="0.25">
      <c r="A1091">
        <v>330541</v>
      </c>
      <c r="B1091" t="s">
        <v>86</v>
      </c>
      <c r="C1091" t="s">
        <v>183</v>
      </c>
      <c r="D1091" t="s">
        <v>87</v>
      </c>
      <c r="F1091">
        <v>99.8</v>
      </c>
      <c r="K1091" t="s">
        <v>907</v>
      </c>
      <c r="L1091" t="s">
        <v>908</v>
      </c>
      <c r="M1091" t="s">
        <v>909</v>
      </c>
      <c r="N1091" t="s">
        <v>910</v>
      </c>
      <c r="P1091">
        <v>12</v>
      </c>
      <c r="U1091" t="s">
        <v>911</v>
      </c>
      <c r="V1091" t="s">
        <v>507</v>
      </c>
      <c r="W1091" t="s">
        <v>92</v>
      </c>
      <c r="X1091" t="s">
        <v>93</v>
      </c>
      <c r="Z1091" t="s">
        <v>94</v>
      </c>
      <c r="AB1091">
        <v>29.1</v>
      </c>
      <c r="AG1091" t="s">
        <v>95</v>
      </c>
      <c r="AX1091" t="s">
        <v>912</v>
      </c>
      <c r="AY1091" t="s">
        <v>913</v>
      </c>
      <c r="AZ1091" t="s">
        <v>486</v>
      </c>
      <c r="BC1091">
        <v>10</v>
      </c>
      <c r="BH1091" t="s">
        <v>99</v>
      </c>
      <c r="BO1091" t="s">
        <v>111</v>
      </c>
      <c r="CD1091" t="s">
        <v>914</v>
      </c>
      <c r="CE1091">
        <v>18988</v>
      </c>
      <c r="CF1091" t="s">
        <v>915</v>
      </c>
      <c r="CG1091" t="s">
        <v>916</v>
      </c>
      <c r="CH1091">
        <v>1998</v>
      </c>
    </row>
    <row r="1092" spans="1:86" hidden="1" x14ac:dyDescent="0.25">
      <c r="A1092">
        <v>330541</v>
      </c>
      <c r="B1092" t="s">
        <v>86</v>
      </c>
      <c r="D1092" t="s">
        <v>115</v>
      </c>
      <c r="F1092">
        <v>80</v>
      </c>
      <c r="K1092" t="s">
        <v>917</v>
      </c>
      <c r="L1092" t="s">
        <v>918</v>
      </c>
      <c r="M1092" t="s">
        <v>909</v>
      </c>
      <c r="N1092" t="s">
        <v>919</v>
      </c>
      <c r="R1092">
        <v>3</v>
      </c>
      <c r="T1092">
        <v>7</v>
      </c>
      <c r="U1092" t="s">
        <v>920</v>
      </c>
      <c r="V1092" t="s">
        <v>507</v>
      </c>
      <c r="W1092" t="s">
        <v>92</v>
      </c>
      <c r="X1092" t="s">
        <v>93</v>
      </c>
      <c r="Z1092" t="s">
        <v>137</v>
      </c>
      <c r="AB1092">
        <v>3.125</v>
      </c>
      <c r="AG1092" t="s">
        <v>95</v>
      </c>
      <c r="AX1092" t="s">
        <v>196</v>
      </c>
      <c r="AY1092" t="s">
        <v>928</v>
      </c>
      <c r="AZ1092" t="s">
        <v>486</v>
      </c>
      <c r="BA1092" t="s">
        <v>179</v>
      </c>
      <c r="BC1092">
        <v>8</v>
      </c>
      <c r="BH1092" t="s">
        <v>99</v>
      </c>
      <c r="BO1092" t="s">
        <v>111</v>
      </c>
      <c r="CD1092" t="s">
        <v>921</v>
      </c>
      <c r="CE1092">
        <v>168034</v>
      </c>
      <c r="CF1092" t="s">
        <v>922</v>
      </c>
      <c r="CG1092" t="s">
        <v>923</v>
      </c>
      <c r="CH1092">
        <v>2014</v>
      </c>
    </row>
    <row r="1093" spans="1:86" hidden="1" x14ac:dyDescent="0.25">
      <c r="A1093">
        <v>330541</v>
      </c>
      <c r="B1093" t="s">
        <v>86</v>
      </c>
      <c r="C1093" t="s">
        <v>183</v>
      </c>
      <c r="D1093" t="s">
        <v>87</v>
      </c>
      <c r="F1093">
        <v>99.8</v>
      </c>
      <c r="K1093" t="s">
        <v>924</v>
      </c>
      <c r="L1093" t="s">
        <v>925</v>
      </c>
      <c r="M1093" t="s">
        <v>909</v>
      </c>
      <c r="N1093" t="s">
        <v>919</v>
      </c>
      <c r="P1093">
        <v>7</v>
      </c>
      <c r="U1093" t="s">
        <v>99</v>
      </c>
      <c r="V1093" t="s">
        <v>507</v>
      </c>
      <c r="W1093" t="s">
        <v>92</v>
      </c>
      <c r="X1093" t="s">
        <v>93</v>
      </c>
      <c r="Z1093" t="s">
        <v>94</v>
      </c>
      <c r="AB1093">
        <v>14.5</v>
      </c>
      <c r="AG1093" t="s">
        <v>95</v>
      </c>
      <c r="AX1093" t="s">
        <v>196</v>
      </c>
      <c r="AY1093" t="s">
        <v>928</v>
      </c>
      <c r="AZ1093" t="s">
        <v>486</v>
      </c>
      <c r="BA1093" t="s">
        <v>179</v>
      </c>
      <c r="BC1093">
        <v>14</v>
      </c>
      <c r="BH1093" t="s">
        <v>99</v>
      </c>
      <c r="BO1093" t="s">
        <v>111</v>
      </c>
      <c r="CD1093" t="s">
        <v>914</v>
      </c>
      <c r="CE1093">
        <v>18988</v>
      </c>
      <c r="CF1093" t="s">
        <v>915</v>
      </c>
      <c r="CG1093" t="s">
        <v>916</v>
      </c>
      <c r="CH1093">
        <v>1998</v>
      </c>
    </row>
    <row r="1094" spans="1:86" hidden="1" x14ac:dyDescent="0.25">
      <c r="A1094">
        <v>330541</v>
      </c>
      <c r="B1094" t="s">
        <v>86</v>
      </c>
      <c r="C1094" t="s">
        <v>183</v>
      </c>
      <c r="D1094" t="s">
        <v>87</v>
      </c>
      <c r="F1094">
        <v>99.8</v>
      </c>
      <c r="K1094" t="s">
        <v>907</v>
      </c>
      <c r="L1094" t="s">
        <v>908</v>
      </c>
      <c r="M1094" t="s">
        <v>909</v>
      </c>
      <c r="N1094" t="s">
        <v>919</v>
      </c>
      <c r="P1094">
        <v>24</v>
      </c>
      <c r="U1094" t="s">
        <v>920</v>
      </c>
      <c r="V1094" t="s">
        <v>507</v>
      </c>
      <c r="W1094" t="s">
        <v>92</v>
      </c>
      <c r="X1094" t="s">
        <v>93</v>
      </c>
      <c r="Z1094" t="s">
        <v>94</v>
      </c>
      <c r="AA1094" t="s">
        <v>106</v>
      </c>
      <c r="AB1094">
        <v>29.1</v>
      </c>
      <c r="AG1094" t="s">
        <v>95</v>
      </c>
      <c r="AX1094" t="s">
        <v>196</v>
      </c>
      <c r="AY1094" t="s">
        <v>928</v>
      </c>
      <c r="AZ1094" t="s">
        <v>486</v>
      </c>
      <c r="BC1094">
        <v>14</v>
      </c>
      <c r="BH1094" t="s">
        <v>99</v>
      </c>
      <c r="BO1094" t="s">
        <v>111</v>
      </c>
      <c r="CD1094" t="s">
        <v>914</v>
      </c>
      <c r="CE1094">
        <v>18988</v>
      </c>
      <c r="CF1094" t="s">
        <v>915</v>
      </c>
      <c r="CG1094" t="s">
        <v>916</v>
      </c>
      <c r="CH1094">
        <v>1998</v>
      </c>
    </row>
    <row r="1095" spans="1:86" hidden="1" x14ac:dyDescent="0.25">
      <c r="A1095">
        <v>330541</v>
      </c>
      <c r="B1095" t="s">
        <v>86</v>
      </c>
      <c r="C1095" t="s">
        <v>183</v>
      </c>
      <c r="D1095" t="s">
        <v>87</v>
      </c>
      <c r="F1095">
        <v>99.8</v>
      </c>
      <c r="K1095" t="s">
        <v>907</v>
      </c>
      <c r="L1095" t="s">
        <v>908</v>
      </c>
      <c r="M1095" t="s">
        <v>909</v>
      </c>
      <c r="N1095" t="s">
        <v>919</v>
      </c>
      <c r="P1095">
        <v>12</v>
      </c>
      <c r="U1095" t="s">
        <v>920</v>
      </c>
      <c r="V1095" t="s">
        <v>507</v>
      </c>
      <c r="W1095" t="s">
        <v>92</v>
      </c>
      <c r="X1095" t="s">
        <v>93</v>
      </c>
      <c r="Z1095" t="s">
        <v>94</v>
      </c>
      <c r="AB1095">
        <v>29.1</v>
      </c>
      <c r="AG1095" t="s">
        <v>95</v>
      </c>
      <c r="AX1095" t="s">
        <v>196</v>
      </c>
      <c r="AY1095" t="s">
        <v>929</v>
      </c>
      <c r="AZ1095" t="s">
        <v>486</v>
      </c>
      <c r="BA1095" t="s">
        <v>179</v>
      </c>
      <c r="BC1095">
        <v>14</v>
      </c>
      <c r="BH1095" t="s">
        <v>99</v>
      </c>
      <c r="BO1095" t="s">
        <v>111</v>
      </c>
      <c r="CD1095" t="s">
        <v>914</v>
      </c>
      <c r="CE1095">
        <v>18988</v>
      </c>
      <c r="CF1095" t="s">
        <v>915</v>
      </c>
      <c r="CG1095" t="s">
        <v>916</v>
      </c>
      <c r="CH1095">
        <v>1998</v>
      </c>
    </row>
    <row r="1096" spans="1:86" hidden="1" x14ac:dyDescent="0.25">
      <c r="A1096">
        <v>330541</v>
      </c>
      <c r="B1096" t="s">
        <v>86</v>
      </c>
      <c r="C1096" t="s">
        <v>183</v>
      </c>
      <c r="D1096" t="s">
        <v>87</v>
      </c>
      <c r="F1096">
        <v>99.8</v>
      </c>
      <c r="K1096" t="s">
        <v>907</v>
      </c>
      <c r="L1096" t="s">
        <v>908</v>
      </c>
      <c r="M1096" t="s">
        <v>909</v>
      </c>
      <c r="N1096" t="s">
        <v>910</v>
      </c>
      <c r="P1096">
        <v>12</v>
      </c>
      <c r="U1096" t="s">
        <v>911</v>
      </c>
      <c r="V1096" t="s">
        <v>507</v>
      </c>
      <c r="W1096" t="s">
        <v>92</v>
      </c>
      <c r="X1096" t="s">
        <v>93</v>
      </c>
      <c r="Z1096" t="s">
        <v>94</v>
      </c>
      <c r="AA1096" t="s">
        <v>106</v>
      </c>
      <c r="AB1096">
        <v>29.1</v>
      </c>
      <c r="AG1096" t="s">
        <v>95</v>
      </c>
      <c r="AX1096" t="s">
        <v>196</v>
      </c>
      <c r="AY1096" t="s">
        <v>817</v>
      </c>
      <c r="AZ1096" t="s">
        <v>486</v>
      </c>
      <c r="BA1096" t="s">
        <v>179</v>
      </c>
      <c r="BC1096">
        <v>10</v>
      </c>
      <c r="BH1096" t="s">
        <v>99</v>
      </c>
      <c r="BO1096" t="s">
        <v>111</v>
      </c>
      <c r="CD1096" t="s">
        <v>914</v>
      </c>
      <c r="CE1096">
        <v>18988</v>
      </c>
      <c r="CF1096" t="s">
        <v>915</v>
      </c>
      <c r="CG1096" t="s">
        <v>916</v>
      </c>
      <c r="CH1096">
        <v>1998</v>
      </c>
    </row>
    <row r="1097" spans="1:86" hidden="1" x14ac:dyDescent="0.25">
      <c r="A1097">
        <v>330541</v>
      </c>
      <c r="B1097" t="s">
        <v>86</v>
      </c>
      <c r="C1097" t="s">
        <v>183</v>
      </c>
      <c r="D1097" t="s">
        <v>87</v>
      </c>
      <c r="F1097">
        <v>99.8</v>
      </c>
      <c r="K1097" t="s">
        <v>924</v>
      </c>
      <c r="L1097" t="s">
        <v>925</v>
      </c>
      <c r="M1097" t="s">
        <v>909</v>
      </c>
      <c r="N1097" t="s">
        <v>919</v>
      </c>
      <c r="P1097">
        <v>7</v>
      </c>
      <c r="U1097" t="s">
        <v>99</v>
      </c>
      <c r="V1097" t="s">
        <v>507</v>
      </c>
      <c r="W1097" t="s">
        <v>92</v>
      </c>
      <c r="X1097" t="s">
        <v>93</v>
      </c>
      <c r="Z1097" t="s">
        <v>94</v>
      </c>
      <c r="AB1097">
        <v>7.6</v>
      </c>
      <c r="AG1097" t="s">
        <v>95</v>
      </c>
      <c r="AX1097" t="s">
        <v>196</v>
      </c>
      <c r="AY1097" t="s">
        <v>928</v>
      </c>
      <c r="AZ1097" t="s">
        <v>586</v>
      </c>
      <c r="BA1097" t="s">
        <v>179</v>
      </c>
      <c r="BC1097">
        <v>14</v>
      </c>
      <c r="BH1097" t="s">
        <v>99</v>
      </c>
      <c r="BO1097" t="s">
        <v>111</v>
      </c>
      <c r="CD1097" t="s">
        <v>914</v>
      </c>
      <c r="CE1097">
        <v>18988</v>
      </c>
      <c r="CF1097" t="s">
        <v>915</v>
      </c>
      <c r="CG1097" t="s">
        <v>916</v>
      </c>
      <c r="CH1097">
        <v>1998</v>
      </c>
    </row>
    <row r="1098" spans="1:86" hidden="1" x14ac:dyDescent="0.25">
      <c r="A1098">
        <v>330541</v>
      </c>
      <c r="B1098" t="s">
        <v>86</v>
      </c>
      <c r="C1098" t="s">
        <v>183</v>
      </c>
      <c r="D1098" t="s">
        <v>87</v>
      </c>
      <c r="F1098">
        <v>99.8</v>
      </c>
      <c r="K1098" t="s">
        <v>907</v>
      </c>
      <c r="L1098" t="s">
        <v>908</v>
      </c>
      <c r="M1098" t="s">
        <v>909</v>
      </c>
      <c r="N1098" t="s">
        <v>919</v>
      </c>
      <c r="P1098">
        <v>12</v>
      </c>
      <c r="U1098" t="s">
        <v>920</v>
      </c>
      <c r="V1098" t="s">
        <v>507</v>
      </c>
      <c r="W1098" t="s">
        <v>92</v>
      </c>
      <c r="X1098" t="s">
        <v>93</v>
      </c>
      <c r="Z1098" t="s">
        <v>94</v>
      </c>
      <c r="AB1098">
        <v>14.5</v>
      </c>
      <c r="AG1098" t="s">
        <v>95</v>
      </c>
      <c r="AX1098" t="s">
        <v>196</v>
      </c>
      <c r="AY1098" t="s">
        <v>817</v>
      </c>
      <c r="AZ1098" t="s">
        <v>586</v>
      </c>
      <c r="BC1098">
        <v>14</v>
      </c>
      <c r="BH1098" t="s">
        <v>99</v>
      </c>
      <c r="BO1098" t="s">
        <v>111</v>
      </c>
      <c r="CD1098" t="s">
        <v>914</v>
      </c>
      <c r="CE1098">
        <v>18988</v>
      </c>
      <c r="CF1098" t="s">
        <v>915</v>
      </c>
      <c r="CG1098" t="s">
        <v>916</v>
      </c>
      <c r="CH1098">
        <v>1998</v>
      </c>
    </row>
    <row r="1099" spans="1:86" hidden="1" x14ac:dyDescent="0.25">
      <c r="A1099">
        <v>330541</v>
      </c>
      <c r="B1099" t="s">
        <v>86</v>
      </c>
      <c r="C1099" t="s">
        <v>183</v>
      </c>
      <c r="D1099" t="s">
        <v>87</v>
      </c>
      <c r="F1099">
        <v>99.8</v>
      </c>
      <c r="K1099" t="s">
        <v>907</v>
      </c>
      <c r="L1099" t="s">
        <v>908</v>
      </c>
      <c r="M1099" t="s">
        <v>909</v>
      </c>
      <c r="N1099" t="s">
        <v>919</v>
      </c>
      <c r="P1099">
        <v>24</v>
      </c>
      <c r="U1099" t="s">
        <v>920</v>
      </c>
      <c r="V1099" t="s">
        <v>507</v>
      </c>
      <c r="W1099" t="s">
        <v>92</v>
      </c>
      <c r="X1099" t="s">
        <v>93</v>
      </c>
      <c r="Z1099" t="s">
        <v>94</v>
      </c>
      <c r="AA1099" t="s">
        <v>106</v>
      </c>
      <c r="AB1099">
        <v>29.1</v>
      </c>
      <c r="AG1099" t="s">
        <v>95</v>
      </c>
      <c r="AX1099" t="s">
        <v>196</v>
      </c>
      <c r="AY1099" t="s">
        <v>817</v>
      </c>
      <c r="AZ1099" t="s">
        <v>586</v>
      </c>
      <c r="BA1099" t="s">
        <v>179</v>
      </c>
      <c r="BC1099">
        <v>14</v>
      </c>
      <c r="BH1099" t="s">
        <v>99</v>
      </c>
      <c r="BO1099" t="s">
        <v>111</v>
      </c>
      <c r="CD1099" t="s">
        <v>914</v>
      </c>
      <c r="CE1099">
        <v>18988</v>
      </c>
      <c r="CF1099" t="s">
        <v>915</v>
      </c>
      <c r="CG1099" t="s">
        <v>916</v>
      </c>
      <c r="CH1099">
        <v>1998</v>
      </c>
    </row>
    <row r="1100" spans="1:86" hidden="1" x14ac:dyDescent="0.25">
      <c r="A1100">
        <v>330541</v>
      </c>
      <c r="B1100" t="s">
        <v>86</v>
      </c>
      <c r="C1100" t="s">
        <v>183</v>
      </c>
      <c r="D1100" t="s">
        <v>87</v>
      </c>
      <c r="F1100">
        <v>99.8</v>
      </c>
      <c r="K1100" t="s">
        <v>907</v>
      </c>
      <c r="L1100" t="s">
        <v>908</v>
      </c>
      <c r="M1100" t="s">
        <v>909</v>
      </c>
      <c r="N1100" t="s">
        <v>919</v>
      </c>
      <c r="P1100">
        <v>24</v>
      </c>
      <c r="U1100" t="s">
        <v>920</v>
      </c>
      <c r="V1100" t="s">
        <v>507</v>
      </c>
      <c r="W1100" t="s">
        <v>92</v>
      </c>
      <c r="X1100" t="s">
        <v>93</v>
      </c>
      <c r="Z1100" t="s">
        <v>94</v>
      </c>
      <c r="AB1100">
        <v>21.1</v>
      </c>
      <c r="AG1100" t="s">
        <v>95</v>
      </c>
      <c r="AX1100" t="s">
        <v>196</v>
      </c>
      <c r="AY1100" t="s">
        <v>929</v>
      </c>
      <c r="AZ1100" t="s">
        <v>586</v>
      </c>
      <c r="BA1100" t="s">
        <v>179</v>
      </c>
      <c r="BC1100">
        <v>14</v>
      </c>
      <c r="BH1100" t="s">
        <v>99</v>
      </c>
      <c r="BO1100" t="s">
        <v>111</v>
      </c>
      <c r="CD1100" t="s">
        <v>914</v>
      </c>
      <c r="CE1100">
        <v>18988</v>
      </c>
      <c r="CF1100" t="s">
        <v>915</v>
      </c>
      <c r="CG1100" t="s">
        <v>916</v>
      </c>
      <c r="CH1100">
        <v>1998</v>
      </c>
    </row>
    <row r="1101" spans="1:86" hidden="1" x14ac:dyDescent="0.25">
      <c r="A1101">
        <v>330541</v>
      </c>
      <c r="B1101" t="s">
        <v>86</v>
      </c>
      <c r="C1101" t="s">
        <v>183</v>
      </c>
      <c r="D1101" t="s">
        <v>87</v>
      </c>
      <c r="F1101">
        <v>99.8</v>
      </c>
      <c r="K1101" t="s">
        <v>907</v>
      </c>
      <c r="L1101" t="s">
        <v>908</v>
      </c>
      <c r="M1101" t="s">
        <v>909</v>
      </c>
      <c r="N1101" t="s">
        <v>910</v>
      </c>
      <c r="P1101">
        <v>12</v>
      </c>
      <c r="U1101" t="s">
        <v>911</v>
      </c>
      <c r="V1101" t="s">
        <v>507</v>
      </c>
      <c r="W1101" t="s">
        <v>92</v>
      </c>
      <c r="X1101" t="s">
        <v>93</v>
      </c>
      <c r="Z1101" t="s">
        <v>94</v>
      </c>
      <c r="AB1101">
        <v>14.5</v>
      </c>
      <c r="AG1101" t="s">
        <v>95</v>
      </c>
      <c r="AX1101" t="s">
        <v>912</v>
      </c>
      <c r="AY1101" t="s">
        <v>913</v>
      </c>
      <c r="AZ1101" t="s">
        <v>586</v>
      </c>
      <c r="BC1101">
        <v>10</v>
      </c>
      <c r="BH1101" t="s">
        <v>99</v>
      </c>
      <c r="BO1101" t="s">
        <v>111</v>
      </c>
      <c r="CD1101" t="s">
        <v>914</v>
      </c>
      <c r="CE1101">
        <v>18988</v>
      </c>
      <c r="CF1101" t="s">
        <v>915</v>
      </c>
      <c r="CG1101" t="s">
        <v>916</v>
      </c>
      <c r="CH1101">
        <v>1998</v>
      </c>
    </row>
    <row r="1102" spans="1:86" hidden="1" x14ac:dyDescent="0.25">
      <c r="A1102">
        <v>330541</v>
      </c>
      <c r="B1102" t="s">
        <v>86</v>
      </c>
      <c r="C1102" t="s">
        <v>183</v>
      </c>
      <c r="D1102" t="s">
        <v>87</v>
      </c>
      <c r="F1102">
        <v>99.8</v>
      </c>
      <c r="K1102" t="s">
        <v>907</v>
      </c>
      <c r="L1102" t="s">
        <v>908</v>
      </c>
      <c r="M1102" t="s">
        <v>909</v>
      </c>
      <c r="N1102" t="s">
        <v>919</v>
      </c>
      <c r="P1102">
        <v>24</v>
      </c>
      <c r="U1102" t="s">
        <v>920</v>
      </c>
      <c r="V1102" t="s">
        <v>507</v>
      </c>
      <c r="W1102" t="s">
        <v>92</v>
      </c>
      <c r="X1102" t="s">
        <v>93</v>
      </c>
      <c r="Z1102" t="s">
        <v>94</v>
      </c>
      <c r="AA1102" t="s">
        <v>106</v>
      </c>
      <c r="AB1102">
        <v>29.1</v>
      </c>
      <c r="AG1102" t="s">
        <v>95</v>
      </c>
      <c r="AX1102" t="s">
        <v>196</v>
      </c>
      <c r="AY1102" t="s">
        <v>928</v>
      </c>
      <c r="AZ1102" t="s">
        <v>586</v>
      </c>
      <c r="BA1102" t="s">
        <v>179</v>
      </c>
      <c r="BC1102">
        <v>14</v>
      </c>
      <c r="BH1102" t="s">
        <v>99</v>
      </c>
      <c r="BO1102" t="s">
        <v>111</v>
      </c>
      <c r="CD1102" t="s">
        <v>914</v>
      </c>
      <c r="CE1102">
        <v>18988</v>
      </c>
      <c r="CF1102" t="s">
        <v>915</v>
      </c>
      <c r="CG1102" t="s">
        <v>916</v>
      </c>
      <c r="CH1102">
        <v>1998</v>
      </c>
    </row>
    <row r="1103" spans="1:86" hidden="1" x14ac:dyDescent="0.25">
      <c r="A1103">
        <v>330541</v>
      </c>
      <c r="B1103" t="s">
        <v>86</v>
      </c>
      <c r="C1103" t="s">
        <v>183</v>
      </c>
      <c r="D1103" t="s">
        <v>87</v>
      </c>
      <c r="F1103">
        <v>99.8</v>
      </c>
      <c r="K1103" t="s">
        <v>907</v>
      </c>
      <c r="L1103" t="s">
        <v>908</v>
      </c>
      <c r="M1103" t="s">
        <v>909</v>
      </c>
      <c r="N1103" t="s">
        <v>910</v>
      </c>
      <c r="P1103">
        <v>12</v>
      </c>
      <c r="U1103" t="s">
        <v>911</v>
      </c>
      <c r="V1103" t="s">
        <v>507</v>
      </c>
      <c r="W1103" t="s">
        <v>92</v>
      </c>
      <c r="X1103" t="s">
        <v>93</v>
      </c>
      <c r="Z1103" t="s">
        <v>94</v>
      </c>
      <c r="AA1103" t="s">
        <v>106</v>
      </c>
      <c r="AB1103">
        <v>29.1</v>
      </c>
      <c r="AG1103" t="s">
        <v>95</v>
      </c>
      <c r="AX1103" t="s">
        <v>196</v>
      </c>
      <c r="AY1103" t="s">
        <v>817</v>
      </c>
      <c r="AZ1103" t="s">
        <v>586</v>
      </c>
      <c r="BA1103" t="s">
        <v>179</v>
      </c>
      <c r="BC1103">
        <v>10</v>
      </c>
      <c r="BH1103" t="s">
        <v>99</v>
      </c>
      <c r="BO1103" t="s">
        <v>111</v>
      </c>
      <c r="CD1103" t="s">
        <v>914</v>
      </c>
      <c r="CE1103">
        <v>18988</v>
      </c>
      <c r="CF1103" t="s">
        <v>915</v>
      </c>
      <c r="CG1103" t="s">
        <v>916</v>
      </c>
      <c r="CH1103">
        <v>1998</v>
      </c>
    </row>
    <row r="1104" spans="1:86" hidden="1" x14ac:dyDescent="0.25">
      <c r="A1104">
        <v>330541</v>
      </c>
      <c r="B1104" t="s">
        <v>86</v>
      </c>
      <c r="C1104" t="s">
        <v>183</v>
      </c>
      <c r="D1104" t="s">
        <v>87</v>
      </c>
      <c r="F1104">
        <v>99.8</v>
      </c>
      <c r="K1104" t="s">
        <v>907</v>
      </c>
      <c r="L1104" t="s">
        <v>908</v>
      </c>
      <c r="M1104" t="s">
        <v>909</v>
      </c>
      <c r="N1104" t="s">
        <v>919</v>
      </c>
      <c r="P1104">
        <v>12</v>
      </c>
      <c r="U1104" t="s">
        <v>920</v>
      </c>
      <c r="V1104" t="s">
        <v>507</v>
      </c>
      <c r="W1104" t="s">
        <v>92</v>
      </c>
      <c r="X1104" t="s">
        <v>93</v>
      </c>
      <c r="Z1104" t="s">
        <v>94</v>
      </c>
      <c r="AB1104">
        <v>21</v>
      </c>
      <c r="AG1104" t="s">
        <v>95</v>
      </c>
      <c r="AX1104" t="s">
        <v>196</v>
      </c>
      <c r="AY1104" t="s">
        <v>928</v>
      </c>
      <c r="AZ1104" t="s">
        <v>586</v>
      </c>
      <c r="BA1104" t="s">
        <v>179</v>
      </c>
      <c r="BC1104">
        <v>14</v>
      </c>
      <c r="BH1104" t="s">
        <v>99</v>
      </c>
      <c r="BO1104" t="s">
        <v>111</v>
      </c>
      <c r="CD1104" t="s">
        <v>914</v>
      </c>
      <c r="CE1104">
        <v>18988</v>
      </c>
      <c r="CF1104" t="s">
        <v>915</v>
      </c>
      <c r="CG1104" t="s">
        <v>916</v>
      </c>
      <c r="CH1104">
        <v>1998</v>
      </c>
    </row>
    <row r="1105" spans="1:86" hidden="1" x14ac:dyDescent="0.25">
      <c r="A1105">
        <v>330541</v>
      </c>
      <c r="B1105" t="s">
        <v>86</v>
      </c>
      <c r="C1105" t="s">
        <v>183</v>
      </c>
      <c r="D1105" t="s">
        <v>87</v>
      </c>
      <c r="F1105">
        <v>99.8</v>
      </c>
      <c r="K1105" t="s">
        <v>907</v>
      </c>
      <c r="L1105" t="s">
        <v>908</v>
      </c>
      <c r="M1105" t="s">
        <v>909</v>
      </c>
      <c r="N1105" t="s">
        <v>919</v>
      </c>
      <c r="P1105">
        <v>12</v>
      </c>
      <c r="U1105" t="s">
        <v>920</v>
      </c>
      <c r="V1105" t="s">
        <v>507</v>
      </c>
      <c r="W1105" t="s">
        <v>92</v>
      </c>
      <c r="X1105" t="s">
        <v>93</v>
      </c>
      <c r="Z1105" t="s">
        <v>94</v>
      </c>
      <c r="AB1105">
        <v>21</v>
      </c>
      <c r="AG1105" t="s">
        <v>95</v>
      </c>
      <c r="AX1105" t="s">
        <v>196</v>
      </c>
      <c r="AY1105" t="s">
        <v>929</v>
      </c>
      <c r="AZ1105" t="s">
        <v>586</v>
      </c>
      <c r="BC1105">
        <v>14</v>
      </c>
      <c r="BH1105" t="s">
        <v>99</v>
      </c>
      <c r="BO1105" t="s">
        <v>111</v>
      </c>
      <c r="CD1105" t="s">
        <v>914</v>
      </c>
      <c r="CE1105">
        <v>18988</v>
      </c>
      <c r="CF1105" t="s">
        <v>915</v>
      </c>
      <c r="CG1105" t="s">
        <v>916</v>
      </c>
      <c r="CH1105">
        <v>1998</v>
      </c>
    </row>
    <row r="1106" spans="1:86" hidden="1" x14ac:dyDescent="0.25">
      <c r="A1106">
        <v>330541</v>
      </c>
      <c r="B1106" t="s">
        <v>86</v>
      </c>
      <c r="C1106" t="s">
        <v>183</v>
      </c>
      <c r="D1106" t="s">
        <v>87</v>
      </c>
      <c r="F1106">
        <v>99.8</v>
      </c>
      <c r="K1106" t="s">
        <v>924</v>
      </c>
      <c r="L1106" t="s">
        <v>925</v>
      </c>
      <c r="M1106" t="s">
        <v>909</v>
      </c>
      <c r="N1106" t="s">
        <v>919</v>
      </c>
      <c r="P1106">
        <v>7</v>
      </c>
      <c r="U1106" t="s">
        <v>99</v>
      </c>
      <c r="V1106" t="s">
        <v>507</v>
      </c>
      <c r="W1106" t="s">
        <v>92</v>
      </c>
      <c r="X1106" t="s">
        <v>93</v>
      </c>
      <c r="Z1106" t="s">
        <v>94</v>
      </c>
      <c r="AB1106"/>
      <c r="AD1106">
        <v>0.05</v>
      </c>
      <c r="AF1106">
        <v>29.1</v>
      </c>
      <c r="AG1106" t="s">
        <v>95</v>
      </c>
      <c r="AX1106" t="s">
        <v>196</v>
      </c>
      <c r="AY1106" t="s">
        <v>817</v>
      </c>
      <c r="BA1106" t="s">
        <v>930</v>
      </c>
      <c r="BC1106">
        <v>14</v>
      </c>
      <c r="BH1106" t="s">
        <v>99</v>
      </c>
      <c r="BO1106" t="s">
        <v>111</v>
      </c>
      <c r="CD1106" t="s">
        <v>914</v>
      </c>
      <c r="CE1106">
        <v>18988</v>
      </c>
      <c r="CF1106" t="s">
        <v>915</v>
      </c>
      <c r="CG1106" t="s">
        <v>916</v>
      </c>
      <c r="CH1106">
        <v>1998</v>
      </c>
    </row>
    <row r="1107" spans="1:86" hidden="1" x14ac:dyDescent="0.25">
      <c r="A1107">
        <v>330541</v>
      </c>
      <c r="B1107" t="s">
        <v>86</v>
      </c>
      <c r="C1107" t="s">
        <v>183</v>
      </c>
      <c r="D1107" t="s">
        <v>87</v>
      </c>
      <c r="F1107">
        <v>99.8</v>
      </c>
      <c r="K1107" t="s">
        <v>931</v>
      </c>
      <c r="L1107" t="s">
        <v>932</v>
      </c>
      <c r="M1107" t="s">
        <v>933</v>
      </c>
      <c r="N1107" t="s">
        <v>919</v>
      </c>
      <c r="P1107">
        <v>15</v>
      </c>
      <c r="U1107" t="s">
        <v>934</v>
      </c>
      <c r="V1107" t="s">
        <v>507</v>
      </c>
      <c r="W1107" t="s">
        <v>92</v>
      </c>
      <c r="X1107" t="s">
        <v>93</v>
      </c>
      <c r="Z1107" t="s">
        <v>94</v>
      </c>
      <c r="AB1107">
        <v>12.7</v>
      </c>
      <c r="AD1107">
        <v>9.8000000000000007</v>
      </c>
      <c r="AF1107">
        <v>16.399999999999999</v>
      </c>
      <c r="AG1107" t="s">
        <v>95</v>
      </c>
      <c r="AX1107" t="s">
        <v>523</v>
      </c>
      <c r="AY1107" t="s">
        <v>523</v>
      </c>
      <c r="AZ1107" t="s">
        <v>475</v>
      </c>
      <c r="BC1107">
        <v>21</v>
      </c>
      <c r="BH1107" t="s">
        <v>99</v>
      </c>
      <c r="BO1107" t="s">
        <v>111</v>
      </c>
      <c r="CD1107" t="s">
        <v>914</v>
      </c>
      <c r="CE1107">
        <v>18988</v>
      </c>
      <c r="CF1107" t="s">
        <v>915</v>
      </c>
      <c r="CG1107" t="s">
        <v>916</v>
      </c>
      <c r="CH1107">
        <v>1998</v>
      </c>
    </row>
    <row r="1108" spans="1:86" hidden="1" x14ac:dyDescent="0.25">
      <c r="A1108">
        <v>330541</v>
      </c>
      <c r="B1108" t="s">
        <v>86</v>
      </c>
      <c r="C1108" t="s">
        <v>183</v>
      </c>
      <c r="D1108" t="s">
        <v>87</v>
      </c>
      <c r="F1108">
        <v>99.8</v>
      </c>
      <c r="K1108" t="s">
        <v>935</v>
      </c>
      <c r="L1108" t="s">
        <v>936</v>
      </c>
      <c r="M1108" t="s">
        <v>933</v>
      </c>
      <c r="N1108" t="s">
        <v>910</v>
      </c>
      <c r="R1108">
        <v>10</v>
      </c>
      <c r="T1108">
        <v>11</v>
      </c>
      <c r="U1108" t="s">
        <v>911</v>
      </c>
      <c r="V1108" t="s">
        <v>507</v>
      </c>
      <c r="W1108" t="s">
        <v>92</v>
      </c>
      <c r="X1108" t="s">
        <v>93</v>
      </c>
      <c r="Z1108" t="s">
        <v>94</v>
      </c>
      <c r="AA1108" t="s">
        <v>106</v>
      </c>
      <c r="AB1108">
        <v>29.1</v>
      </c>
      <c r="AG1108" t="s">
        <v>95</v>
      </c>
      <c r="AX1108" t="s">
        <v>523</v>
      </c>
      <c r="AY1108" t="s">
        <v>523</v>
      </c>
      <c r="AZ1108" t="s">
        <v>475</v>
      </c>
      <c r="BC1108">
        <v>4</v>
      </c>
      <c r="BH1108" t="s">
        <v>99</v>
      </c>
      <c r="BO1108" t="s">
        <v>111</v>
      </c>
      <c r="CD1108" t="s">
        <v>914</v>
      </c>
      <c r="CE1108">
        <v>18988</v>
      </c>
      <c r="CF1108" t="s">
        <v>915</v>
      </c>
      <c r="CG1108" t="s">
        <v>916</v>
      </c>
      <c r="CH1108">
        <v>1998</v>
      </c>
    </row>
    <row r="1109" spans="1:86" hidden="1" x14ac:dyDescent="0.25">
      <c r="A1109">
        <v>330541</v>
      </c>
      <c r="B1109" t="s">
        <v>86</v>
      </c>
      <c r="C1109" t="s">
        <v>183</v>
      </c>
      <c r="D1109" t="s">
        <v>87</v>
      </c>
      <c r="F1109">
        <v>99.8</v>
      </c>
      <c r="K1109" t="s">
        <v>935</v>
      </c>
      <c r="L1109" t="s">
        <v>936</v>
      </c>
      <c r="M1109" t="s">
        <v>933</v>
      </c>
      <c r="N1109" t="s">
        <v>919</v>
      </c>
      <c r="V1109" t="s">
        <v>507</v>
      </c>
      <c r="W1109" t="s">
        <v>92</v>
      </c>
      <c r="X1109" t="s">
        <v>93</v>
      </c>
      <c r="Z1109" t="s">
        <v>94</v>
      </c>
      <c r="AB1109">
        <v>8.1</v>
      </c>
      <c r="AD1109">
        <v>5.4</v>
      </c>
      <c r="AF1109">
        <v>12</v>
      </c>
      <c r="AG1109" t="s">
        <v>95</v>
      </c>
      <c r="AX1109" t="s">
        <v>523</v>
      </c>
      <c r="AY1109" t="s">
        <v>523</v>
      </c>
      <c r="AZ1109" t="s">
        <v>475</v>
      </c>
      <c r="BC1109">
        <v>14</v>
      </c>
      <c r="BH1109" t="s">
        <v>99</v>
      </c>
      <c r="BO1109" t="s">
        <v>111</v>
      </c>
      <c r="CD1109" t="s">
        <v>914</v>
      </c>
      <c r="CE1109">
        <v>18988</v>
      </c>
      <c r="CF1109" t="s">
        <v>915</v>
      </c>
      <c r="CG1109" t="s">
        <v>916</v>
      </c>
      <c r="CH1109">
        <v>1998</v>
      </c>
    </row>
    <row r="1110" spans="1:86" hidden="1" x14ac:dyDescent="0.25">
      <c r="A1110">
        <v>330541</v>
      </c>
      <c r="B1110" t="s">
        <v>86</v>
      </c>
      <c r="C1110" t="s">
        <v>183</v>
      </c>
      <c r="D1110" t="s">
        <v>87</v>
      </c>
      <c r="F1110">
        <v>99.8</v>
      </c>
      <c r="K1110" t="s">
        <v>931</v>
      </c>
      <c r="L1110" t="s">
        <v>932</v>
      </c>
      <c r="M1110" t="s">
        <v>933</v>
      </c>
      <c r="N1110" t="s">
        <v>919</v>
      </c>
      <c r="P1110">
        <v>1</v>
      </c>
      <c r="U1110" t="s">
        <v>99</v>
      </c>
      <c r="V1110" t="s">
        <v>507</v>
      </c>
      <c r="W1110" t="s">
        <v>92</v>
      </c>
      <c r="X1110" t="s">
        <v>93</v>
      </c>
      <c r="Z1110" t="s">
        <v>94</v>
      </c>
      <c r="AA1110" t="s">
        <v>106</v>
      </c>
      <c r="AB1110">
        <v>29.1</v>
      </c>
      <c r="AG1110" t="s">
        <v>95</v>
      </c>
      <c r="AX1110" t="s">
        <v>523</v>
      </c>
      <c r="AY1110" t="s">
        <v>523</v>
      </c>
      <c r="AZ1110" t="s">
        <v>475</v>
      </c>
      <c r="BC1110">
        <v>10</v>
      </c>
      <c r="BH1110" t="s">
        <v>99</v>
      </c>
      <c r="BO1110" t="s">
        <v>111</v>
      </c>
      <c r="CD1110" t="s">
        <v>914</v>
      </c>
      <c r="CE1110">
        <v>18988</v>
      </c>
      <c r="CF1110" t="s">
        <v>915</v>
      </c>
      <c r="CG1110" t="s">
        <v>916</v>
      </c>
      <c r="CH1110">
        <v>1998</v>
      </c>
    </row>
    <row r="1111" spans="1:86" hidden="1" x14ac:dyDescent="0.25">
      <c r="A1111">
        <v>330541</v>
      </c>
      <c r="B1111" t="s">
        <v>86</v>
      </c>
      <c r="C1111" t="s">
        <v>183</v>
      </c>
      <c r="D1111" t="s">
        <v>87</v>
      </c>
      <c r="F1111">
        <v>99.8</v>
      </c>
      <c r="K1111" t="s">
        <v>935</v>
      </c>
      <c r="L1111" t="s">
        <v>936</v>
      </c>
      <c r="M1111" t="s">
        <v>933</v>
      </c>
      <c r="N1111" t="s">
        <v>910</v>
      </c>
      <c r="R1111">
        <v>10</v>
      </c>
      <c r="T1111">
        <v>11</v>
      </c>
      <c r="U1111" t="s">
        <v>911</v>
      </c>
      <c r="V1111" t="s">
        <v>507</v>
      </c>
      <c r="W1111" t="s">
        <v>92</v>
      </c>
      <c r="X1111" t="s">
        <v>93</v>
      </c>
      <c r="Z1111" t="s">
        <v>94</v>
      </c>
      <c r="AA1111" t="s">
        <v>106</v>
      </c>
      <c r="AB1111">
        <v>29.1</v>
      </c>
      <c r="AG1111" t="s">
        <v>95</v>
      </c>
      <c r="AX1111" t="s">
        <v>523</v>
      </c>
      <c r="AY1111" t="s">
        <v>523</v>
      </c>
      <c r="AZ1111" t="s">
        <v>475</v>
      </c>
      <c r="BC1111">
        <v>4</v>
      </c>
      <c r="BH1111" t="s">
        <v>99</v>
      </c>
      <c r="BO1111" t="s">
        <v>111</v>
      </c>
      <c r="CD1111" t="s">
        <v>914</v>
      </c>
      <c r="CE1111">
        <v>18988</v>
      </c>
      <c r="CF1111" t="s">
        <v>915</v>
      </c>
      <c r="CG1111" t="s">
        <v>916</v>
      </c>
      <c r="CH1111">
        <v>1998</v>
      </c>
    </row>
    <row r="1112" spans="1:86" hidden="1" x14ac:dyDescent="0.25">
      <c r="A1112">
        <v>330541</v>
      </c>
      <c r="B1112" t="s">
        <v>86</v>
      </c>
      <c r="C1112" t="s">
        <v>183</v>
      </c>
      <c r="D1112" t="s">
        <v>87</v>
      </c>
      <c r="F1112">
        <v>99.8</v>
      </c>
      <c r="K1112" t="s">
        <v>931</v>
      </c>
      <c r="L1112" t="s">
        <v>932</v>
      </c>
      <c r="M1112" t="s">
        <v>933</v>
      </c>
      <c r="N1112" t="s">
        <v>919</v>
      </c>
      <c r="P1112">
        <v>29</v>
      </c>
      <c r="U1112" t="s">
        <v>99</v>
      </c>
      <c r="V1112" t="s">
        <v>507</v>
      </c>
      <c r="W1112" t="s">
        <v>92</v>
      </c>
      <c r="X1112" t="s">
        <v>93</v>
      </c>
      <c r="Z1112" t="s">
        <v>94</v>
      </c>
      <c r="AA1112" t="s">
        <v>106</v>
      </c>
      <c r="AB1112">
        <v>29.1</v>
      </c>
      <c r="AG1112" t="s">
        <v>95</v>
      </c>
      <c r="AX1112" t="s">
        <v>523</v>
      </c>
      <c r="AY1112" t="s">
        <v>523</v>
      </c>
      <c r="AZ1112" t="s">
        <v>475</v>
      </c>
      <c r="BC1112">
        <v>14</v>
      </c>
      <c r="BH1112" t="s">
        <v>99</v>
      </c>
      <c r="BO1112" t="s">
        <v>111</v>
      </c>
      <c r="CD1112" t="s">
        <v>914</v>
      </c>
      <c r="CE1112">
        <v>18988</v>
      </c>
      <c r="CF1112" t="s">
        <v>915</v>
      </c>
      <c r="CG1112" t="s">
        <v>916</v>
      </c>
      <c r="CH1112">
        <v>1998</v>
      </c>
    </row>
    <row r="1113" spans="1:86" hidden="1" x14ac:dyDescent="0.25">
      <c r="A1113">
        <v>330541</v>
      </c>
      <c r="B1113" t="s">
        <v>86</v>
      </c>
      <c r="C1113" t="s">
        <v>183</v>
      </c>
      <c r="D1113" t="s">
        <v>87</v>
      </c>
      <c r="F1113">
        <v>99.8</v>
      </c>
      <c r="K1113" t="s">
        <v>931</v>
      </c>
      <c r="L1113" t="s">
        <v>932</v>
      </c>
      <c r="M1113" t="s">
        <v>933</v>
      </c>
      <c r="N1113" t="s">
        <v>919</v>
      </c>
      <c r="P1113">
        <v>29</v>
      </c>
      <c r="U1113" t="s">
        <v>99</v>
      </c>
      <c r="V1113" t="s">
        <v>507</v>
      </c>
      <c r="W1113" t="s">
        <v>92</v>
      </c>
      <c r="X1113" t="s">
        <v>93</v>
      </c>
      <c r="Z1113" t="s">
        <v>94</v>
      </c>
      <c r="AB1113">
        <v>21.1</v>
      </c>
      <c r="AG1113" t="s">
        <v>95</v>
      </c>
      <c r="AX1113" t="s">
        <v>196</v>
      </c>
      <c r="AY1113" t="s">
        <v>929</v>
      </c>
      <c r="AZ1113" t="s">
        <v>486</v>
      </c>
      <c r="BA1113" t="s">
        <v>179</v>
      </c>
      <c r="BC1113">
        <v>14</v>
      </c>
      <c r="BH1113" t="s">
        <v>99</v>
      </c>
      <c r="BO1113" t="s">
        <v>111</v>
      </c>
      <c r="CD1113" t="s">
        <v>914</v>
      </c>
      <c r="CE1113">
        <v>18988</v>
      </c>
      <c r="CF1113" t="s">
        <v>915</v>
      </c>
      <c r="CG1113" t="s">
        <v>916</v>
      </c>
      <c r="CH1113">
        <v>1998</v>
      </c>
    </row>
    <row r="1114" spans="1:86" hidden="1" x14ac:dyDescent="0.25">
      <c r="A1114">
        <v>330541</v>
      </c>
      <c r="B1114" t="s">
        <v>86</v>
      </c>
      <c r="C1114" t="s">
        <v>183</v>
      </c>
      <c r="D1114" t="s">
        <v>87</v>
      </c>
      <c r="F1114">
        <v>99.8</v>
      </c>
      <c r="K1114" t="s">
        <v>931</v>
      </c>
      <c r="L1114" t="s">
        <v>932</v>
      </c>
      <c r="M1114" t="s">
        <v>933</v>
      </c>
      <c r="N1114" t="s">
        <v>919</v>
      </c>
      <c r="P1114">
        <v>29</v>
      </c>
      <c r="U1114" t="s">
        <v>99</v>
      </c>
      <c r="V1114" t="s">
        <v>507</v>
      </c>
      <c r="W1114" t="s">
        <v>92</v>
      </c>
      <c r="X1114" t="s">
        <v>93</v>
      </c>
      <c r="Z1114" t="s">
        <v>94</v>
      </c>
      <c r="AB1114">
        <v>29.1</v>
      </c>
      <c r="AG1114" t="s">
        <v>95</v>
      </c>
      <c r="AX1114" t="s">
        <v>196</v>
      </c>
      <c r="AY1114" t="s">
        <v>928</v>
      </c>
      <c r="AZ1114" t="s">
        <v>486</v>
      </c>
      <c r="BA1114" t="s">
        <v>179</v>
      </c>
      <c r="BC1114">
        <v>14</v>
      </c>
      <c r="BH1114" t="s">
        <v>99</v>
      </c>
      <c r="BO1114" t="s">
        <v>111</v>
      </c>
      <c r="CD1114" t="s">
        <v>914</v>
      </c>
      <c r="CE1114">
        <v>18988</v>
      </c>
      <c r="CF1114" t="s">
        <v>915</v>
      </c>
      <c r="CG1114" t="s">
        <v>916</v>
      </c>
      <c r="CH1114">
        <v>1998</v>
      </c>
    </row>
    <row r="1115" spans="1:86" hidden="1" x14ac:dyDescent="0.25">
      <c r="A1115">
        <v>330541</v>
      </c>
      <c r="B1115" t="s">
        <v>86</v>
      </c>
      <c r="C1115" t="s">
        <v>183</v>
      </c>
      <c r="D1115" t="s">
        <v>87</v>
      </c>
      <c r="F1115">
        <v>99.8</v>
      </c>
      <c r="K1115" t="s">
        <v>935</v>
      </c>
      <c r="L1115" t="s">
        <v>936</v>
      </c>
      <c r="M1115" t="s">
        <v>933</v>
      </c>
      <c r="N1115" t="s">
        <v>910</v>
      </c>
      <c r="R1115">
        <v>10</v>
      </c>
      <c r="T1115">
        <v>11</v>
      </c>
      <c r="U1115" t="s">
        <v>911</v>
      </c>
      <c r="V1115" t="s">
        <v>507</v>
      </c>
      <c r="W1115" t="s">
        <v>92</v>
      </c>
      <c r="X1115" t="s">
        <v>93</v>
      </c>
      <c r="Z1115" t="s">
        <v>94</v>
      </c>
      <c r="AB1115">
        <v>14.5</v>
      </c>
      <c r="AG1115" t="s">
        <v>95</v>
      </c>
      <c r="AX1115" t="s">
        <v>196</v>
      </c>
      <c r="AY1115" t="s">
        <v>817</v>
      </c>
      <c r="AZ1115" t="s">
        <v>486</v>
      </c>
      <c r="BA1115" t="s">
        <v>179</v>
      </c>
      <c r="BC1115">
        <v>4</v>
      </c>
      <c r="BH1115" t="s">
        <v>99</v>
      </c>
      <c r="BO1115" t="s">
        <v>111</v>
      </c>
      <c r="CD1115" t="s">
        <v>914</v>
      </c>
      <c r="CE1115">
        <v>18988</v>
      </c>
      <c r="CF1115" t="s">
        <v>915</v>
      </c>
      <c r="CG1115" t="s">
        <v>916</v>
      </c>
      <c r="CH1115">
        <v>1998</v>
      </c>
    </row>
    <row r="1116" spans="1:86" hidden="1" x14ac:dyDescent="0.25">
      <c r="A1116">
        <v>330541</v>
      </c>
      <c r="B1116" t="s">
        <v>86</v>
      </c>
      <c r="C1116" t="s">
        <v>183</v>
      </c>
      <c r="D1116" t="s">
        <v>87</v>
      </c>
      <c r="F1116">
        <v>99.8</v>
      </c>
      <c r="K1116" t="s">
        <v>931</v>
      </c>
      <c r="L1116" t="s">
        <v>932</v>
      </c>
      <c r="M1116" t="s">
        <v>933</v>
      </c>
      <c r="N1116" t="s">
        <v>919</v>
      </c>
      <c r="P1116">
        <v>15</v>
      </c>
      <c r="U1116" t="s">
        <v>934</v>
      </c>
      <c r="V1116" t="s">
        <v>507</v>
      </c>
      <c r="W1116" t="s">
        <v>92</v>
      </c>
      <c r="X1116" t="s">
        <v>93</v>
      </c>
      <c r="Z1116" t="s">
        <v>94</v>
      </c>
      <c r="AA1116" t="s">
        <v>106</v>
      </c>
      <c r="AB1116">
        <v>29.1</v>
      </c>
      <c r="AG1116" t="s">
        <v>95</v>
      </c>
      <c r="AX1116" t="s">
        <v>196</v>
      </c>
      <c r="AY1116" t="s">
        <v>817</v>
      </c>
      <c r="AZ1116" t="s">
        <v>486</v>
      </c>
      <c r="BA1116" t="s">
        <v>179</v>
      </c>
      <c r="BC1116">
        <v>21</v>
      </c>
      <c r="BH1116" t="s">
        <v>99</v>
      </c>
      <c r="BO1116" t="s">
        <v>111</v>
      </c>
      <c r="CD1116" t="s">
        <v>914</v>
      </c>
      <c r="CE1116">
        <v>18988</v>
      </c>
      <c r="CF1116" t="s">
        <v>915</v>
      </c>
      <c r="CG1116" t="s">
        <v>916</v>
      </c>
      <c r="CH1116">
        <v>1998</v>
      </c>
    </row>
    <row r="1117" spans="1:86" hidden="1" x14ac:dyDescent="0.25">
      <c r="A1117">
        <v>330541</v>
      </c>
      <c r="B1117" t="s">
        <v>86</v>
      </c>
      <c r="C1117" t="s">
        <v>183</v>
      </c>
      <c r="D1117" t="s">
        <v>87</v>
      </c>
      <c r="F1117">
        <v>99.8</v>
      </c>
      <c r="K1117" t="s">
        <v>931</v>
      </c>
      <c r="L1117" t="s">
        <v>932</v>
      </c>
      <c r="M1117" t="s">
        <v>933</v>
      </c>
      <c r="N1117" t="s">
        <v>919</v>
      </c>
      <c r="P1117">
        <v>29</v>
      </c>
      <c r="U1117" t="s">
        <v>99</v>
      </c>
      <c r="V1117" t="s">
        <v>507</v>
      </c>
      <c r="W1117" t="s">
        <v>92</v>
      </c>
      <c r="X1117" t="s">
        <v>93</v>
      </c>
      <c r="Z1117" t="s">
        <v>94</v>
      </c>
      <c r="AB1117">
        <v>21.1</v>
      </c>
      <c r="AG1117" t="s">
        <v>95</v>
      </c>
      <c r="AX1117" t="s">
        <v>196</v>
      </c>
      <c r="AY1117" t="s">
        <v>817</v>
      </c>
      <c r="AZ1117" t="s">
        <v>486</v>
      </c>
      <c r="BA1117" t="s">
        <v>179</v>
      </c>
      <c r="BC1117">
        <v>14</v>
      </c>
      <c r="BH1117" t="s">
        <v>99</v>
      </c>
      <c r="BO1117" t="s">
        <v>111</v>
      </c>
      <c r="CD1117" t="s">
        <v>914</v>
      </c>
      <c r="CE1117">
        <v>18988</v>
      </c>
      <c r="CF1117" t="s">
        <v>915</v>
      </c>
      <c r="CG1117" t="s">
        <v>916</v>
      </c>
      <c r="CH1117">
        <v>1998</v>
      </c>
    </row>
    <row r="1118" spans="1:86" hidden="1" x14ac:dyDescent="0.25">
      <c r="A1118">
        <v>330541</v>
      </c>
      <c r="B1118" t="s">
        <v>86</v>
      </c>
      <c r="C1118" t="s">
        <v>183</v>
      </c>
      <c r="D1118" t="s">
        <v>87</v>
      </c>
      <c r="F1118">
        <v>99.8</v>
      </c>
      <c r="K1118" t="s">
        <v>935</v>
      </c>
      <c r="L1118" t="s">
        <v>936</v>
      </c>
      <c r="M1118" t="s">
        <v>933</v>
      </c>
      <c r="N1118" t="s">
        <v>919</v>
      </c>
      <c r="P1118">
        <v>11</v>
      </c>
      <c r="U1118" t="s">
        <v>920</v>
      </c>
      <c r="V1118" t="s">
        <v>507</v>
      </c>
      <c r="W1118" t="s">
        <v>92</v>
      </c>
      <c r="X1118" t="s">
        <v>93</v>
      </c>
      <c r="Z1118" t="s">
        <v>94</v>
      </c>
      <c r="AA1118" t="s">
        <v>106</v>
      </c>
      <c r="AB1118">
        <v>29.1</v>
      </c>
      <c r="AG1118" t="s">
        <v>95</v>
      </c>
      <c r="AX1118" t="s">
        <v>196</v>
      </c>
      <c r="AY1118" t="s">
        <v>817</v>
      </c>
      <c r="AZ1118" t="s">
        <v>486</v>
      </c>
      <c r="BA1118" t="s">
        <v>179</v>
      </c>
      <c r="BC1118">
        <v>14</v>
      </c>
      <c r="BH1118" t="s">
        <v>99</v>
      </c>
      <c r="BO1118" t="s">
        <v>111</v>
      </c>
      <c r="CD1118" t="s">
        <v>914</v>
      </c>
      <c r="CE1118">
        <v>18988</v>
      </c>
      <c r="CF1118" t="s">
        <v>915</v>
      </c>
      <c r="CG1118" t="s">
        <v>916</v>
      </c>
      <c r="CH1118">
        <v>1998</v>
      </c>
    </row>
    <row r="1119" spans="1:86" hidden="1" x14ac:dyDescent="0.25">
      <c r="A1119">
        <v>330541</v>
      </c>
      <c r="B1119" t="s">
        <v>86</v>
      </c>
      <c r="C1119" t="s">
        <v>183</v>
      </c>
      <c r="D1119" t="s">
        <v>87</v>
      </c>
      <c r="F1119">
        <v>99.8</v>
      </c>
      <c r="K1119" t="s">
        <v>935</v>
      </c>
      <c r="L1119" t="s">
        <v>936</v>
      </c>
      <c r="M1119" t="s">
        <v>933</v>
      </c>
      <c r="N1119" t="s">
        <v>919</v>
      </c>
      <c r="P1119">
        <v>11</v>
      </c>
      <c r="U1119" t="s">
        <v>920</v>
      </c>
      <c r="V1119" t="s">
        <v>507</v>
      </c>
      <c r="W1119" t="s">
        <v>92</v>
      </c>
      <c r="X1119" t="s">
        <v>93</v>
      </c>
      <c r="Z1119" t="s">
        <v>94</v>
      </c>
      <c r="AA1119" t="s">
        <v>106</v>
      </c>
      <c r="AB1119">
        <v>29.1</v>
      </c>
      <c r="AG1119" t="s">
        <v>95</v>
      </c>
      <c r="AX1119" t="s">
        <v>196</v>
      </c>
      <c r="AY1119" t="s">
        <v>929</v>
      </c>
      <c r="AZ1119" t="s">
        <v>486</v>
      </c>
      <c r="BA1119" t="s">
        <v>179</v>
      </c>
      <c r="BC1119">
        <v>14</v>
      </c>
      <c r="BH1119" t="s">
        <v>99</v>
      </c>
      <c r="BO1119" t="s">
        <v>111</v>
      </c>
      <c r="CD1119" t="s">
        <v>914</v>
      </c>
      <c r="CE1119">
        <v>18988</v>
      </c>
      <c r="CF1119" t="s">
        <v>915</v>
      </c>
      <c r="CG1119" t="s">
        <v>916</v>
      </c>
      <c r="CH1119">
        <v>1998</v>
      </c>
    </row>
    <row r="1120" spans="1:86" hidden="1" x14ac:dyDescent="0.25">
      <c r="A1120">
        <v>330541</v>
      </c>
      <c r="B1120" t="s">
        <v>86</v>
      </c>
      <c r="C1120" t="s">
        <v>183</v>
      </c>
      <c r="D1120" t="s">
        <v>87</v>
      </c>
      <c r="F1120">
        <v>99.8</v>
      </c>
      <c r="K1120" t="s">
        <v>935</v>
      </c>
      <c r="L1120" t="s">
        <v>936</v>
      </c>
      <c r="M1120" t="s">
        <v>933</v>
      </c>
      <c r="N1120" t="s">
        <v>910</v>
      </c>
      <c r="R1120">
        <v>10</v>
      </c>
      <c r="T1120">
        <v>11</v>
      </c>
      <c r="U1120" t="s">
        <v>911</v>
      </c>
      <c r="V1120" t="s">
        <v>507</v>
      </c>
      <c r="W1120" t="s">
        <v>92</v>
      </c>
      <c r="X1120" t="s">
        <v>93</v>
      </c>
      <c r="Z1120" t="s">
        <v>94</v>
      </c>
      <c r="AB1120">
        <v>29.1</v>
      </c>
      <c r="AG1120" t="s">
        <v>95</v>
      </c>
      <c r="AX1120" t="s">
        <v>912</v>
      </c>
      <c r="AY1120" t="s">
        <v>913</v>
      </c>
      <c r="AZ1120" t="s">
        <v>486</v>
      </c>
      <c r="BC1120">
        <v>4</v>
      </c>
      <c r="BH1120" t="s">
        <v>99</v>
      </c>
      <c r="BO1120" t="s">
        <v>111</v>
      </c>
      <c r="CD1120" t="s">
        <v>914</v>
      </c>
      <c r="CE1120">
        <v>18988</v>
      </c>
      <c r="CF1120" t="s">
        <v>915</v>
      </c>
      <c r="CG1120" t="s">
        <v>916</v>
      </c>
      <c r="CH1120">
        <v>1998</v>
      </c>
    </row>
    <row r="1121" spans="1:86" hidden="1" x14ac:dyDescent="0.25">
      <c r="A1121">
        <v>330541</v>
      </c>
      <c r="B1121" t="s">
        <v>86</v>
      </c>
      <c r="C1121" t="s">
        <v>183</v>
      </c>
      <c r="D1121" t="s">
        <v>87</v>
      </c>
      <c r="F1121">
        <v>99.8</v>
      </c>
      <c r="K1121" t="s">
        <v>931</v>
      </c>
      <c r="L1121" t="s">
        <v>932</v>
      </c>
      <c r="M1121" t="s">
        <v>933</v>
      </c>
      <c r="N1121" t="s">
        <v>919</v>
      </c>
      <c r="P1121">
        <v>1</v>
      </c>
      <c r="U1121" t="s">
        <v>99</v>
      </c>
      <c r="V1121" t="s">
        <v>507</v>
      </c>
      <c r="W1121" t="s">
        <v>92</v>
      </c>
      <c r="X1121" t="s">
        <v>93</v>
      </c>
      <c r="Z1121" t="s">
        <v>94</v>
      </c>
      <c r="AB1121">
        <v>29.1</v>
      </c>
      <c r="AG1121" t="s">
        <v>95</v>
      </c>
      <c r="AX1121" t="s">
        <v>196</v>
      </c>
      <c r="AY1121" t="s">
        <v>928</v>
      </c>
      <c r="AZ1121" t="s">
        <v>486</v>
      </c>
      <c r="BA1121" t="s">
        <v>179</v>
      </c>
      <c r="BC1121">
        <v>10</v>
      </c>
      <c r="BH1121" t="s">
        <v>99</v>
      </c>
      <c r="BO1121" t="s">
        <v>111</v>
      </c>
      <c r="CD1121" t="s">
        <v>914</v>
      </c>
      <c r="CE1121">
        <v>18988</v>
      </c>
      <c r="CF1121" t="s">
        <v>915</v>
      </c>
      <c r="CG1121" t="s">
        <v>916</v>
      </c>
      <c r="CH1121">
        <v>1998</v>
      </c>
    </row>
    <row r="1122" spans="1:86" hidden="1" x14ac:dyDescent="0.25">
      <c r="A1122">
        <v>330541</v>
      </c>
      <c r="B1122" t="s">
        <v>86</v>
      </c>
      <c r="C1122" t="s">
        <v>183</v>
      </c>
      <c r="D1122" t="s">
        <v>87</v>
      </c>
      <c r="F1122">
        <v>99.8</v>
      </c>
      <c r="K1122" t="s">
        <v>935</v>
      </c>
      <c r="L1122" t="s">
        <v>936</v>
      </c>
      <c r="M1122" t="s">
        <v>933</v>
      </c>
      <c r="N1122" t="s">
        <v>910</v>
      </c>
      <c r="R1122">
        <v>10</v>
      </c>
      <c r="T1122">
        <v>11</v>
      </c>
      <c r="U1122" t="s">
        <v>911</v>
      </c>
      <c r="V1122" t="s">
        <v>507</v>
      </c>
      <c r="W1122" t="s">
        <v>92</v>
      </c>
      <c r="X1122" t="s">
        <v>93</v>
      </c>
      <c r="Z1122" t="s">
        <v>94</v>
      </c>
      <c r="AB1122">
        <v>29.1</v>
      </c>
      <c r="AG1122" t="s">
        <v>95</v>
      </c>
      <c r="AX1122" t="s">
        <v>196</v>
      </c>
      <c r="AY1122" t="s">
        <v>817</v>
      </c>
      <c r="AZ1122" t="s">
        <v>486</v>
      </c>
      <c r="BA1122" t="s">
        <v>179</v>
      </c>
      <c r="BC1122">
        <v>4</v>
      </c>
      <c r="BH1122" t="s">
        <v>99</v>
      </c>
      <c r="BO1122" t="s">
        <v>111</v>
      </c>
      <c r="CD1122" t="s">
        <v>914</v>
      </c>
      <c r="CE1122">
        <v>18988</v>
      </c>
      <c r="CF1122" t="s">
        <v>915</v>
      </c>
      <c r="CG1122" t="s">
        <v>916</v>
      </c>
      <c r="CH1122">
        <v>1998</v>
      </c>
    </row>
    <row r="1123" spans="1:86" hidden="1" x14ac:dyDescent="0.25">
      <c r="A1123">
        <v>330541</v>
      </c>
      <c r="B1123" t="s">
        <v>86</v>
      </c>
      <c r="C1123" t="s">
        <v>183</v>
      </c>
      <c r="D1123" t="s">
        <v>87</v>
      </c>
      <c r="F1123">
        <v>99.8</v>
      </c>
      <c r="K1123" t="s">
        <v>935</v>
      </c>
      <c r="L1123" t="s">
        <v>936</v>
      </c>
      <c r="M1123" t="s">
        <v>933</v>
      </c>
      <c r="N1123" t="s">
        <v>919</v>
      </c>
      <c r="P1123">
        <v>11</v>
      </c>
      <c r="U1123" t="s">
        <v>920</v>
      </c>
      <c r="V1123" t="s">
        <v>507</v>
      </c>
      <c r="W1123" t="s">
        <v>92</v>
      </c>
      <c r="X1123" t="s">
        <v>93</v>
      </c>
      <c r="Z1123" t="s">
        <v>94</v>
      </c>
      <c r="AA1123" t="s">
        <v>106</v>
      </c>
      <c r="AB1123">
        <v>29.1</v>
      </c>
      <c r="AG1123" t="s">
        <v>95</v>
      </c>
      <c r="AX1123" t="s">
        <v>196</v>
      </c>
      <c r="AY1123" t="s">
        <v>928</v>
      </c>
      <c r="AZ1123" t="s">
        <v>486</v>
      </c>
      <c r="BA1123" t="s">
        <v>179</v>
      </c>
      <c r="BC1123">
        <v>14</v>
      </c>
      <c r="BH1123" t="s">
        <v>99</v>
      </c>
      <c r="BO1123" t="s">
        <v>111</v>
      </c>
      <c r="CD1123" t="s">
        <v>914</v>
      </c>
      <c r="CE1123">
        <v>18988</v>
      </c>
      <c r="CF1123" t="s">
        <v>915</v>
      </c>
      <c r="CG1123" t="s">
        <v>916</v>
      </c>
      <c r="CH1123">
        <v>1998</v>
      </c>
    </row>
    <row r="1124" spans="1:86" hidden="1" x14ac:dyDescent="0.25">
      <c r="A1124">
        <v>330541</v>
      </c>
      <c r="B1124" t="s">
        <v>86</v>
      </c>
      <c r="C1124" t="s">
        <v>183</v>
      </c>
      <c r="D1124" t="s">
        <v>87</v>
      </c>
      <c r="F1124">
        <v>99.8</v>
      </c>
      <c r="K1124" t="s">
        <v>931</v>
      </c>
      <c r="L1124" t="s">
        <v>932</v>
      </c>
      <c r="M1124" t="s">
        <v>933</v>
      </c>
      <c r="N1124" t="s">
        <v>919</v>
      </c>
      <c r="P1124">
        <v>15</v>
      </c>
      <c r="U1124" t="s">
        <v>934</v>
      </c>
      <c r="V1124" t="s">
        <v>507</v>
      </c>
      <c r="W1124" t="s">
        <v>92</v>
      </c>
      <c r="X1124" t="s">
        <v>93</v>
      </c>
      <c r="Z1124" t="s">
        <v>94</v>
      </c>
      <c r="AB1124">
        <v>14.5</v>
      </c>
      <c r="AG1124" t="s">
        <v>95</v>
      </c>
      <c r="AX1124" t="s">
        <v>196</v>
      </c>
      <c r="AY1124" t="s">
        <v>929</v>
      </c>
      <c r="AZ1124" t="s">
        <v>486</v>
      </c>
      <c r="BA1124" t="s">
        <v>179</v>
      </c>
      <c r="BC1124">
        <v>21</v>
      </c>
      <c r="BH1124" t="s">
        <v>99</v>
      </c>
      <c r="BO1124" t="s">
        <v>111</v>
      </c>
      <c r="CD1124" t="s">
        <v>914</v>
      </c>
      <c r="CE1124">
        <v>18988</v>
      </c>
      <c r="CF1124" t="s">
        <v>915</v>
      </c>
      <c r="CG1124" t="s">
        <v>916</v>
      </c>
      <c r="CH1124">
        <v>1998</v>
      </c>
    </row>
    <row r="1125" spans="1:86" hidden="1" x14ac:dyDescent="0.25">
      <c r="A1125">
        <v>330541</v>
      </c>
      <c r="B1125" t="s">
        <v>86</v>
      </c>
      <c r="C1125" t="s">
        <v>183</v>
      </c>
      <c r="D1125" t="s">
        <v>87</v>
      </c>
      <c r="F1125">
        <v>99.8</v>
      </c>
      <c r="K1125" t="s">
        <v>931</v>
      </c>
      <c r="L1125" t="s">
        <v>932</v>
      </c>
      <c r="M1125" t="s">
        <v>933</v>
      </c>
      <c r="N1125" t="s">
        <v>919</v>
      </c>
      <c r="P1125">
        <v>15</v>
      </c>
      <c r="U1125" t="s">
        <v>934</v>
      </c>
      <c r="V1125" t="s">
        <v>507</v>
      </c>
      <c r="W1125" t="s">
        <v>92</v>
      </c>
      <c r="X1125" t="s">
        <v>93</v>
      </c>
      <c r="Z1125" t="s">
        <v>94</v>
      </c>
      <c r="AA1125" t="s">
        <v>106</v>
      </c>
      <c r="AB1125">
        <v>29.1</v>
      </c>
      <c r="AG1125" t="s">
        <v>95</v>
      </c>
      <c r="AX1125" t="s">
        <v>196</v>
      </c>
      <c r="AY1125" t="s">
        <v>928</v>
      </c>
      <c r="AZ1125" t="s">
        <v>486</v>
      </c>
      <c r="BA1125" t="s">
        <v>179</v>
      </c>
      <c r="BC1125">
        <v>21</v>
      </c>
      <c r="BH1125" t="s">
        <v>99</v>
      </c>
      <c r="BO1125" t="s">
        <v>111</v>
      </c>
      <c r="CD1125" t="s">
        <v>914</v>
      </c>
      <c r="CE1125">
        <v>18988</v>
      </c>
      <c r="CF1125" t="s">
        <v>915</v>
      </c>
      <c r="CG1125" t="s">
        <v>916</v>
      </c>
      <c r="CH1125">
        <v>1998</v>
      </c>
    </row>
    <row r="1126" spans="1:86" hidden="1" x14ac:dyDescent="0.25">
      <c r="A1126">
        <v>330541</v>
      </c>
      <c r="B1126" t="s">
        <v>86</v>
      </c>
      <c r="C1126" t="s">
        <v>183</v>
      </c>
      <c r="D1126" t="s">
        <v>87</v>
      </c>
      <c r="F1126">
        <v>99.8</v>
      </c>
      <c r="K1126" t="s">
        <v>935</v>
      </c>
      <c r="L1126" t="s">
        <v>936</v>
      </c>
      <c r="M1126" t="s">
        <v>933</v>
      </c>
      <c r="N1126" t="s">
        <v>910</v>
      </c>
      <c r="R1126">
        <v>10</v>
      </c>
      <c r="T1126">
        <v>11</v>
      </c>
      <c r="U1126" t="s">
        <v>911</v>
      </c>
      <c r="V1126" t="s">
        <v>507</v>
      </c>
      <c r="W1126" t="s">
        <v>92</v>
      </c>
      <c r="X1126" t="s">
        <v>93</v>
      </c>
      <c r="Z1126" t="s">
        <v>94</v>
      </c>
      <c r="AB1126">
        <v>29.1</v>
      </c>
      <c r="AG1126" t="s">
        <v>95</v>
      </c>
      <c r="AX1126" t="s">
        <v>912</v>
      </c>
      <c r="AY1126" t="s">
        <v>913</v>
      </c>
      <c r="AZ1126" t="s">
        <v>486</v>
      </c>
      <c r="BC1126">
        <v>4</v>
      </c>
      <c r="BH1126" t="s">
        <v>99</v>
      </c>
      <c r="BO1126" t="s">
        <v>111</v>
      </c>
      <c r="CD1126" t="s">
        <v>914</v>
      </c>
      <c r="CE1126">
        <v>18988</v>
      </c>
      <c r="CF1126" t="s">
        <v>915</v>
      </c>
      <c r="CG1126" t="s">
        <v>916</v>
      </c>
      <c r="CH1126">
        <v>1998</v>
      </c>
    </row>
    <row r="1127" spans="1:86" hidden="1" x14ac:dyDescent="0.25">
      <c r="A1127">
        <v>330541</v>
      </c>
      <c r="B1127" t="s">
        <v>86</v>
      </c>
      <c r="C1127" t="s">
        <v>183</v>
      </c>
      <c r="D1127" t="s">
        <v>87</v>
      </c>
      <c r="F1127">
        <v>99.8</v>
      </c>
      <c r="K1127" t="s">
        <v>931</v>
      </c>
      <c r="L1127" t="s">
        <v>932</v>
      </c>
      <c r="M1127" t="s">
        <v>933</v>
      </c>
      <c r="N1127" t="s">
        <v>919</v>
      </c>
      <c r="P1127">
        <v>1</v>
      </c>
      <c r="U1127" t="s">
        <v>99</v>
      </c>
      <c r="V1127" t="s">
        <v>507</v>
      </c>
      <c r="W1127" t="s">
        <v>92</v>
      </c>
      <c r="X1127" t="s">
        <v>93</v>
      </c>
      <c r="Z1127" t="s">
        <v>94</v>
      </c>
      <c r="AB1127">
        <v>29.1</v>
      </c>
      <c r="AG1127" t="s">
        <v>95</v>
      </c>
      <c r="AX1127" t="s">
        <v>196</v>
      </c>
      <c r="AY1127" t="s">
        <v>817</v>
      </c>
      <c r="AZ1127" t="s">
        <v>486</v>
      </c>
      <c r="BA1127" t="s">
        <v>179</v>
      </c>
      <c r="BC1127">
        <v>10</v>
      </c>
      <c r="BH1127" t="s">
        <v>99</v>
      </c>
      <c r="BO1127" t="s">
        <v>111</v>
      </c>
      <c r="CD1127" t="s">
        <v>914</v>
      </c>
      <c r="CE1127">
        <v>18988</v>
      </c>
      <c r="CF1127" t="s">
        <v>915</v>
      </c>
      <c r="CG1127" t="s">
        <v>916</v>
      </c>
      <c r="CH1127">
        <v>1998</v>
      </c>
    </row>
    <row r="1128" spans="1:86" hidden="1" x14ac:dyDescent="0.25">
      <c r="A1128">
        <v>330541</v>
      </c>
      <c r="B1128" t="s">
        <v>86</v>
      </c>
      <c r="C1128" t="s">
        <v>183</v>
      </c>
      <c r="D1128" t="s">
        <v>87</v>
      </c>
      <c r="F1128">
        <v>99.8</v>
      </c>
      <c r="K1128" t="s">
        <v>935</v>
      </c>
      <c r="L1128" t="s">
        <v>936</v>
      </c>
      <c r="M1128" t="s">
        <v>933</v>
      </c>
      <c r="N1128" t="s">
        <v>919</v>
      </c>
      <c r="P1128">
        <v>11</v>
      </c>
      <c r="U1128" t="s">
        <v>920</v>
      </c>
      <c r="V1128" t="s">
        <v>507</v>
      </c>
      <c r="W1128" t="s">
        <v>92</v>
      </c>
      <c r="X1128" t="s">
        <v>93</v>
      </c>
      <c r="Z1128" t="s">
        <v>94</v>
      </c>
      <c r="AA1128" t="s">
        <v>106</v>
      </c>
      <c r="AB1128">
        <v>29.1</v>
      </c>
      <c r="AG1128" t="s">
        <v>95</v>
      </c>
      <c r="AX1128" t="s">
        <v>196</v>
      </c>
      <c r="AY1128" t="s">
        <v>817</v>
      </c>
      <c r="AZ1128" t="s">
        <v>486</v>
      </c>
      <c r="BA1128" t="s">
        <v>179</v>
      </c>
      <c r="BC1128">
        <v>14</v>
      </c>
      <c r="BH1128" t="s">
        <v>99</v>
      </c>
      <c r="BO1128" t="s">
        <v>111</v>
      </c>
      <c r="CD1128" t="s">
        <v>914</v>
      </c>
      <c r="CE1128">
        <v>18988</v>
      </c>
      <c r="CF1128" t="s">
        <v>915</v>
      </c>
      <c r="CG1128" t="s">
        <v>916</v>
      </c>
      <c r="CH1128">
        <v>1998</v>
      </c>
    </row>
    <row r="1129" spans="1:86" hidden="1" x14ac:dyDescent="0.25">
      <c r="A1129">
        <v>330541</v>
      </c>
      <c r="B1129" t="s">
        <v>86</v>
      </c>
      <c r="C1129" t="s">
        <v>183</v>
      </c>
      <c r="D1129" t="s">
        <v>87</v>
      </c>
      <c r="F1129">
        <v>99.8</v>
      </c>
      <c r="K1129" t="s">
        <v>935</v>
      </c>
      <c r="L1129" t="s">
        <v>936</v>
      </c>
      <c r="M1129" t="s">
        <v>933</v>
      </c>
      <c r="N1129" t="s">
        <v>919</v>
      </c>
      <c r="P1129">
        <v>11</v>
      </c>
      <c r="U1129" t="s">
        <v>920</v>
      </c>
      <c r="V1129" t="s">
        <v>507</v>
      </c>
      <c r="W1129" t="s">
        <v>92</v>
      </c>
      <c r="X1129" t="s">
        <v>93</v>
      </c>
      <c r="Z1129" t="s">
        <v>94</v>
      </c>
      <c r="AA1129" t="s">
        <v>106</v>
      </c>
      <c r="AB1129">
        <v>29.1</v>
      </c>
      <c r="AG1129" t="s">
        <v>95</v>
      </c>
      <c r="AX1129" t="s">
        <v>196</v>
      </c>
      <c r="AY1129" t="s">
        <v>928</v>
      </c>
      <c r="AZ1129" t="s">
        <v>486</v>
      </c>
      <c r="BA1129" t="s">
        <v>179</v>
      </c>
      <c r="BC1129">
        <v>14</v>
      </c>
      <c r="BH1129" t="s">
        <v>99</v>
      </c>
      <c r="BO1129" t="s">
        <v>111</v>
      </c>
      <c r="CD1129" t="s">
        <v>914</v>
      </c>
      <c r="CE1129">
        <v>18988</v>
      </c>
      <c r="CF1129" t="s">
        <v>915</v>
      </c>
      <c r="CG1129" t="s">
        <v>916</v>
      </c>
      <c r="CH1129">
        <v>1998</v>
      </c>
    </row>
    <row r="1130" spans="1:86" hidden="1" x14ac:dyDescent="0.25">
      <c r="A1130">
        <v>330541</v>
      </c>
      <c r="B1130" t="s">
        <v>86</v>
      </c>
      <c r="C1130" t="s">
        <v>183</v>
      </c>
      <c r="D1130" t="s">
        <v>87</v>
      </c>
      <c r="F1130">
        <v>99.8</v>
      </c>
      <c r="K1130" t="s">
        <v>931</v>
      </c>
      <c r="L1130" t="s">
        <v>932</v>
      </c>
      <c r="M1130" t="s">
        <v>933</v>
      </c>
      <c r="N1130" t="s">
        <v>919</v>
      </c>
      <c r="P1130">
        <v>1</v>
      </c>
      <c r="U1130" t="s">
        <v>99</v>
      </c>
      <c r="V1130" t="s">
        <v>507</v>
      </c>
      <c r="W1130" t="s">
        <v>92</v>
      </c>
      <c r="X1130" t="s">
        <v>93</v>
      </c>
      <c r="Z1130" t="s">
        <v>94</v>
      </c>
      <c r="AB1130">
        <v>14.5</v>
      </c>
      <c r="AG1130" t="s">
        <v>95</v>
      </c>
      <c r="AX1130" t="s">
        <v>196</v>
      </c>
      <c r="AY1130" t="s">
        <v>929</v>
      </c>
      <c r="AZ1130" t="s">
        <v>486</v>
      </c>
      <c r="BA1130" t="s">
        <v>179</v>
      </c>
      <c r="BC1130">
        <v>10</v>
      </c>
      <c r="BH1130" t="s">
        <v>99</v>
      </c>
      <c r="BO1130" t="s">
        <v>111</v>
      </c>
      <c r="CD1130" t="s">
        <v>914</v>
      </c>
      <c r="CE1130">
        <v>18988</v>
      </c>
      <c r="CF1130" t="s">
        <v>915</v>
      </c>
      <c r="CG1130" t="s">
        <v>916</v>
      </c>
      <c r="CH1130">
        <v>1998</v>
      </c>
    </row>
    <row r="1131" spans="1:86" hidden="1" x14ac:dyDescent="0.25">
      <c r="A1131">
        <v>330541</v>
      </c>
      <c r="B1131" t="s">
        <v>86</v>
      </c>
      <c r="C1131" t="s">
        <v>183</v>
      </c>
      <c r="D1131" t="s">
        <v>87</v>
      </c>
      <c r="F1131">
        <v>99.8</v>
      </c>
      <c r="K1131" t="s">
        <v>935</v>
      </c>
      <c r="L1131" t="s">
        <v>936</v>
      </c>
      <c r="M1131" t="s">
        <v>933</v>
      </c>
      <c r="N1131" t="s">
        <v>919</v>
      </c>
      <c r="P1131">
        <v>11</v>
      </c>
      <c r="U1131" t="s">
        <v>920</v>
      </c>
      <c r="V1131" t="s">
        <v>507</v>
      </c>
      <c r="W1131" t="s">
        <v>92</v>
      </c>
      <c r="X1131" t="s">
        <v>93</v>
      </c>
      <c r="Z1131" t="s">
        <v>94</v>
      </c>
      <c r="AA1131" t="s">
        <v>106</v>
      </c>
      <c r="AB1131">
        <v>29.1</v>
      </c>
      <c r="AG1131" t="s">
        <v>95</v>
      </c>
      <c r="AX1131" t="s">
        <v>196</v>
      </c>
      <c r="AY1131" t="s">
        <v>929</v>
      </c>
      <c r="AZ1131" t="s">
        <v>486</v>
      </c>
      <c r="BA1131" t="s">
        <v>179</v>
      </c>
      <c r="BC1131">
        <v>14</v>
      </c>
      <c r="BH1131" t="s">
        <v>99</v>
      </c>
      <c r="BO1131" t="s">
        <v>111</v>
      </c>
      <c r="CD1131" t="s">
        <v>914</v>
      </c>
      <c r="CE1131">
        <v>18988</v>
      </c>
      <c r="CF1131" t="s">
        <v>915</v>
      </c>
      <c r="CG1131" t="s">
        <v>916</v>
      </c>
      <c r="CH1131">
        <v>1998</v>
      </c>
    </row>
    <row r="1132" spans="1:86" hidden="1" x14ac:dyDescent="0.25">
      <c r="A1132">
        <v>330541</v>
      </c>
      <c r="B1132" t="s">
        <v>86</v>
      </c>
      <c r="D1132" t="s">
        <v>115</v>
      </c>
      <c r="E1132" t="s">
        <v>106</v>
      </c>
      <c r="F1132">
        <v>97</v>
      </c>
      <c r="K1132" t="s">
        <v>935</v>
      </c>
      <c r="L1132" t="s">
        <v>936</v>
      </c>
      <c r="M1132" t="s">
        <v>933</v>
      </c>
      <c r="N1132" t="s">
        <v>937</v>
      </c>
      <c r="V1132" t="s">
        <v>91</v>
      </c>
      <c r="W1132" t="s">
        <v>92</v>
      </c>
      <c r="X1132" t="s">
        <v>93</v>
      </c>
      <c r="Y1132">
        <v>3</v>
      </c>
      <c r="Z1132" t="s">
        <v>94</v>
      </c>
      <c r="AB1132">
        <v>14.569000000000001</v>
      </c>
      <c r="AG1132" t="s">
        <v>95</v>
      </c>
      <c r="AX1132" t="s">
        <v>938</v>
      </c>
      <c r="AY1132" t="s">
        <v>939</v>
      </c>
      <c r="AZ1132" t="s">
        <v>555</v>
      </c>
      <c r="BA1132" t="s">
        <v>940</v>
      </c>
      <c r="BC1132">
        <v>0.83330000000000004</v>
      </c>
      <c r="BH1132" t="s">
        <v>99</v>
      </c>
      <c r="BO1132" t="s">
        <v>111</v>
      </c>
      <c r="CD1132" t="s">
        <v>941</v>
      </c>
      <c r="CE1132">
        <v>117111</v>
      </c>
      <c r="CF1132" t="s">
        <v>942</v>
      </c>
      <c r="CG1132" t="s">
        <v>943</v>
      </c>
      <c r="CH1132">
        <v>2009</v>
      </c>
    </row>
    <row r="1133" spans="1:86" hidden="1" x14ac:dyDescent="0.25">
      <c r="A1133">
        <v>330541</v>
      </c>
      <c r="B1133" t="s">
        <v>86</v>
      </c>
      <c r="D1133" t="s">
        <v>115</v>
      </c>
      <c r="E1133" t="s">
        <v>106</v>
      </c>
      <c r="F1133">
        <v>97</v>
      </c>
      <c r="K1133" t="s">
        <v>935</v>
      </c>
      <c r="L1133" t="s">
        <v>936</v>
      </c>
      <c r="M1133" t="s">
        <v>933</v>
      </c>
      <c r="N1133" t="s">
        <v>937</v>
      </c>
      <c r="V1133" t="s">
        <v>91</v>
      </c>
      <c r="W1133" t="s">
        <v>92</v>
      </c>
      <c r="X1133" t="s">
        <v>93</v>
      </c>
      <c r="Y1133">
        <v>3</v>
      </c>
      <c r="Z1133" t="s">
        <v>94</v>
      </c>
      <c r="AB1133">
        <v>14.569000000000001</v>
      </c>
      <c r="AG1133" t="s">
        <v>95</v>
      </c>
      <c r="AX1133" t="s">
        <v>602</v>
      </c>
      <c r="AY1133" t="s">
        <v>944</v>
      </c>
      <c r="AZ1133" t="s">
        <v>555</v>
      </c>
      <c r="BA1133" t="s">
        <v>940</v>
      </c>
      <c r="BC1133">
        <v>0.83330000000000004</v>
      </c>
      <c r="BH1133" t="s">
        <v>99</v>
      </c>
      <c r="BO1133" t="s">
        <v>111</v>
      </c>
      <c r="CD1133" t="s">
        <v>941</v>
      </c>
      <c r="CE1133">
        <v>117111</v>
      </c>
      <c r="CF1133" t="s">
        <v>942</v>
      </c>
      <c r="CG1133" t="s">
        <v>943</v>
      </c>
      <c r="CH1133">
        <v>2009</v>
      </c>
    </row>
    <row r="1134" spans="1:86" hidden="1" x14ac:dyDescent="0.25">
      <c r="A1134">
        <v>330541</v>
      </c>
      <c r="B1134" t="s">
        <v>86</v>
      </c>
      <c r="C1134" t="s">
        <v>183</v>
      </c>
      <c r="D1134" t="s">
        <v>87</v>
      </c>
      <c r="F1134">
        <v>99.8</v>
      </c>
      <c r="K1134" t="s">
        <v>931</v>
      </c>
      <c r="L1134" t="s">
        <v>932</v>
      </c>
      <c r="M1134" t="s">
        <v>933</v>
      </c>
      <c r="N1134" t="s">
        <v>919</v>
      </c>
      <c r="P1134">
        <v>1</v>
      </c>
      <c r="U1134" t="s">
        <v>99</v>
      </c>
      <c r="V1134" t="s">
        <v>507</v>
      </c>
      <c r="W1134" t="s">
        <v>92</v>
      </c>
      <c r="X1134" t="s">
        <v>93</v>
      </c>
      <c r="Z1134" t="s">
        <v>94</v>
      </c>
      <c r="AB1134">
        <v>14.5</v>
      </c>
      <c r="AG1134" t="s">
        <v>95</v>
      </c>
      <c r="AX1134" t="s">
        <v>196</v>
      </c>
      <c r="AY1134" t="s">
        <v>817</v>
      </c>
      <c r="AZ1134" t="s">
        <v>586</v>
      </c>
      <c r="BA1134" t="s">
        <v>179</v>
      </c>
      <c r="BC1134">
        <v>10</v>
      </c>
      <c r="BH1134" t="s">
        <v>99</v>
      </c>
      <c r="BO1134" t="s">
        <v>111</v>
      </c>
      <c r="CD1134" t="s">
        <v>914</v>
      </c>
      <c r="CE1134">
        <v>18988</v>
      </c>
      <c r="CF1134" t="s">
        <v>915</v>
      </c>
      <c r="CG1134" t="s">
        <v>916</v>
      </c>
      <c r="CH1134">
        <v>1998</v>
      </c>
    </row>
    <row r="1135" spans="1:86" hidden="1" x14ac:dyDescent="0.25">
      <c r="A1135">
        <v>330541</v>
      </c>
      <c r="B1135" t="s">
        <v>86</v>
      </c>
      <c r="C1135" t="s">
        <v>183</v>
      </c>
      <c r="D1135" t="s">
        <v>87</v>
      </c>
      <c r="F1135">
        <v>99.8</v>
      </c>
      <c r="K1135" t="s">
        <v>931</v>
      </c>
      <c r="L1135" t="s">
        <v>932</v>
      </c>
      <c r="M1135" t="s">
        <v>933</v>
      </c>
      <c r="N1135" t="s">
        <v>919</v>
      </c>
      <c r="P1135">
        <v>29</v>
      </c>
      <c r="U1135" t="s">
        <v>99</v>
      </c>
      <c r="V1135" t="s">
        <v>507</v>
      </c>
      <c r="W1135" t="s">
        <v>92</v>
      </c>
      <c r="X1135" t="s">
        <v>93</v>
      </c>
      <c r="Z1135" t="s">
        <v>94</v>
      </c>
      <c r="AB1135">
        <v>14.5</v>
      </c>
      <c r="AG1135" t="s">
        <v>95</v>
      </c>
      <c r="AX1135" t="s">
        <v>196</v>
      </c>
      <c r="AY1135" t="s">
        <v>929</v>
      </c>
      <c r="AZ1135" t="s">
        <v>586</v>
      </c>
      <c r="BA1135" t="s">
        <v>179</v>
      </c>
      <c r="BC1135">
        <v>14</v>
      </c>
      <c r="BH1135" t="s">
        <v>99</v>
      </c>
      <c r="BO1135" t="s">
        <v>111</v>
      </c>
      <c r="CD1135" t="s">
        <v>914</v>
      </c>
      <c r="CE1135">
        <v>18988</v>
      </c>
      <c r="CF1135" t="s">
        <v>915</v>
      </c>
      <c r="CG1135" t="s">
        <v>916</v>
      </c>
      <c r="CH1135">
        <v>1998</v>
      </c>
    </row>
    <row r="1136" spans="1:86" hidden="1" x14ac:dyDescent="0.25">
      <c r="A1136">
        <v>330541</v>
      </c>
      <c r="B1136" t="s">
        <v>86</v>
      </c>
      <c r="C1136" t="s">
        <v>183</v>
      </c>
      <c r="D1136" t="s">
        <v>87</v>
      </c>
      <c r="F1136">
        <v>99.8</v>
      </c>
      <c r="K1136" t="s">
        <v>935</v>
      </c>
      <c r="L1136" t="s">
        <v>936</v>
      </c>
      <c r="M1136" t="s">
        <v>933</v>
      </c>
      <c r="N1136" t="s">
        <v>919</v>
      </c>
      <c r="P1136">
        <v>11</v>
      </c>
      <c r="U1136" t="s">
        <v>920</v>
      </c>
      <c r="V1136" t="s">
        <v>507</v>
      </c>
      <c r="W1136" t="s">
        <v>92</v>
      </c>
      <c r="X1136" t="s">
        <v>93</v>
      </c>
      <c r="Z1136" t="s">
        <v>94</v>
      </c>
      <c r="AA1136" t="s">
        <v>106</v>
      </c>
      <c r="AB1136">
        <v>29.1</v>
      </c>
      <c r="AG1136" t="s">
        <v>95</v>
      </c>
      <c r="AX1136" t="s">
        <v>196</v>
      </c>
      <c r="AY1136" t="s">
        <v>929</v>
      </c>
      <c r="AZ1136" t="s">
        <v>586</v>
      </c>
      <c r="BA1136" t="s">
        <v>179</v>
      </c>
      <c r="BC1136">
        <v>14</v>
      </c>
      <c r="BH1136" t="s">
        <v>99</v>
      </c>
      <c r="BO1136" t="s">
        <v>111</v>
      </c>
      <c r="CD1136" t="s">
        <v>914</v>
      </c>
      <c r="CE1136">
        <v>18988</v>
      </c>
      <c r="CF1136" t="s">
        <v>915</v>
      </c>
      <c r="CG1136" t="s">
        <v>916</v>
      </c>
      <c r="CH1136">
        <v>1998</v>
      </c>
    </row>
    <row r="1137" spans="1:86" hidden="1" x14ac:dyDescent="0.25">
      <c r="A1137">
        <v>330541</v>
      </c>
      <c r="B1137" t="s">
        <v>86</v>
      </c>
      <c r="C1137" t="s">
        <v>183</v>
      </c>
      <c r="D1137" t="s">
        <v>87</v>
      </c>
      <c r="F1137">
        <v>99.8</v>
      </c>
      <c r="K1137" t="s">
        <v>935</v>
      </c>
      <c r="L1137" t="s">
        <v>936</v>
      </c>
      <c r="M1137" t="s">
        <v>933</v>
      </c>
      <c r="N1137" t="s">
        <v>910</v>
      </c>
      <c r="R1137">
        <v>10</v>
      </c>
      <c r="T1137">
        <v>11</v>
      </c>
      <c r="U1137" t="s">
        <v>911</v>
      </c>
      <c r="V1137" t="s">
        <v>507</v>
      </c>
      <c r="W1137" t="s">
        <v>92</v>
      </c>
      <c r="X1137" t="s">
        <v>93</v>
      </c>
      <c r="Z1137" t="s">
        <v>94</v>
      </c>
      <c r="AB1137">
        <v>21.1</v>
      </c>
      <c r="AG1137" t="s">
        <v>95</v>
      </c>
      <c r="AX1137" t="s">
        <v>912</v>
      </c>
      <c r="AY1137" t="s">
        <v>913</v>
      </c>
      <c r="AZ1137" t="s">
        <v>586</v>
      </c>
      <c r="BC1137">
        <v>4</v>
      </c>
      <c r="BH1137" t="s">
        <v>99</v>
      </c>
      <c r="BO1137" t="s">
        <v>111</v>
      </c>
      <c r="CD1137" t="s">
        <v>914</v>
      </c>
      <c r="CE1137">
        <v>18988</v>
      </c>
      <c r="CF1137" t="s">
        <v>915</v>
      </c>
      <c r="CG1137" t="s">
        <v>916</v>
      </c>
      <c r="CH1137">
        <v>1998</v>
      </c>
    </row>
    <row r="1138" spans="1:86" hidden="1" x14ac:dyDescent="0.25">
      <c r="A1138">
        <v>330541</v>
      </c>
      <c r="B1138" t="s">
        <v>86</v>
      </c>
      <c r="D1138" t="s">
        <v>115</v>
      </c>
      <c r="K1138" t="s">
        <v>935</v>
      </c>
      <c r="L1138" t="s">
        <v>936</v>
      </c>
      <c r="M1138" t="s">
        <v>933</v>
      </c>
      <c r="N1138" t="s">
        <v>945</v>
      </c>
      <c r="P1138">
        <v>50</v>
      </c>
      <c r="U1138" t="s">
        <v>911</v>
      </c>
      <c r="V1138" t="s">
        <v>507</v>
      </c>
      <c r="W1138" t="s">
        <v>92</v>
      </c>
      <c r="X1138" t="s">
        <v>93</v>
      </c>
      <c r="Y1138">
        <v>2</v>
      </c>
      <c r="Z1138" t="s">
        <v>137</v>
      </c>
      <c r="AB1138">
        <v>0.03</v>
      </c>
      <c r="AG1138" t="s">
        <v>95</v>
      </c>
      <c r="AX1138" t="s">
        <v>615</v>
      </c>
      <c r="AY1138" t="s">
        <v>946</v>
      </c>
      <c r="AZ1138" t="s">
        <v>586</v>
      </c>
      <c r="BC1138">
        <v>12</v>
      </c>
      <c r="BH1138" t="s">
        <v>99</v>
      </c>
      <c r="BO1138" t="s">
        <v>111</v>
      </c>
      <c r="CD1138" t="s">
        <v>947</v>
      </c>
      <c r="CE1138">
        <v>167523</v>
      </c>
      <c r="CF1138" t="s">
        <v>948</v>
      </c>
      <c r="CG1138" t="s">
        <v>949</v>
      </c>
      <c r="CH1138">
        <v>2013</v>
      </c>
    </row>
    <row r="1139" spans="1:86" hidden="1" x14ac:dyDescent="0.25">
      <c r="A1139">
        <v>330541</v>
      </c>
      <c r="B1139" t="s">
        <v>86</v>
      </c>
      <c r="C1139" t="s">
        <v>183</v>
      </c>
      <c r="D1139" t="s">
        <v>87</v>
      </c>
      <c r="F1139">
        <v>99.8</v>
      </c>
      <c r="K1139" t="s">
        <v>931</v>
      </c>
      <c r="L1139" t="s">
        <v>932</v>
      </c>
      <c r="M1139" t="s">
        <v>933</v>
      </c>
      <c r="N1139" t="s">
        <v>919</v>
      </c>
      <c r="P1139">
        <v>15</v>
      </c>
      <c r="U1139" t="s">
        <v>934</v>
      </c>
      <c r="V1139" t="s">
        <v>507</v>
      </c>
      <c r="W1139" t="s">
        <v>92</v>
      </c>
      <c r="X1139" t="s">
        <v>93</v>
      </c>
      <c r="Z1139" t="s">
        <v>94</v>
      </c>
      <c r="AB1139">
        <v>7.6</v>
      </c>
      <c r="AG1139" t="s">
        <v>95</v>
      </c>
      <c r="AX1139" t="s">
        <v>196</v>
      </c>
      <c r="AY1139" t="s">
        <v>929</v>
      </c>
      <c r="AZ1139" t="s">
        <v>586</v>
      </c>
      <c r="BA1139" t="s">
        <v>179</v>
      </c>
      <c r="BC1139">
        <v>21</v>
      </c>
      <c r="BH1139" t="s">
        <v>99</v>
      </c>
      <c r="BO1139" t="s">
        <v>111</v>
      </c>
      <c r="CD1139" t="s">
        <v>914</v>
      </c>
      <c r="CE1139">
        <v>18988</v>
      </c>
      <c r="CF1139" t="s">
        <v>915</v>
      </c>
      <c r="CG1139" t="s">
        <v>916</v>
      </c>
      <c r="CH1139">
        <v>1998</v>
      </c>
    </row>
    <row r="1140" spans="1:86" hidden="1" x14ac:dyDescent="0.25">
      <c r="A1140">
        <v>330541</v>
      </c>
      <c r="B1140" t="s">
        <v>86</v>
      </c>
      <c r="C1140" t="s">
        <v>183</v>
      </c>
      <c r="D1140" t="s">
        <v>87</v>
      </c>
      <c r="F1140">
        <v>99.8</v>
      </c>
      <c r="K1140" t="s">
        <v>935</v>
      </c>
      <c r="L1140" t="s">
        <v>936</v>
      </c>
      <c r="M1140" t="s">
        <v>933</v>
      </c>
      <c r="N1140" t="s">
        <v>910</v>
      </c>
      <c r="R1140">
        <v>10</v>
      </c>
      <c r="T1140">
        <v>11</v>
      </c>
      <c r="U1140" t="s">
        <v>911</v>
      </c>
      <c r="V1140" t="s">
        <v>507</v>
      </c>
      <c r="W1140" t="s">
        <v>92</v>
      </c>
      <c r="X1140" t="s">
        <v>93</v>
      </c>
      <c r="Z1140" t="s">
        <v>94</v>
      </c>
      <c r="AB1140">
        <v>7.6</v>
      </c>
      <c r="AG1140" t="s">
        <v>95</v>
      </c>
      <c r="AX1140" t="s">
        <v>196</v>
      </c>
      <c r="AY1140" t="s">
        <v>817</v>
      </c>
      <c r="AZ1140" t="s">
        <v>586</v>
      </c>
      <c r="BA1140" t="s">
        <v>179</v>
      </c>
      <c r="BC1140">
        <v>4</v>
      </c>
      <c r="BH1140" t="s">
        <v>99</v>
      </c>
      <c r="BO1140" t="s">
        <v>111</v>
      </c>
      <c r="CD1140" t="s">
        <v>914</v>
      </c>
      <c r="CE1140">
        <v>18988</v>
      </c>
      <c r="CF1140" t="s">
        <v>915</v>
      </c>
      <c r="CG1140" t="s">
        <v>916</v>
      </c>
      <c r="CH1140">
        <v>1998</v>
      </c>
    </row>
    <row r="1141" spans="1:86" hidden="1" x14ac:dyDescent="0.25">
      <c r="A1141">
        <v>330541</v>
      </c>
      <c r="B1141" t="s">
        <v>86</v>
      </c>
      <c r="C1141" t="s">
        <v>183</v>
      </c>
      <c r="D1141" t="s">
        <v>87</v>
      </c>
      <c r="F1141">
        <v>99.8</v>
      </c>
      <c r="K1141" t="s">
        <v>931</v>
      </c>
      <c r="L1141" t="s">
        <v>932</v>
      </c>
      <c r="M1141" t="s">
        <v>933</v>
      </c>
      <c r="N1141" t="s">
        <v>919</v>
      </c>
      <c r="P1141">
        <v>15</v>
      </c>
      <c r="U1141" t="s">
        <v>934</v>
      </c>
      <c r="V1141" t="s">
        <v>507</v>
      </c>
      <c r="W1141" t="s">
        <v>92</v>
      </c>
      <c r="X1141" t="s">
        <v>93</v>
      </c>
      <c r="Z1141" t="s">
        <v>94</v>
      </c>
      <c r="AA1141" t="s">
        <v>106</v>
      </c>
      <c r="AB1141">
        <v>29.1</v>
      </c>
      <c r="AG1141" t="s">
        <v>95</v>
      </c>
      <c r="AX1141" t="s">
        <v>196</v>
      </c>
      <c r="AY1141" t="s">
        <v>928</v>
      </c>
      <c r="AZ1141" t="s">
        <v>586</v>
      </c>
      <c r="BA1141" t="s">
        <v>179</v>
      </c>
      <c r="BC1141">
        <v>21</v>
      </c>
      <c r="BH1141" t="s">
        <v>99</v>
      </c>
      <c r="BO1141" t="s">
        <v>111</v>
      </c>
      <c r="CD1141" t="s">
        <v>914</v>
      </c>
      <c r="CE1141">
        <v>18988</v>
      </c>
      <c r="CF1141" t="s">
        <v>915</v>
      </c>
      <c r="CG1141" t="s">
        <v>916</v>
      </c>
      <c r="CH1141">
        <v>1998</v>
      </c>
    </row>
    <row r="1142" spans="1:86" hidden="1" x14ac:dyDescent="0.25">
      <c r="A1142">
        <v>330541</v>
      </c>
      <c r="B1142" t="s">
        <v>86</v>
      </c>
      <c r="C1142" t="s">
        <v>183</v>
      </c>
      <c r="D1142" t="s">
        <v>87</v>
      </c>
      <c r="F1142">
        <v>99.8</v>
      </c>
      <c r="K1142" t="s">
        <v>935</v>
      </c>
      <c r="L1142" t="s">
        <v>936</v>
      </c>
      <c r="M1142" t="s">
        <v>933</v>
      </c>
      <c r="N1142" t="s">
        <v>919</v>
      </c>
      <c r="P1142">
        <v>11</v>
      </c>
      <c r="U1142" t="s">
        <v>920</v>
      </c>
      <c r="V1142" t="s">
        <v>507</v>
      </c>
      <c r="W1142" t="s">
        <v>92</v>
      </c>
      <c r="X1142" t="s">
        <v>93</v>
      </c>
      <c r="Z1142" t="s">
        <v>94</v>
      </c>
      <c r="AA1142" t="s">
        <v>106</v>
      </c>
      <c r="AB1142">
        <v>29.1</v>
      </c>
      <c r="AG1142" t="s">
        <v>95</v>
      </c>
      <c r="AX1142" t="s">
        <v>196</v>
      </c>
      <c r="AY1142" t="s">
        <v>817</v>
      </c>
      <c r="AZ1142" t="s">
        <v>586</v>
      </c>
      <c r="BA1142" t="s">
        <v>179</v>
      </c>
      <c r="BC1142">
        <v>14</v>
      </c>
      <c r="BH1142" t="s">
        <v>99</v>
      </c>
      <c r="BO1142" t="s">
        <v>111</v>
      </c>
      <c r="CD1142" t="s">
        <v>914</v>
      </c>
      <c r="CE1142">
        <v>18988</v>
      </c>
      <c r="CF1142" t="s">
        <v>915</v>
      </c>
      <c r="CG1142" t="s">
        <v>916</v>
      </c>
      <c r="CH1142">
        <v>1998</v>
      </c>
    </row>
    <row r="1143" spans="1:86" hidden="1" x14ac:dyDescent="0.25">
      <c r="A1143">
        <v>330541</v>
      </c>
      <c r="B1143" t="s">
        <v>86</v>
      </c>
      <c r="C1143" t="s">
        <v>183</v>
      </c>
      <c r="D1143" t="s">
        <v>87</v>
      </c>
      <c r="F1143">
        <v>99.8</v>
      </c>
      <c r="K1143" t="s">
        <v>935</v>
      </c>
      <c r="L1143" t="s">
        <v>936</v>
      </c>
      <c r="M1143" t="s">
        <v>933</v>
      </c>
      <c r="N1143" t="s">
        <v>910</v>
      </c>
      <c r="R1143">
        <v>10</v>
      </c>
      <c r="T1143">
        <v>11</v>
      </c>
      <c r="U1143" t="s">
        <v>911</v>
      </c>
      <c r="V1143" t="s">
        <v>507</v>
      </c>
      <c r="W1143" t="s">
        <v>92</v>
      </c>
      <c r="X1143" t="s">
        <v>93</v>
      </c>
      <c r="Z1143" t="s">
        <v>94</v>
      </c>
      <c r="AB1143">
        <v>14.5</v>
      </c>
      <c r="AG1143" t="s">
        <v>95</v>
      </c>
      <c r="AX1143" t="s">
        <v>196</v>
      </c>
      <c r="AY1143" t="s">
        <v>817</v>
      </c>
      <c r="AZ1143" t="s">
        <v>586</v>
      </c>
      <c r="BA1143" t="s">
        <v>179</v>
      </c>
      <c r="BC1143">
        <v>4</v>
      </c>
      <c r="BH1143" t="s">
        <v>99</v>
      </c>
      <c r="BO1143" t="s">
        <v>111</v>
      </c>
      <c r="CD1143" t="s">
        <v>914</v>
      </c>
      <c r="CE1143">
        <v>18988</v>
      </c>
      <c r="CF1143" t="s">
        <v>915</v>
      </c>
      <c r="CG1143" t="s">
        <v>916</v>
      </c>
      <c r="CH1143">
        <v>1998</v>
      </c>
    </row>
    <row r="1144" spans="1:86" hidden="1" x14ac:dyDescent="0.25">
      <c r="A1144">
        <v>330541</v>
      </c>
      <c r="B1144" t="s">
        <v>86</v>
      </c>
      <c r="C1144" t="s">
        <v>183</v>
      </c>
      <c r="D1144" t="s">
        <v>87</v>
      </c>
      <c r="F1144">
        <v>99.8</v>
      </c>
      <c r="K1144" t="s">
        <v>935</v>
      </c>
      <c r="L1144" t="s">
        <v>936</v>
      </c>
      <c r="M1144" t="s">
        <v>933</v>
      </c>
      <c r="N1144" t="s">
        <v>919</v>
      </c>
      <c r="P1144">
        <v>11</v>
      </c>
      <c r="U1144" t="s">
        <v>920</v>
      </c>
      <c r="V1144" t="s">
        <v>507</v>
      </c>
      <c r="W1144" t="s">
        <v>92</v>
      </c>
      <c r="X1144" t="s">
        <v>93</v>
      </c>
      <c r="Z1144" t="s">
        <v>94</v>
      </c>
      <c r="AA1144" t="s">
        <v>106</v>
      </c>
      <c r="AB1144">
        <v>29.1</v>
      </c>
      <c r="AG1144" t="s">
        <v>95</v>
      </c>
      <c r="AX1144" t="s">
        <v>196</v>
      </c>
      <c r="AY1144" t="s">
        <v>928</v>
      </c>
      <c r="AZ1144" t="s">
        <v>586</v>
      </c>
      <c r="BA1144" t="s">
        <v>179</v>
      </c>
      <c r="BC1144">
        <v>14</v>
      </c>
      <c r="BH1144" t="s">
        <v>99</v>
      </c>
      <c r="BO1144" t="s">
        <v>111</v>
      </c>
      <c r="CD1144" t="s">
        <v>914</v>
      </c>
      <c r="CE1144">
        <v>18988</v>
      </c>
      <c r="CF1144" t="s">
        <v>915</v>
      </c>
      <c r="CG1144" t="s">
        <v>916</v>
      </c>
      <c r="CH1144">
        <v>1998</v>
      </c>
    </row>
    <row r="1145" spans="1:86" hidden="1" x14ac:dyDescent="0.25">
      <c r="A1145">
        <v>330541</v>
      </c>
      <c r="B1145" t="s">
        <v>86</v>
      </c>
      <c r="C1145" t="s">
        <v>183</v>
      </c>
      <c r="D1145" t="s">
        <v>87</v>
      </c>
      <c r="F1145">
        <v>99.8</v>
      </c>
      <c r="K1145" t="s">
        <v>931</v>
      </c>
      <c r="L1145" t="s">
        <v>932</v>
      </c>
      <c r="M1145" t="s">
        <v>933</v>
      </c>
      <c r="N1145" t="s">
        <v>919</v>
      </c>
      <c r="P1145">
        <v>15</v>
      </c>
      <c r="U1145" t="s">
        <v>934</v>
      </c>
      <c r="V1145" t="s">
        <v>507</v>
      </c>
      <c r="W1145" t="s">
        <v>92</v>
      </c>
      <c r="X1145" t="s">
        <v>93</v>
      </c>
      <c r="Z1145" t="s">
        <v>94</v>
      </c>
      <c r="AA1145" t="s">
        <v>106</v>
      </c>
      <c r="AB1145">
        <v>29.1</v>
      </c>
      <c r="AG1145" t="s">
        <v>95</v>
      </c>
      <c r="AX1145" t="s">
        <v>196</v>
      </c>
      <c r="AY1145" t="s">
        <v>817</v>
      </c>
      <c r="AZ1145" t="s">
        <v>586</v>
      </c>
      <c r="BA1145" t="s">
        <v>179</v>
      </c>
      <c r="BC1145">
        <v>21</v>
      </c>
      <c r="BH1145" t="s">
        <v>99</v>
      </c>
      <c r="BO1145" t="s">
        <v>111</v>
      </c>
      <c r="CD1145" t="s">
        <v>914</v>
      </c>
      <c r="CE1145">
        <v>18988</v>
      </c>
      <c r="CF1145" t="s">
        <v>915</v>
      </c>
      <c r="CG1145" t="s">
        <v>916</v>
      </c>
      <c r="CH1145">
        <v>1998</v>
      </c>
    </row>
    <row r="1146" spans="1:86" hidden="1" x14ac:dyDescent="0.25">
      <c r="A1146">
        <v>330541</v>
      </c>
      <c r="B1146" t="s">
        <v>86</v>
      </c>
      <c r="C1146" t="s">
        <v>183</v>
      </c>
      <c r="D1146" t="s">
        <v>87</v>
      </c>
      <c r="F1146">
        <v>99.8</v>
      </c>
      <c r="K1146" t="s">
        <v>931</v>
      </c>
      <c r="L1146" t="s">
        <v>932</v>
      </c>
      <c r="M1146" t="s">
        <v>933</v>
      </c>
      <c r="N1146" t="s">
        <v>919</v>
      </c>
      <c r="P1146">
        <v>1</v>
      </c>
      <c r="U1146" t="s">
        <v>99</v>
      </c>
      <c r="V1146" t="s">
        <v>507</v>
      </c>
      <c r="W1146" t="s">
        <v>92</v>
      </c>
      <c r="X1146" t="s">
        <v>93</v>
      </c>
      <c r="Z1146" t="s">
        <v>94</v>
      </c>
      <c r="AB1146">
        <v>14.5</v>
      </c>
      <c r="AG1146" t="s">
        <v>95</v>
      </c>
      <c r="AX1146" t="s">
        <v>196</v>
      </c>
      <c r="AY1146" t="s">
        <v>928</v>
      </c>
      <c r="AZ1146" t="s">
        <v>586</v>
      </c>
      <c r="BA1146" t="s">
        <v>179</v>
      </c>
      <c r="BC1146">
        <v>10</v>
      </c>
      <c r="BH1146" t="s">
        <v>99</v>
      </c>
      <c r="BO1146" t="s">
        <v>111</v>
      </c>
      <c r="CD1146" t="s">
        <v>914</v>
      </c>
      <c r="CE1146">
        <v>18988</v>
      </c>
      <c r="CF1146" t="s">
        <v>915</v>
      </c>
      <c r="CG1146" t="s">
        <v>916</v>
      </c>
      <c r="CH1146">
        <v>1998</v>
      </c>
    </row>
    <row r="1147" spans="1:86" hidden="1" x14ac:dyDescent="0.25">
      <c r="A1147">
        <v>330541</v>
      </c>
      <c r="B1147" t="s">
        <v>86</v>
      </c>
      <c r="C1147" t="s">
        <v>183</v>
      </c>
      <c r="D1147" t="s">
        <v>87</v>
      </c>
      <c r="F1147">
        <v>99.8</v>
      </c>
      <c r="K1147" t="s">
        <v>931</v>
      </c>
      <c r="L1147" t="s">
        <v>932</v>
      </c>
      <c r="M1147" t="s">
        <v>933</v>
      </c>
      <c r="N1147" t="s">
        <v>919</v>
      </c>
      <c r="P1147">
        <v>29</v>
      </c>
      <c r="U1147" t="s">
        <v>99</v>
      </c>
      <c r="V1147" t="s">
        <v>507</v>
      </c>
      <c r="W1147" t="s">
        <v>92</v>
      </c>
      <c r="X1147" t="s">
        <v>93</v>
      </c>
      <c r="Z1147" t="s">
        <v>94</v>
      </c>
      <c r="AB1147">
        <v>14.5</v>
      </c>
      <c r="AG1147" t="s">
        <v>95</v>
      </c>
      <c r="AX1147" t="s">
        <v>196</v>
      </c>
      <c r="AY1147" t="s">
        <v>817</v>
      </c>
      <c r="AZ1147" t="s">
        <v>586</v>
      </c>
      <c r="BA1147" t="s">
        <v>179</v>
      </c>
      <c r="BC1147">
        <v>14</v>
      </c>
      <c r="BH1147" t="s">
        <v>99</v>
      </c>
      <c r="BO1147" t="s">
        <v>111</v>
      </c>
      <c r="CD1147" t="s">
        <v>914</v>
      </c>
      <c r="CE1147">
        <v>18988</v>
      </c>
      <c r="CF1147" t="s">
        <v>915</v>
      </c>
      <c r="CG1147" t="s">
        <v>916</v>
      </c>
      <c r="CH1147">
        <v>1998</v>
      </c>
    </row>
    <row r="1148" spans="1:86" hidden="1" x14ac:dyDescent="0.25">
      <c r="A1148">
        <v>330541</v>
      </c>
      <c r="B1148" t="s">
        <v>86</v>
      </c>
      <c r="C1148" t="s">
        <v>183</v>
      </c>
      <c r="D1148" t="s">
        <v>87</v>
      </c>
      <c r="F1148">
        <v>99.8</v>
      </c>
      <c r="K1148" t="s">
        <v>931</v>
      </c>
      <c r="L1148" t="s">
        <v>932</v>
      </c>
      <c r="M1148" t="s">
        <v>933</v>
      </c>
      <c r="N1148" t="s">
        <v>919</v>
      </c>
      <c r="P1148">
        <v>1</v>
      </c>
      <c r="U1148" t="s">
        <v>99</v>
      </c>
      <c r="V1148" t="s">
        <v>507</v>
      </c>
      <c r="W1148" t="s">
        <v>92</v>
      </c>
      <c r="X1148" t="s">
        <v>93</v>
      </c>
      <c r="Z1148" t="s">
        <v>94</v>
      </c>
      <c r="AB1148">
        <v>7.6</v>
      </c>
      <c r="AG1148" t="s">
        <v>95</v>
      </c>
      <c r="AX1148" t="s">
        <v>196</v>
      </c>
      <c r="AY1148" t="s">
        <v>929</v>
      </c>
      <c r="AZ1148" t="s">
        <v>586</v>
      </c>
      <c r="BA1148" t="s">
        <v>179</v>
      </c>
      <c r="BC1148">
        <v>10</v>
      </c>
      <c r="BH1148" t="s">
        <v>99</v>
      </c>
      <c r="BO1148" t="s">
        <v>111</v>
      </c>
      <c r="CD1148" t="s">
        <v>914</v>
      </c>
      <c r="CE1148">
        <v>18988</v>
      </c>
      <c r="CF1148" t="s">
        <v>915</v>
      </c>
      <c r="CG1148" t="s">
        <v>916</v>
      </c>
      <c r="CH1148">
        <v>1998</v>
      </c>
    </row>
    <row r="1149" spans="1:86" hidden="1" x14ac:dyDescent="0.25">
      <c r="A1149">
        <v>330541</v>
      </c>
      <c r="B1149" t="s">
        <v>86</v>
      </c>
      <c r="C1149" t="s">
        <v>183</v>
      </c>
      <c r="D1149" t="s">
        <v>87</v>
      </c>
      <c r="F1149">
        <v>99.8</v>
      </c>
      <c r="K1149" t="s">
        <v>931</v>
      </c>
      <c r="L1149" t="s">
        <v>932</v>
      </c>
      <c r="M1149" t="s">
        <v>933</v>
      </c>
      <c r="N1149" t="s">
        <v>919</v>
      </c>
      <c r="P1149">
        <v>29</v>
      </c>
      <c r="U1149" t="s">
        <v>99</v>
      </c>
      <c r="V1149" t="s">
        <v>507</v>
      </c>
      <c r="W1149" t="s">
        <v>92</v>
      </c>
      <c r="X1149" t="s">
        <v>93</v>
      </c>
      <c r="Z1149" t="s">
        <v>94</v>
      </c>
      <c r="AB1149">
        <v>21.1</v>
      </c>
      <c r="AG1149" t="s">
        <v>95</v>
      </c>
      <c r="AX1149" t="s">
        <v>196</v>
      </c>
      <c r="AY1149" t="s">
        <v>928</v>
      </c>
      <c r="AZ1149" t="s">
        <v>586</v>
      </c>
      <c r="BA1149" t="s">
        <v>179</v>
      </c>
      <c r="BC1149">
        <v>14</v>
      </c>
      <c r="BH1149" t="s">
        <v>99</v>
      </c>
      <c r="BO1149" t="s">
        <v>111</v>
      </c>
      <c r="CD1149" t="s">
        <v>914</v>
      </c>
      <c r="CE1149">
        <v>18988</v>
      </c>
      <c r="CF1149" t="s">
        <v>915</v>
      </c>
      <c r="CG1149" t="s">
        <v>916</v>
      </c>
      <c r="CH1149">
        <v>1998</v>
      </c>
    </row>
    <row r="1150" spans="1:86" hidden="1" x14ac:dyDescent="0.25">
      <c r="A1150">
        <v>330541</v>
      </c>
      <c r="B1150" t="s">
        <v>86</v>
      </c>
      <c r="C1150" t="s">
        <v>183</v>
      </c>
      <c r="D1150" t="s">
        <v>87</v>
      </c>
      <c r="F1150">
        <v>99.8</v>
      </c>
      <c r="K1150" t="s">
        <v>935</v>
      </c>
      <c r="L1150" t="s">
        <v>936</v>
      </c>
      <c r="M1150" t="s">
        <v>933</v>
      </c>
      <c r="N1150" t="s">
        <v>910</v>
      </c>
      <c r="R1150">
        <v>10</v>
      </c>
      <c r="T1150">
        <v>11</v>
      </c>
      <c r="U1150" t="s">
        <v>911</v>
      </c>
      <c r="V1150" t="s">
        <v>507</v>
      </c>
      <c r="W1150" t="s">
        <v>92</v>
      </c>
      <c r="X1150" t="s">
        <v>93</v>
      </c>
      <c r="Z1150" t="s">
        <v>94</v>
      </c>
      <c r="AB1150">
        <v>14.5</v>
      </c>
      <c r="AG1150" t="s">
        <v>95</v>
      </c>
      <c r="AX1150" t="s">
        <v>912</v>
      </c>
      <c r="AY1150" t="s">
        <v>913</v>
      </c>
      <c r="AZ1150" t="s">
        <v>586</v>
      </c>
      <c r="BC1150">
        <v>4</v>
      </c>
      <c r="BH1150" t="s">
        <v>99</v>
      </c>
      <c r="BO1150" t="s">
        <v>111</v>
      </c>
      <c r="CD1150" t="s">
        <v>914</v>
      </c>
      <c r="CE1150">
        <v>18988</v>
      </c>
      <c r="CF1150" t="s">
        <v>915</v>
      </c>
      <c r="CG1150" t="s">
        <v>916</v>
      </c>
      <c r="CH1150">
        <v>1998</v>
      </c>
    </row>
    <row r="1151" spans="1:86" hidden="1" x14ac:dyDescent="0.25">
      <c r="A1151">
        <v>330541</v>
      </c>
      <c r="B1151" t="s">
        <v>86</v>
      </c>
      <c r="D1151" t="s">
        <v>115</v>
      </c>
      <c r="E1151" t="s">
        <v>106</v>
      </c>
      <c r="F1151">
        <v>97</v>
      </c>
      <c r="K1151" t="s">
        <v>935</v>
      </c>
      <c r="L1151" t="s">
        <v>936</v>
      </c>
      <c r="M1151" t="s">
        <v>933</v>
      </c>
      <c r="N1151" t="s">
        <v>937</v>
      </c>
      <c r="V1151" t="s">
        <v>91</v>
      </c>
      <c r="W1151" t="s">
        <v>92</v>
      </c>
      <c r="X1151" t="s">
        <v>93</v>
      </c>
      <c r="Y1151">
        <v>3</v>
      </c>
      <c r="Z1151" t="s">
        <v>94</v>
      </c>
      <c r="AB1151">
        <v>14.569000000000001</v>
      </c>
      <c r="AG1151" t="s">
        <v>95</v>
      </c>
      <c r="AX1151" t="s">
        <v>938</v>
      </c>
      <c r="AY1151" t="s">
        <v>950</v>
      </c>
      <c r="AZ1151" t="s">
        <v>609</v>
      </c>
      <c r="BA1151" t="s">
        <v>940</v>
      </c>
      <c r="BC1151">
        <v>0.83330000000000004</v>
      </c>
      <c r="BH1151" t="s">
        <v>99</v>
      </c>
      <c r="BO1151" t="s">
        <v>111</v>
      </c>
      <c r="CD1151" t="s">
        <v>941</v>
      </c>
      <c r="CE1151">
        <v>117111</v>
      </c>
      <c r="CF1151" t="s">
        <v>942</v>
      </c>
      <c r="CG1151" t="s">
        <v>943</v>
      </c>
      <c r="CH1151">
        <v>2009</v>
      </c>
    </row>
    <row r="1152" spans="1:86" hidden="1" x14ac:dyDescent="0.25">
      <c r="A1152">
        <v>330541</v>
      </c>
      <c r="B1152" t="s">
        <v>86</v>
      </c>
      <c r="D1152" t="s">
        <v>115</v>
      </c>
      <c r="E1152" t="s">
        <v>106</v>
      </c>
      <c r="F1152">
        <v>97</v>
      </c>
      <c r="K1152" t="s">
        <v>935</v>
      </c>
      <c r="L1152" t="s">
        <v>936</v>
      </c>
      <c r="M1152" t="s">
        <v>933</v>
      </c>
      <c r="N1152" t="s">
        <v>937</v>
      </c>
      <c r="V1152" t="s">
        <v>91</v>
      </c>
      <c r="W1152" t="s">
        <v>92</v>
      </c>
      <c r="X1152" t="s">
        <v>93</v>
      </c>
      <c r="Y1152">
        <v>3</v>
      </c>
      <c r="Z1152" t="s">
        <v>94</v>
      </c>
      <c r="AB1152">
        <v>1.4570000000000001</v>
      </c>
      <c r="AG1152" t="s">
        <v>95</v>
      </c>
      <c r="AX1152" t="s">
        <v>602</v>
      </c>
      <c r="AY1152" t="s">
        <v>944</v>
      </c>
      <c r="AZ1152" t="s">
        <v>609</v>
      </c>
      <c r="BA1152" t="s">
        <v>940</v>
      </c>
      <c r="BC1152">
        <v>0.83330000000000004</v>
      </c>
      <c r="BH1152" t="s">
        <v>99</v>
      </c>
      <c r="BO1152" t="s">
        <v>111</v>
      </c>
      <c r="CD1152" t="s">
        <v>941</v>
      </c>
      <c r="CE1152">
        <v>117111</v>
      </c>
      <c r="CF1152" t="s">
        <v>942</v>
      </c>
      <c r="CG1152" t="s">
        <v>943</v>
      </c>
      <c r="CH1152">
        <v>2009</v>
      </c>
    </row>
    <row r="1153" spans="1:86" hidden="1" x14ac:dyDescent="0.25">
      <c r="A1153">
        <v>330541</v>
      </c>
      <c r="B1153" t="s">
        <v>86</v>
      </c>
      <c r="D1153" t="s">
        <v>115</v>
      </c>
      <c r="E1153" t="s">
        <v>106</v>
      </c>
      <c r="F1153">
        <v>97</v>
      </c>
      <c r="K1153" t="s">
        <v>935</v>
      </c>
      <c r="L1153" t="s">
        <v>936</v>
      </c>
      <c r="M1153" t="s">
        <v>933</v>
      </c>
      <c r="N1153" t="s">
        <v>937</v>
      </c>
      <c r="V1153" t="s">
        <v>91</v>
      </c>
      <c r="W1153" t="s">
        <v>92</v>
      </c>
      <c r="X1153" t="s">
        <v>93</v>
      </c>
      <c r="Y1153">
        <v>3</v>
      </c>
      <c r="Z1153" t="s">
        <v>94</v>
      </c>
      <c r="AB1153">
        <v>1.4570000000000001</v>
      </c>
      <c r="AG1153" t="s">
        <v>95</v>
      </c>
      <c r="AX1153" t="s">
        <v>938</v>
      </c>
      <c r="AY1153" t="s">
        <v>939</v>
      </c>
      <c r="AZ1153" t="s">
        <v>609</v>
      </c>
      <c r="BA1153" t="s">
        <v>940</v>
      </c>
      <c r="BC1153">
        <v>0.83330000000000004</v>
      </c>
      <c r="BH1153" t="s">
        <v>99</v>
      </c>
      <c r="BO1153" t="s">
        <v>111</v>
      </c>
      <c r="CD1153" t="s">
        <v>941</v>
      </c>
      <c r="CE1153">
        <v>117111</v>
      </c>
      <c r="CF1153" t="s">
        <v>942</v>
      </c>
      <c r="CG1153" t="s">
        <v>943</v>
      </c>
      <c r="CH1153">
        <v>2009</v>
      </c>
    </row>
    <row r="1154" spans="1:86" hidden="1" x14ac:dyDescent="0.25">
      <c r="A1154">
        <v>330541</v>
      </c>
      <c r="B1154" t="s">
        <v>86</v>
      </c>
      <c r="D1154" t="s">
        <v>115</v>
      </c>
      <c r="E1154" t="s">
        <v>106</v>
      </c>
      <c r="F1154">
        <v>97</v>
      </c>
      <c r="K1154" t="s">
        <v>935</v>
      </c>
      <c r="L1154" t="s">
        <v>936</v>
      </c>
      <c r="M1154" t="s">
        <v>933</v>
      </c>
      <c r="N1154" t="s">
        <v>937</v>
      </c>
      <c r="V1154" t="s">
        <v>91</v>
      </c>
      <c r="W1154" t="s">
        <v>92</v>
      </c>
      <c r="X1154" t="s">
        <v>93</v>
      </c>
      <c r="Y1154">
        <v>3</v>
      </c>
      <c r="Z1154" t="s">
        <v>94</v>
      </c>
      <c r="AB1154">
        <v>14.569000000000001</v>
      </c>
      <c r="AG1154" t="s">
        <v>95</v>
      </c>
      <c r="AX1154" t="s">
        <v>938</v>
      </c>
      <c r="AY1154" t="s">
        <v>951</v>
      </c>
      <c r="AZ1154" t="s">
        <v>609</v>
      </c>
      <c r="BA1154" t="s">
        <v>940</v>
      </c>
      <c r="BC1154">
        <v>0.83330000000000004</v>
      </c>
      <c r="BH1154" t="s">
        <v>99</v>
      </c>
      <c r="BO1154" t="s">
        <v>111</v>
      </c>
      <c r="CD1154" t="s">
        <v>941</v>
      </c>
      <c r="CE1154">
        <v>117111</v>
      </c>
      <c r="CF1154" t="s">
        <v>942</v>
      </c>
      <c r="CG1154" t="s">
        <v>943</v>
      </c>
      <c r="CH1154">
        <v>2009</v>
      </c>
    </row>
    <row r="1155" spans="1:86" hidden="1" x14ac:dyDescent="0.25">
      <c r="A1155">
        <v>330541</v>
      </c>
      <c r="B1155" t="s">
        <v>86</v>
      </c>
      <c r="C1155" t="s">
        <v>158</v>
      </c>
      <c r="D1155" t="s">
        <v>87</v>
      </c>
      <c r="K1155" t="s">
        <v>952</v>
      </c>
      <c r="L1155" t="s">
        <v>953</v>
      </c>
      <c r="M1155" t="s">
        <v>954</v>
      </c>
      <c r="N1155" t="s">
        <v>919</v>
      </c>
      <c r="V1155" t="s">
        <v>507</v>
      </c>
      <c r="W1155" t="s">
        <v>92</v>
      </c>
      <c r="X1155" t="s">
        <v>93</v>
      </c>
      <c r="Y1155">
        <v>3</v>
      </c>
      <c r="Z1155" t="s">
        <v>94</v>
      </c>
      <c r="AB1155">
        <v>2.3055999999999999E-4</v>
      </c>
      <c r="AG1155" t="s">
        <v>95</v>
      </c>
      <c r="AX1155" t="s">
        <v>938</v>
      </c>
      <c r="AY1155" t="s">
        <v>955</v>
      </c>
      <c r="AZ1155" t="s">
        <v>486</v>
      </c>
      <c r="BA1155" t="s">
        <v>956</v>
      </c>
      <c r="BC1155">
        <v>7</v>
      </c>
      <c r="BH1155" t="s">
        <v>99</v>
      </c>
      <c r="BO1155" t="s">
        <v>111</v>
      </c>
      <c r="CD1155" t="s">
        <v>957</v>
      </c>
      <c r="CE1155">
        <v>177269</v>
      </c>
      <c r="CF1155" t="s">
        <v>958</v>
      </c>
      <c r="CG1155" t="s">
        <v>959</v>
      </c>
      <c r="CH1155">
        <v>2016</v>
      </c>
    </row>
    <row r="1156" spans="1:86" hidden="1" x14ac:dyDescent="0.25">
      <c r="A1156">
        <v>330541</v>
      </c>
      <c r="B1156" t="s">
        <v>86</v>
      </c>
      <c r="C1156" t="s">
        <v>158</v>
      </c>
      <c r="D1156" t="s">
        <v>87</v>
      </c>
      <c r="K1156" t="s">
        <v>952</v>
      </c>
      <c r="L1156" t="s">
        <v>953</v>
      </c>
      <c r="M1156" t="s">
        <v>954</v>
      </c>
      <c r="N1156" t="s">
        <v>919</v>
      </c>
      <c r="V1156" t="s">
        <v>507</v>
      </c>
      <c r="W1156" t="s">
        <v>92</v>
      </c>
      <c r="X1156" t="s">
        <v>93</v>
      </c>
      <c r="Y1156">
        <v>3</v>
      </c>
      <c r="Z1156" t="s">
        <v>94</v>
      </c>
      <c r="AB1156">
        <v>2.3055999999999999E-4</v>
      </c>
      <c r="AG1156" t="s">
        <v>95</v>
      </c>
      <c r="AX1156" t="s">
        <v>615</v>
      </c>
      <c r="AY1156" t="s">
        <v>960</v>
      </c>
      <c r="AZ1156" t="s">
        <v>486</v>
      </c>
      <c r="BC1156">
        <v>7</v>
      </c>
      <c r="BH1156" t="s">
        <v>99</v>
      </c>
      <c r="BO1156" t="s">
        <v>111</v>
      </c>
      <c r="CD1156" t="s">
        <v>957</v>
      </c>
      <c r="CE1156">
        <v>177269</v>
      </c>
      <c r="CF1156" t="s">
        <v>958</v>
      </c>
      <c r="CG1156" t="s">
        <v>959</v>
      </c>
      <c r="CH1156">
        <v>2016</v>
      </c>
    </row>
    <row r="1157" spans="1:86" hidden="1" x14ac:dyDescent="0.25">
      <c r="A1157">
        <v>330541</v>
      </c>
      <c r="B1157" t="s">
        <v>86</v>
      </c>
      <c r="C1157" t="s">
        <v>158</v>
      </c>
      <c r="D1157" t="s">
        <v>87</v>
      </c>
      <c r="K1157" t="s">
        <v>952</v>
      </c>
      <c r="L1157" t="s">
        <v>953</v>
      </c>
      <c r="M1157" t="s">
        <v>954</v>
      </c>
      <c r="N1157" t="s">
        <v>919</v>
      </c>
      <c r="V1157" t="s">
        <v>507</v>
      </c>
      <c r="W1157" t="s">
        <v>92</v>
      </c>
      <c r="X1157" t="s">
        <v>93</v>
      </c>
      <c r="Y1157">
        <v>3</v>
      </c>
      <c r="Z1157" t="s">
        <v>94</v>
      </c>
      <c r="AB1157">
        <v>2.3055999999999999E-4</v>
      </c>
      <c r="AG1157" t="s">
        <v>95</v>
      </c>
      <c r="AX1157" t="s">
        <v>196</v>
      </c>
      <c r="AY1157" t="s">
        <v>928</v>
      </c>
      <c r="AZ1157" t="s">
        <v>486</v>
      </c>
      <c r="BA1157" t="s">
        <v>179</v>
      </c>
      <c r="BC1157">
        <v>7</v>
      </c>
      <c r="BH1157" t="s">
        <v>99</v>
      </c>
      <c r="BO1157" t="s">
        <v>111</v>
      </c>
      <c r="CD1157" t="s">
        <v>957</v>
      </c>
      <c r="CE1157">
        <v>177269</v>
      </c>
      <c r="CF1157" t="s">
        <v>958</v>
      </c>
      <c r="CG1157" t="s">
        <v>959</v>
      </c>
      <c r="CH1157">
        <v>2016</v>
      </c>
    </row>
    <row r="1158" spans="1:86" hidden="1" x14ac:dyDescent="0.25">
      <c r="A1158">
        <v>330541</v>
      </c>
      <c r="B1158" t="s">
        <v>86</v>
      </c>
      <c r="C1158" t="s">
        <v>158</v>
      </c>
      <c r="D1158" t="s">
        <v>87</v>
      </c>
      <c r="K1158" t="s">
        <v>952</v>
      </c>
      <c r="L1158" t="s">
        <v>953</v>
      </c>
      <c r="M1158" t="s">
        <v>954</v>
      </c>
      <c r="N1158" t="s">
        <v>919</v>
      </c>
      <c r="V1158" t="s">
        <v>507</v>
      </c>
      <c r="W1158" t="s">
        <v>92</v>
      </c>
      <c r="X1158" t="s">
        <v>93</v>
      </c>
      <c r="Y1158">
        <v>3</v>
      </c>
      <c r="Z1158" t="s">
        <v>94</v>
      </c>
      <c r="AB1158">
        <v>2.3055999999999999E-4</v>
      </c>
      <c r="AG1158" t="s">
        <v>95</v>
      </c>
      <c r="AX1158" t="s">
        <v>615</v>
      </c>
      <c r="AY1158" t="s">
        <v>961</v>
      </c>
      <c r="AZ1158" t="s">
        <v>486</v>
      </c>
      <c r="BC1158">
        <v>7</v>
      </c>
      <c r="BH1158" t="s">
        <v>99</v>
      </c>
      <c r="BO1158" t="s">
        <v>111</v>
      </c>
      <c r="CD1158" t="s">
        <v>957</v>
      </c>
      <c r="CE1158">
        <v>177269</v>
      </c>
      <c r="CF1158" t="s">
        <v>958</v>
      </c>
      <c r="CG1158" t="s">
        <v>959</v>
      </c>
      <c r="CH1158">
        <v>2016</v>
      </c>
    </row>
    <row r="1159" spans="1:86" hidden="1" x14ac:dyDescent="0.25">
      <c r="A1159">
        <v>330541</v>
      </c>
      <c r="B1159" t="s">
        <v>86</v>
      </c>
      <c r="C1159" t="s">
        <v>158</v>
      </c>
      <c r="D1159" t="s">
        <v>87</v>
      </c>
      <c r="K1159" t="s">
        <v>952</v>
      </c>
      <c r="L1159" t="s">
        <v>953</v>
      </c>
      <c r="M1159" t="s">
        <v>954</v>
      </c>
      <c r="N1159" t="s">
        <v>919</v>
      </c>
      <c r="V1159" t="s">
        <v>507</v>
      </c>
      <c r="W1159" t="s">
        <v>92</v>
      </c>
      <c r="X1159" t="s">
        <v>93</v>
      </c>
      <c r="Y1159">
        <v>3</v>
      </c>
      <c r="Z1159" t="s">
        <v>94</v>
      </c>
      <c r="AB1159">
        <v>2.3055999999999999E-4</v>
      </c>
      <c r="AG1159" t="s">
        <v>95</v>
      </c>
      <c r="AX1159" t="s">
        <v>615</v>
      </c>
      <c r="AY1159" t="s">
        <v>962</v>
      </c>
      <c r="AZ1159" t="s">
        <v>486</v>
      </c>
      <c r="BC1159">
        <v>7</v>
      </c>
      <c r="BH1159" t="s">
        <v>99</v>
      </c>
      <c r="BO1159" t="s">
        <v>111</v>
      </c>
      <c r="CD1159" t="s">
        <v>957</v>
      </c>
      <c r="CE1159">
        <v>177269</v>
      </c>
      <c r="CF1159" t="s">
        <v>958</v>
      </c>
      <c r="CG1159" t="s">
        <v>959</v>
      </c>
      <c r="CH1159">
        <v>2016</v>
      </c>
    </row>
    <row r="1160" spans="1:86" hidden="1" x14ac:dyDescent="0.25">
      <c r="A1160">
        <v>330541</v>
      </c>
      <c r="B1160" t="s">
        <v>86</v>
      </c>
      <c r="C1160" t="s">
        <v>158</v>
      </c>
      <c r="D1160" t="s">
        <v>87</v>
      </c>
      <c r="K1160" t="s">
        <v>952</v>
      </c>
      <c r="L1160" t="s">
        <v>953</v>
      </c>
      <c r="M1160" t="s">
        <v>954</v>
      </c>
      <c r="N1160" t="s">
        <v>919</v>
      </c>
      <c r="V1160" t="s">
        <v>507</v>
      </c>
      <c r="W1160" t="s">
        <v>92</v>
      </c>
      <c r="X1160" t="s">
        <v>93</v>
      </c>
      <c r="Y1160">
        <v>3</v>
      </c>
      <c r="Z1160" t="s">
        <v>94</v>
      </c>
      <c r="AB1160">
        <v>4.1069999999999998E-5</v>
      </c>
      <c r="AG1160" t="s">
        <v>95</v>
      </c>
      <c r="AX1160" t="s">
        <v>615</v>
      </c>
      <c r="AY1160" t="s">
        <v>962</v>
      </c>
      <c r="AZ1160" t="s">
        <v>586</v>
      </c>
      <c r="BC1160">
        <v>7</v>
      </c>
      <c r="BH1160" t="s">
        <v>99</v>
      </c>
      <c r="BO1160" t="s">
        <v>111</v>
      </c>
      <c r="CD1160" t="s">
        <v>957</v>
      </c>
      <c r="CE1160">
        <v>177269</v>
      </c>
      <c r="CF1160" t="s">
        <v>958</v>
      </c>
      <c r="CG1160" t="s">
        <v>959</v>
      </c>
      <c r="CH1160">
        <v>2016</v>
      </c>
    </row>
    <row r="1161" spans="1:86" hidden="1" x14ac:dyDescent="0.25">
      <c r="A1161">
        <v>330541</v>
      </c>
      <c r="B1161" t="s">
        <v>86</v>
      </c>
      <c r="C1161" t="s">
        <v>158</v>
      </c>
      <c r="D1161" t="s">
        <v>87</v>
      </c>
      <c r="K1161" t="s">
        <v>952</v>
      </c>
      <c r="L1161" t="s">
        <v>953</v>
      </c>
      <c r="M1161" t="s">
        <v>954</v>
      </c>
      <c r="N1161" t="s">
        <v>919</v>
      </c>
      <c r="V1161" t="s">
        <v>507</v>
      </c>
      <c r="W1161" t="s">
        <v>92</v>
      </c>
      <c r="X1161" t="s">
        <v>93</v>
      </c>
      <c r="Y1161">
        <v>3</v>
      </c>
      <c r="Z1161" t="s">
        <v>94</v>
      </c>
      <c r="AB1161">
        <v>2.3055999999999999E-4</v>
      </c>
      <c r="AG1161" t="s">
        <v>95</v>
      </c>
      <c r="AX1161" t="s">
        <v>615</v>
      </c>
      <c r="AY1161" t="s">
        <v>963</v>
      </c>
      <c r="AZ1161" t="s">
        <v>586</v>
      </c>
      <c r="BC1161">
        <v>7</v>
      </c>
      <c r="BH1161" t="s">
        <v>99</v>
      </c>
      <c r="BO1161" t="s">
        <v>111</v>
      </c>
      <c r="CD1161" t="s">
        <v>957</v>
      </c>
      <c r="CE1161">
        <v>177269</v>
      </c>
      <c r="CF1161" t="s">
        <v>958</v>
      </c>
      <c r="CG1161" t="s">
        <v>959</v>
      </c>
      <c r="CH1161">
        <v>2016</v>
      </c>
    </row>
    <row r="1162" spans="1:86" hidden="1" x14ac:dyDescent="0.25">
      <c r="A1162">
        <v>330541</v>
      </c>
      <c r="B1162" t="s">
        <v>86</v>
      </c>
      <c r="C1162" t="s">
        <v>158</v>
      </c>
      <c r="D1162" t="s">
        <v>87</v>
      </c>
      <c r="K1162" t="s">
        <v>952</v>
      </c>
      <c r="L1162" t="s">
        <v>953</v>
      </c>
      <c r="M1162" t="s">
        <v>954</v>
      </c>
      <c r="N1162" t="s">
        <v>919</v>
      </c>
      <c r="V1162" t="s">
        <v>507</v>
      </c>
      <c r="W1162" t="s">
        <v>92</v>
      </c>
      <c r="X1162" t="s">
        <v>93</v>
      </c>
      <c r="Y1162">
        <v>3</v>
      </c>
      <c r="Z1162" t="s">
        <v>94</v>
      </c>
      <c r="AB1162">
        <v>2.3055999999999999E-4</v>
      </c>
      <c r="AG1162" t="s">
        <v>95</v>
      </c>
      <c r="AX1162" t="s">
        <v>615</v>
      </c>
      <c r="AY1162" t="s">
        <v>964</v>
      </c>
      <c r="AZ1162" t="s">
        <v>586</v>
      </c>
      <c r="BC1162">
        <v>7</v>
      </c>
      <c r="BH1162" t="s">
        <v>99</v>
      </c>
      <c r="BO1162" t="s">
        <v>111</v>
      </c>
      <c r="CD1162" t="s">
        <v>957</v>
      </c>
      <c r="CE1162">
        <v>177269</v>
      </c>
      <c r="CF1162" t="s">
        <v>958</v>
      </c>
      <c r="CG1162" t="s">
        <v>959</v>
      </c>
      <c r="CH1162">
        <v>2016</v>
      </c>
    </row>
    <row r="1163" spans="1:86" hidden="1" x14ac:dyDescent="0.25">
      <c r="A1163">
        <v>330541</v>
      </c>
      <c r="B1163" t="s">
        <v>86</v>
      </c>
      <c r="C1163" t="s">
        <v>158</v>
      </c>
      <c r="D1163" t="s">
        <v>87</v>
      </c>
      <c r="K1163" t="s">
        <v>952</v>
      </c>
      <c r="L1163" t="s">
        <v>953</v>
      </c>
      <c r="M1163" t="s">
        <v>954</v>
      </c>
      <c r="N1163" t="s">
        <v>919</v>
      </c>
      <c r="V1163" t="s">
        <v>507</v>
      </c>
      <c r="W1163" t="s">
        <v>92</v>
      </c>
      <c r="X1163" t="s">
        <v>93</v>
      </c>
      <c r="Y1163">
        <v>3</v>
      </c>
      <c r="Z1163" t="s">
        <v>94</v>
      </c>
      <c r="AB1163">
        <v>2.3055999999999999E-4</v>
      </c>
      <c r="AG1163" t="s">
        <v>95</v>
      </c>
      <c r="AX1163" t="s">
        <v>615</v>
      </c>
      <c r="AY1163" t="s">
        <v>965</v>
      </c>
      <c r="AZ1163" t="s">
        <v>586</v>
      </c>
      <c r="BC1163">
        <v>7</v>
      </c>
      <c r="BH1163" t="s">
        <v>99</v>
      </c>
      <c r="BO1163" t="s">
        <v>111</v>
      </c>
      <c r="CD1163" t="s">
        <v>957</v>
      </c>
      <c r="CE1163">
        <v>177269</v>
      </c>
      <c r="CF1163" t="s">
        <v>958</v>
      </c>
      <c r="CG1163" t="s">
        <v>959</v>
      </c>
      <c r="CH1163">
        <v>2016</v>
      </c>
    </row>
    <row r="1164" spans="1:86" hidden="1" x14ac:dyDescent="0.25">
      <c r="A1164">
        <v>330541</v>
      </c>
      <c r="B1164" t="s">
        <v>86</v>
      </c>
      <c r="C1164" t="s">
        <v>158</v>
      </c>
      <c r="D1164" t="s">
        <v>87</v>
      </c>
      <c r="K1164" t="s">
        <v>952</v>
      </c>
      <c r="L1164" t="s">
        <v>953</v>
      </c>
      <c r="M1164" t="s">
        <v>954</v>
      </c>
      <c r="N1164" t="s">
        <v>919</v>
      </c>
      <c r="V1164" t="s">
        <v>507</v>
      </c>
      <c r="W1164" t="s">
        <v>92</v>
      </c>
      <c r="X1164" t="s">
        <v>93</v>
      </c>
      <c r="Y1164">
        <v>3</v>
      </c>
      <c r="Z1164" t="s">
        <v>94</v>
      </c>
      <c r="AB1164">
        <v>2.3055999999999999E-4</v>
      </c>
      <c r="AG1164" t="s">
        <v>95</v>
      </c>
      <c r="AX1164" t="s">
        <v>196</v>
      </c>
      <c r="AY1164" t="s">
        <v>928</v>
      </c>
      <c r="AZ1164" t="s">
        <v>586</v>
      </c>
      <c r="BA1164" t="s">
        <v>179</v>
      </c>
      <c r="BC1164">
        <v>7</v>
      </c>
      <c r="BH1164" t="s">
        <v>99</v>
      </c>
      <c r="BO1164" t="s">
        <v>111</v>
      </c>
      <c r="CD1164" t="s">
        <v>957</v>
      </c>
      <c r="CE1164">
        <v>177269</v>
      </c>
      <c r="CF1164" t="s">
        <v>958</v>
      </c>
      <c r="CG1164" t="s">
        <v>959</v>
      </c>
      <c r="CH1164">
        <v>2016</v>
      </c>
    </row>
    <row r="1165" spans="1:86" hidden="1" x14ac:dyDescent="0.25">
      <c r="A1165">
        <v>330541</v>
      </c>
      <c r="B1165" t="s">
        <v>86</v>
      </c>
      <c r="C1165" t="s">
        <v>158</v>
      </c>
      <c r="D1165" t="s">
        <v>87</v>
      </c>
      <c r="K1165" t="s">
        <v>952</v>
      </c>
      <c r="L1165" t="s">
        <v>953</v>
      </c>
      <c r="M1165" t="s">
        <v>954</v>
      </c>
      <c r="N1165" t="s">
        <v>919</v>
      </c>
      <c r="V1165" t="s">
        <v>507</v>
      </c>
      <c r="W1165" t="s">
        <v>92</v>
      </c>
      <c r="X1165" t="s">
        <v>93</v>
      </c>
      <c r="Y1165">
        <v>3</v>
      </c>
      <c r="Z1165" t="s">
        <v>94</v>
      </c>
      <c r="AB1165">
        <v>2.3055999999999999E-4</v>
      </c>
      <c r="AG1165" t="s">
        <v>95</v>
      </c>
      <c r="AX1165" t="s">
        <v>615</v>
      </c>
      <c r="AY1165" t="s">
        <v>965</v>
      </c>
      <c r="AZ1165" t="s">
        <v>586</v>
      </c>
      <c r="BC1165">
        <v>7</v>
      </c>
      <c r="BH1165" t="s">
        <v>99</v>
      </c>
      <c r="BO1165" t="s">
        <v>111</v>
      </c>
      <c r="CD1165" t="s">
        <v>957</v>
      </c>
      <c r="CE1165">
        <v>177269</v>
      </c>
      <c r="CF1165" t="s">
        <v>958</v>
      </c>
      <c r="CG1165" t="s">
        <v>959</v>
      </c>
      <c r="CH1165">
        <v>2016</v>
      </c>
    </row>
    <row r="1166" spans="1:86" hidden="1" x14ac:dyDescent="0.25">
      <c r="A1166">
        <v>330541</v>
      </c>
      <c r="B1166" t="s">
        <v>86</v>
      </c>
      <c r="C1166" t="s">
        <v>158</v>
      </c>
      <c r="D1166" t="s">
        <v>87</v>
      </c>
      <c r="K1166" t="s">
        <v>952</v>
      </c>
      <c r="L1166" t="s">
        <v>953</v>
      </c>
      <c r="M1166" t="s">
        <v>954</v>
      </c>
      <c r="N1166" t="s">
        <v>919</v>
      </c>
      <c r="V1166" t="s">
        <v>507</v>
      </c>
      <c r="W1166" t="s">
        <v>92</v>
      </c>
      <c r="X1166" t="s">
        <v>93</v>
      </c>
      <c r="Y1166">
        <v>3</v>
      </c>
      <c r="Z1166" t="s">
        <v>94</v>
      </c>
      <c r="AB1166">
        <v>2.3055999999999999E-4</v>
      </c>
      <c r="AG1166" t="s">
        <v>95</v>
      </c>
      <c r="AX1166" t="s">
        <v>615</v>
      </c>
      <c r="AY1166" t="s">
        <v>962</v>
      </c>
      <c r="AZ1166" t="s">
        <v>586</v>
      </c>
      <c r="BC1166">
        <v>7</v>
      </c>
      <c r="BH1166" t="s">
        <v>99</v>
      </c>
      <c r="BO1166" t="s">
        <v>111</v>
      </c>
      <c r="CD1166" t="s">
        <v>957</v>
      </c>
      <c r="CE1166">
        <v>177269</v>
      </c>
      <c r="CF1166" t="s">
        <v>958</v>
      </c>
      <c r="CG1166" t="s">
        <v>959</v>
      </c>
      <c r="CH1166">
        <v>2016</v>
      </c>
    </row>
    <row r="1167" spans="1:86" hidden="1" x14ac:dyDescent="0.25">
      <c r="A1167">
        <v>330541</v>
      </c>
      <c r="B1167" t="s">
        <v>86</v>
      </c>
      <c r="C1167" t="s">
        <v>158</v>
      </c>
      <c r="D1167" t="s">
        <v>87</v>
      </c>
      <c r="K1167" t="s">
        <v>952</v>
      </c>
      <c r="L1167" t="s">
        <v>953</v>
      </c>
      <c r="M1167" t="s">
        <v>954</v>
      </c>
      <c r="N1167" t="s">
        <v>919</v>
      </c>
      <c r="V1167" t="s">
        <v>507</v>
      </c>
      <c r="W1167" t="s">
        <v>92</v>
      </c>
      <c r="X1167" t="s">
        <v>93</v>
      </c>
      <c r="Y1167">
        <v>3</v>
      </c>
      <c r="Z1167" t="s">
        <v>94</v>
      </c>
      <c r="AB1167">
        <v>2.3055999999999999E-4</v>
      </c>
      <c r="AG1167" t="s">
        <v>95</v>
      </c>
      <c r="AX1167" t="s">
        <v>615</v>
      </c>
      <c r="AY1167" t="s">
        <v>961</v>
      </c>
      <c r="AZ1167" t="s">
        <v>586</v>
      </c>
      <c r="BC1167">
        <v>7</v>
      </c>
      <c r="BH1167" t="s">
        <v>99</v>
      </c>
      <c r="BO1167" t="s">
        <v>111</v>
      </c>
      <c r="CD1167" t="s">
        <v>957</v>
      </c>
      <c r="CE1167">
        <v>177269</v>
      </c>
      <c r="CF1167" t="s">
        <v>958</v>
      </c>
      <c r="CG1167" t="s">
        <v>959</v>
      </c>
      <c r="CH1167">
        <v>2016</v>
      </c>
    </row>
    <row r="1168" spans="1:86" hidden="1" x14ac:dyDescent="0.25">
      <c r="A1168">
        <v>330541</v>
      </c>
      <c r="B1168" t="s">
        <v>86</v>
      </c>
      <c r="C1168" t="s">
        <v>158</v>
      </c>
      <c r="D1168" t="s">
        <v>87</v>
      </c>
      <c r="K1168" t="s">
        <v>952</v>
      </c>
      <c r="L1168" t="s">
        <v>953</v>
      </c>
      <c r="M1168" t="s">
        <v>954</v>
      </c>
      <c r="N1168" t="s">
        <v>919</v>
      </c>
      <c r="V1168" t="s">
        <v>507</v>
      </c>
      <c r="W1168" t="s">
        <v>92</v>
      </c>
      <c r="X1168" t="s">
        <v>93</v>
      </c>
      <c r="Y1168">
        <v>3</v>
      </c>
      <c r="Z1168" t="s">
        <v>94</v>
      </c>
      <c r="AB1168">
        <v>2.3055999999999999E-4</v>
      </c>
      <c r="AG1168" t="s">
        <v>95</v>
      </c>
      <c r="AX1168" t="s">
        <v>966</v>
      </c>
      <c r="AY1168" t="s">
        <v>817</v>
      </c>
      <c r="AZ1168" t="s">
        <v>586</v>
      </c>
      <c r="BA1168" t="s">
        <v>967</v>
      </c>
      <c r="BC1168">
        <v>7</v>
      </c>
      <c r="BH1168" t="s">
        <v>99</v>
      </c>
      <c r="BO1168" t="s">
        <v>111</v>
      </c>
      <c r="CD1168" t="s">
        <v>957</v>
      </c>
      <c r="CE1168">
        <v>177269</v>
      </c>
      <c r="CF1168" t="s">
        <v>958</v>
      </c>
      <c r="CG1168" t="s">
        <v>959</v>
      </c>
      <c r="CH1168">
        <v>2016</v>
      </c>
    </row>
    <row r="1169" spans="1:86" hidden="1" x14ac:dyDescent="0.25">
      <c r="A1169">
        <v>330541</v>
      </c>
      <c r="B1169" t="s">
        <v>86</v>
      </c>
      <c r="C1169" t="s">
        <v>158</v>
      </c>
      <c r="D1169" t="s">
        <v>87</v>
      </c>
      <c r="K1169" t="s">
        <v>952</v>
      </c>
      <c r="L1169" t="s">
        <v>953</v>
      </c>
      <c r="M1169" t="s">
        <v>954</v>
      </c>
      <c r="N1169" t="s">
        <v>919</v>
      </c>
      <c r="V1169" t="s">
        <v>507</v>
      </c>
      <c r="W1169" t="s">
        <v>92</v>
      </c>
      <c r="X1169" t="s">
        <v>93</v>
      </c>
      <c r="Y1169">
        <v>3</v>
      </c>
      <c r="Z1169" t="s">
        <v>94</v>
      </c>
      <c r="AB1169">
        <v>2.3055999999999999E-4</v>
      </c>
      <c r="AG1169" t="s">
        <v>95</v>
      </c>
      <c r="AX1169" t="s">
        <v>615</v>
      </c>
      <c r="AY1169" t="s">
        <v>963</v>
      </c>
      <c r="AZ1169" t="s">
        <v>586</v>
      </c>
      <c r="BC1169">
        <v>7</v>
      </c>
      <c r="BH1169" t="s">
        <v>99</v>
      </c>
      <c r="BO1169" t="s">
        <v>111</v>
      </c>
      <c r="CD1169" t="s">
        <v>957</v>
      </c>
      <c r="CE1169">
        <v>177269</v>
      </c>
      <c r="CF1169" t="s">
        <v>958</v>
      </c>
      <c r="CG1169" t="s">
        <v>959</v>
      </c>
      <c r="CH1169">
        <v>2016</v>
      </c>
    </row>
    <row r="1170" spans="1:86" hidden="1" x14ac:dyDescent="0.25">
      <c r="A1170">
        <v>330541</v>
      </c>
      <c r="B1170" t="s">
        <v>86</v>
      </c>
      <c r="C1170" t="s">
        <v>158</v>
      </c>
      <c r="D1170" t="s">
        <v>87</v>
      </c>
      <c r="K1170" t="s">
        <v>952</v>
      </c>
      <c r="L1170" t="s">
        <v>953</v>
      </c>
      <c r="M1170" t="s">
        <v>954</v>
      </c>
      <c r="N1170" t="s">
        <v>919</v>
      </c>
      <c r="V1170" t="s">
        <v>507</v>
      </c>
      <c r="W1170" t="s">
        <v>92</v>
      </c>
      <c r="X1170" t="s">
        <v>93</v>
      </c>
      <c r="Y1170">
        <v>3</v>
      </c>
      <c r="Z1170" t="s">
        <v>94</v>
      </c>
      <c r="AB1170">
        <v>2.3055999999999999E-4</v>
      </c>
      <c r="AG1170" t="s">
        <v>95</v>
      </c>
      <c r="AX1170" t="s">
        <v>196</v>
      </c>
      <c r="AY1170" t="s">
        <v>968</v>
      </c>
      <c r="AZ1170" t="s">
        <v>586</v>
      </c>
      <c r="BA1170" t="s">
        <v>179</v>
      </c>
      <c r="BC1170">
        <v>7</v>
      </c>
      <c r="BH1170" t="s">
        <v>99</v>
      </c>
      <c r="BO1170" t="s">
        <v>111</v>
      </c>
      <c r="CD1170" t="s">
        <v>957</v>
      </c>
      <c r="CE1170">
        <v>177269</v>
      </c>
      <c r="CF1170" t="s">
        <v>958</v>
      </c>
      <c r="CG1170" t="s">
        <v>959</v>
      </c>
      <c r="CH1170">
        <v>2016</v>
      </c>
    </row>
    <row r="1171" spans="1:86" hidden="1" x14ac:dyDescent="0.25">
      <c r="A1171">
        <v>330541</v>
      </c>
      <c r="B1171" t="s">
        <v>86</v>
      </c>
      <c r="C1171" t="s">
        <v>158</v>
      </c>
      <c r="D1171" t="s">
        <v>87</v>
      </c>
      <c r="K1171" t="s">
        <v>952</v>
      </c>
      <c r="L1171" t="s">
        <v>953</v>
      </c>
      <c r="M1171" t="s">
        <v>954</v>
      </c>
      <c r="N1171" t="s">
        <v>919</v>
      </c>
      <c r="V1171" t="s">
        <v>507</v>
      </c>
      <c r="W1171" t="s">
        <v>92</v>
      </c>
      <c r="X1171" t="s">
        <v>93</v>
      </c>
      <c r="Y1171">
        <v>3</v>
      </c>
      <c r="Z1171" t="s">
        <v>94</v>
      </c>
      <c r="AB1171">
        <v>2.3055999999999999E-4</v>
      </c>
      <c r="AG1171" t="s">
        <v>95</v>
      </c>
      <c r="AX1171" t="s">
        <v>615</v>
      </c>
      <c r="AY1171" t="s">
        <v>960</v>
      </c>
      <c r="AZ1171" t="s">
        <v>586</v>
      </c>
      <c r="BC1171">
        <v>7</v>
      </c>
      <c r="BH1171" t="s">
        <v>99</v>
      </c>
      <c r="BO1171" t="s">
        <v>111</v>
      </c>
      <c r="CD1171" t="s">
        <v>957</v>
      </c>
      <c r="CE1171">
        <v>177269</v>
      </c>
      <c r="CF1171" t="s">
        <v>958</v>
      </c>
      <c r="CG1171" t="s">
        <v>959</v>
      </c>
      <c r="CH1171">
        <v>2016</v>
      </c>
    </row>
    <row r="1172" spans="1:86" hidden="1" x14ac:dyDescent="0.25">
      <c r="A1172">
        <v>330541</v>
      </c>
      <c r="B1172" t="s">
        <v>86</v>
      </c>
      <c r="C1172" t="s">
        <v>158</v>
      </c>
      <c r="D1172" t="s">
        <v>87</v>
      </c>
      <c r="K1172" t="s">
        <v>952</v>
      </c>
      <c r="L1172" t="s">
        <v>953</v>
      </c>
      <c r="M1172" t="s">
        <v>954</v>
      </c>
      <c r="N1172" t="s">
        <v>919</v>
      </c>
      <c r="V1172" t="s">
        <v>507</v>
      </c>
      <c r="W1172" t="s">
        <v>92</v>
      </c>
      <c r="X1172" t="s">
        <v>93</v>
      </c>
      <c r="Y1172">
        <v>3</v>
      </c>
      <c r="Z1172" t="s">
        <v>94</v>
      </c>
      <c r="AB1172">
        <v>4.1069999999999998E-5</v>
      </c>
      <c r="AG1172" t="s">
        <v>95</v>
      </c>
      <c r="AX1172" t="s">
        <v>196</v>
      </c>
      <c r="AY1172" t="s">
        <v>928</v>
      </c>
      <c r="AZ1172" t="s">
        <v>586</v>
      </c>
      <c r="BA1172" t="s">
        <v>179</v>
      </c>
      <c r="BC1172">
        <v>7</v>
      </c>
      <c r="BH1172" t="s">
        <v>99</v>
      </c>
      <c r="BO1172" t="s">
        <v>111</v>
      </c>
      <c r="CD1172" t="s">
        <v>957</v>
      </c>
      <c r="CE1172">
        <v>177269</v>
      </c>
      <c r="CF1172" t="s">
        <v>958</v>
      </c>
      <c r="CG1172" t="s">
        <v>959</v>
      </c>
      <c r="CH1172">
        <v>2016</v>
      </c>
    </row>
    <row r="1173" spans="1:86" hidden="1" x14ac:dyDescent="0.25">
      <c r="A1173">
        <v>330541</v>
      </c>
      <c r="B1173" t="s">
        <v>86</v>
      </c>
      <c r="C1173" t="s">
        <v>158</v>
      </c>
      <c r="D1173" t="s">
        <v>87</v>
      </c>
      <c r="K1173" t="s">
        <v>952</v>
      </c>
      <c r="L1173" t="s">
        <v>953</v>
      </c>
      <c r="M1173" t="s">
        <v>954</v>
      </c>
      <c r="N1173" t="s">
        <v>919</v>
      </c>
      <c r="V1173" t="s">
        <v>507</v>
      </c>
      <c r="W1173" t="s">
        <v>92</v>
      </c>
      <c r="X1173" t="s">
        <v>93</v>
      </c>
      <c r="Y1173">
        <v>3</v>
      </c>
      <c r="Z1173" t="s">
        <v>94</v>
      </c>
      <c r="AB1173">
        <v>2.3055999999999999E-4</v>
      </c>
      <c r="AG1173" t="s">
        <v>95</v>
      </c>
      <c r="AX1173" t="s">
        <v>196</v>
      </c>
      <c r="AY1173" t="s">
        <v>969</v>
      </c>
      <c r="AZ1173" t="s">
        <v>586</v>
      </c>
      <c r="BA1173" t="s">
        <v>179</v>
      </c>
      <c r="BC1173">
        <v>7</v>
      </c>
      <c r="BH1173" t="s">
        <v>99</v>
      </c>
      <c r="BO1173" t="s">
        <v>111</v>
      </c>
      <c r="CD1173" t="s">
        <v>957</v>
      </c>
      <c r="CE1173">
        <v>177269</v>
      </c>
      <c r="CF1173" t="s">
        <v>958</v>
      </c>
      <c r="CG1173" t="s">
        <v>959</v>
      </c>
      <c r="CH1173">
        <v>2016</v>
      </c>
    </row>
    <row r="1174" spans="1:86" hidden="1" x14ac:dyDescent="0.25">
      <c r="A1174">
        <v>330541</v>
      </c>
      <c r="B1174" t="s">
        <v>86</v>
      </c>
      <c r="C1174" t="s">
        <v>158</v>
      </c>
      <c r="D1174" t="s">
        <v>87</v>
      </c>
      <c r="K1174" t="s">
        <v>952</v>
      </c>
      <c r="L1174" t="s">
        <v>953</v>
      </c>
      <c r="M1174" t="s">
        <v>954</v>
      </c>
      <c r="N1174" t="s">
        <v>919</v>
      </c>
      <c r="V1174" t="s">
        <v>507</v>
      </c>
      <c r="W1174" t="s">
        <v>92</v>
      </c>
      <c r="X1174" t="s">
        <v>93</v>
      </c>
      <c r="Y1174">
        <v>3</v>
      </c>
      <c r="Z1174" t="s">
        <v>94</v>
      </c>
      <c r="AB1174">
        <v>2.3055999999999999E-4</v>
      </c>
      <c r="AG1174" t="s">
        <v>95</v>
      </c>
      <c r="AX1174" t="s">
        <v>966</v>
      </c>
      <c r="AY1174" t="s">
        <v>817</v>
      </c>
      <c r="AZ1174" t="s">
        <v>586</v>
      </c>
      <c r="BA1174" t="s">
        <v>967</v>
      </c>
      <c r="BC1174">
        <v>7</v>
      </c>
      <c r="BH1174" t="s">
        <v>99</v>
      </c>
      <c r="BO1174" t="s">
        <v>111</v>
      </c>
      <c r="CD1174" t="s">
        <v>957</v>
      </c>
      <c r="CE1174">
        <v>177269</v>
      </c>
      <c r="CF1174" t="s">
        <v>958</v>
      </c>
      <c r="CG1174" t="s">
        <v>959</v>
      </c>
      <c r="CH1174">
        <v>2016</v>
      </c>
    </row>
    <row r="1175" spans="1:86" hidden="1" x14ac:dyDescent="0.25">
      <c r="A1175">
        <v>330541</v>
      </c>
      <c r="B1175" t="s">
        <v>86</v>
      </c>
      <c r="C1175" t="s">
        <v>158</v>
      </c>
      <c r="D1175" t="s">
        <v>87</v>
      </c>
      <c r="K1175" t="s">
        <v>952</v>
      </c>
      <c r="L1175" t="s">
        <v>953</v>
      </c>
      <c r="M1175" t="s">
        <v>954</v>
      </c>
      <c r="N1175" t="s">
        <v>919</v>
      </c>
      <c r="V1175" t="s">
        <v>507</v>
      </c>
      <c r="W1175" t="s">
        <v>92</v>
      </c>
      <c r="X1175" t="s">
        <v>93</v>
      </c>
      <c r="Y1175">
        <v>3</v>
      </c>
      <c r="Z1175" t="s">
        <v>94</v>
      </c>
      <c r="AB1175">
        <v>4.1069999999999998E-5</v>
      </c>
      <c r="AG1175" t="s">
        <v>95</v>
      </c>
      <c r="AX1175" t="s">
        <v>615</v>
      </c>
      <c r="AY1175" t="s">
        <v>961</v>
      </c>
      <c r="AZ1175" t="s">
        <v>586</v>
      </c>
      <c r="BC1175">
        <v>7</v>
      </c>
      <c r="BH1175" t="s">
        <v>99</v>
      </c>
      <c r="BO1175" t="s">
        <v>111</v>
      </c>
      <c r="CD1175" t="s">
        <v>957</v>
      </c>
      <c r="CE1175">
        <v>177269</v>
      </c>
      <c r="CF1175" t="s">
        <v>958</v>
      </c>
      <c r="CG1175" t="s">
        <v>959</v>
      </c>
      <c r="CH1175">
        <v>2016</v>
      </c>
    </row>
    <row r="1176" spans="1:86" hidden="1" x14ac:dyDescent="0.25">
      <c r="A1176">
        <v>330541</v>
      </c>
      <c r="B1176" t="s">
        <v>86</v>
      </c>
      <c r="C1176" t="s">
        <v>158</v>
      </c>
      <c r="D1176" t="s">
        <v>87</v>
      </c>
      <c r="K1176" t="s">
        <v>952</v>
      </c>
      <c r="L1176" t="s">
        <v>953</v>
      </c>
      <c r="M1176" t="s">
        <v>954</v>
      </c>
      <c r="N1176" t="s">
        <v>919</v>
      </c>
      <c r="V1176" t="s">
        <v>507</v>
      </c>
      <c r="W1176" t="s">
        <v>92</v>
      </c>
      <c r="X1176" t="s">
        <v>93</v>
      </c>
      <c r="Y1176">
        <v>3</v>
      </c>
      <c r="Z1176" t="s">
        <v>94</v>
      </c>
      <c r="AB1176">
        <v>2.3055999999999999E-4</v>
      </c>
      <c r="AG1176" t="s">
        <v>95</v>
      </c>
      <c r="AX1176" t="s">
        <v>938</v>
      </c>
      <c r="AY1176" t="s">
        <v>955</v>
      </c>
      <c r="AZ1176" t="s">
        <v>586</v>
      </c>
      <c r="BA1176" t="s">
        <v>956</v>
      </c>
      <c r="BC1176">
        <v>7</v>
      </c>
      <c r="BH1176" t="s">
        <v>99</v>
      </c>
      <c r="BO1176" t="s">
        <v>111</v>
      </c>
      <c r="CD1176" t="s">
        <v>957</v>
      </c>
      <c r="CE1176">
        <v>177269</v>
      </c>
      <c r="CF1176" t="s">
        <v>958</v>
      </c>
      <c r="CG1176" t="s">
        <v>959</v>
      </c>
      <c r="CH1176">
        <v>2016</v>
      </c>
    </row>
    <row r="1177" spans="1:86" hidden="1" x14ac:dyDescent="0.25">
      <c r="A1177">
        <v>330541</v>
      </c>
      <c r="B1177" t="s">
        <v>86</v>
      </c>
      <c r="C1177" t="s">
        <v>158</v>
      </c>
      <c r="D1177" t="s">
        <v>87</v>
      </c>
      <c r="K1177" t="s">
        <v>952</v>
      </c>
      <c r="L1177" t="s">
        <v>953</v>
      </c>
      <c r="M1177" t="s">
        <v>954</v>
      </c>
      <c r="N1177" t="s">
        <v>919</v>
      </c>
      <c r="V1177" t="s">
        <v>507</v>
      </c>
      <c r="W1177" t="s">
        <v>92</v>
      </c>
      <c r="X1177" t="s">
        <v>93</v>
      </c>
      <c r="Y1177">
        <v>3</v>
      </c>
      <c r="Z1177" t="s">
        <v>94</v>
      </c>
      <c r="AB1177">
        <v>2.3055999999999999E-4</v>
      </c>
      <c r="AG1177" t="s">
        <v>95</v>
      </c>
      <c r="AX1177" t="s">
        <v>196</v>
      </c>
      <c r="AY1177" t="s">
        <v>968</v>
      </c>
      <c r="AZ1177" t="s">
        <v>586</v>
      </c>
      <c r="BA1177" t="s">
        <v>179</v>
      </c>
      <c r="BC1177">
        <v>7</v>
      </c>
      <c r="BH1177" t="s">
        <v>99</v>
      </c>
      <c r="BO1177" t="s">
        <v>111</v>
      </c>
      <c r="CD1177" t="s">
        <v>957</v>
      </c>
      <c r="CE1177">
        <v>177269</v>
      </c>
      <c r="CF1177" t="s">
        <v>958</v>
      </c>
      <c r="CG1177" t="s">
        <v>959</v>
      </c>
      <c r="CH1177">
        <v>2016</v>
      </c>
    </row>
    <row r="1178" spans="1:86" hidden="1" x14ac:dyDescent="0.25">
      <c r="A1178">
        <v>330541</v>
      </c>
      <c r="B1178" t="s">
        <v>86</v>
      </c>
      <c r="C1178" t="s">
        <v>158</v>
      </c>
      <c r="D1178" t="s">
        <v>87</v>
      </c>
      <c r="K1178" t="s">
        <v>952</v>
      </c>
      <c r="L1178" t="s">
        <v>953</v>
      </c>
      <c r="M1178" t="s">
        <v>954</v>
      </c>
      <c r="N1178" t="s">
        <v>919</v>
      </c>
      <c r="V1178" t="s">
        <v>507</v>
      </c>
      <c r="W1178" t="s">
        <v>92</v>
      </c>
      <c r="X1178" t="s">
        <v>93</v>
      </c>
      <c r="Y1178">
        <v>3</v>
      </c>
      <c r="Z1178" t="s">
        <v>94</v>
      </c>
      <c r="AB1178">
        <v>2.3055999999999999E-4</v>
      </c>
      <c r="AG1178" t="s">
        <v>95</v>
      </c>
      <c r="AX1178" t="s">
        <v>615</v>
      </c>
      <c r="AY1178" t="s">
        <v>964</v>
      </c>
      <c r="AZ1178" t="s">
        <v>586</v>
      </c>
      <c r="BC1178">
        <v>7</v>
      </c>
      <c r="BH1178" t="s">
        <v>99</v>
      </c>
      <c r="BO1178" t="s">
        <v>111</v>
      </c>
      <c r="CD1178" t="s">
        <v>957</v>
      </c>
      <c r="CE1178">
        <v>177269</v>
      </c>
      <c r="CF1178" t="s">
        <v>958</v>
      </c>
      <c r="CG1178" t="s">
        <v>959</v>
      </c>
      <c r="CH1178">
        <v>2016</v>
      </c>
    </row>
    <row r="1179" spans="1:86" hidden="1" x14ac:dyDescent="0.25">
      <c r="A1179">
        <v>330541</v>
      </c>
      <c r="B1179" t="s">
        <v>86</v>
      </c>
      <c r="C1179" t="s">
        <v>158</v>
      </c>
      <c r="D1179" t="s">
        <v>87</v>
      </c>
      <c r="K1179" t="s">
        <v>952</v>
      </c>
      <c r="L1179" t="s">
        <v>953</v>
      </c>
      <c r="M1179" t="s">
        <v>954</v>
      </c>
      <c r="N1179" t="s">
        <v>919</v>
      </c>
      <c r="V1179" t="s">
        <v>507</v>
      </c>
      <c r="W1179" t="s">
        <v>92</v>
      </c>
      <c r="X1179" t="s">
        <v>93</v>
      </c>
      <c r="Y1179">
        <v>3</v>
      </c>
      <c r="Z1179" t="s">
        <v>94</v>
      </c>
      <c r="AB1179">
        <v>2.3055999999999999E-4</v>
      </c>
      <c r="AG1179" t="s">
        <v>95</v>
      </c>
      <c r="AX1179" t="s">
        <v>196</v>
      </c>
      <c r="AY1179" t="s">
        <v>969</v>
      </c>
      <c r="AZ1179" t="s">
        <v>586</v>
      </c>
      <c r="BA1179" t="s">
        <v>179</v>
      </c>
      <c r="BC1179">
        <v>7</v>
      </c>
      <c r="BH1179" t="s">
        <v>99</v>
      </c>
      <c r="BO1179" t="s">
        <v>111</v>
      </c>
      <c r="CD1179" t="s">
        <v>957</v>
      </c>
      <c r="CE1179">
        <v>177269</v>
      </c>
      <c r="CF1179" t="s">
        <v>958</v>
      </c>
      <c r="CG1179" t="s">
        <v>959</v>
      </c>
      <c r="CH1179">
        <v>2016</v>
      </c>
    </row>
    <row r="1180" spans="1:86" hidden="1" x14ac:dyDescent="0.25">
      <c r="A1180">
        <v>330541</v>
      </c>
      <c r="B1180" t="s">
        <v>86</v>
      </c>
      <c r="C1180" t="s">
        <v>158</v>
      </c>
      <c r="D1180" t="s">
        <v>87</v>
      </c>
      <c r="K1180" t="s">
        <v>952</v>
      </c>
      <c r="L1180" t="s">
        <v>953</v>
      </c>
      <c r="M1180" t="s">
        <v>954</v>
      </c>
      <c r="N1180" t="s">
        <v>919</v>
      </c>
      <c r="V1180" t="s">
        <v>507</v>
      </c>
      <c r="W1180" t="s">
        <v>92</v>
      </c>
      <c r="X1180" t="s">
        <v>93</v>
      </c>
      <c r="Y1180">
        <v>3</v>
      </c>
      <c r="Z1180" t="s">
        <v>94</v>
      </c>
      <c r="AB1180">
        <v>4.1069999999999998E-5</v>
      </c>
      <c r="AG1180" t="s">
        <v>95</v>
      </c>
      <c r="AX1180" t="s">
        <v>615</v>
      </c>
      <c r="AY1180" t="s">
        <v>960</v>
      </c>
      <c r="AZ1180" t="s">
        <v>586</v>
      </c>
      <c r="BC1180">
        <v>7</v>
      </c>
      <c r="BH1180" t="s">
        <v>99</v>
      </c>
      <c r="BO1180" t="s">
        <v>111</v>
      </c>
      <c r="CD1180" t="s">
        <v>957</v>
      </c>
      <c r="CE1180">
        <v>177269</v>
      </c>
      <c r="CF1180" t="s">
        <v>958</v>
      </c>
      <c r="CG1180" t="s">
        <v>959</v>
      </c>
      <c r="CH1180">
        <v>2016</v>
      </c>
    </row>
    <row r="1181" spans="1:86" hidden="1" x14ac:dyDescent="0.25">
      <c r="A1181">
        <v>330541</v>
      </c>
      <c r="B1181" t="s">
        <v>86</v>
      </c>
      <c r="C1181" t="s">
        <v>158</v>
      </c>
      <c r="D1181" t="s">
        <v>87</v>
      </c>
      <c r="K1181" t="s">
        <v>952</v>
      </c>
      <c r="L1181" t="s">
        <v>953</v>
      </c>
      <c r="M1181" t="s">
        <v>954</v>
      </c>
      <c r="N1181" t="s">
        <v>919</v>
      </c>
      <c r="V1181" t="s">
        <v>507</v>
      </c>
      <c r="W1181" t="s">
        <v>92</v>
      </c>
      <c r="X1181" t="s">
        <v>93</v>
      </c>
      <c r="Y1181">
        <v>3</v>
      </c>
      <c r="Z1181" t="s">
        <v>94</v>
      </c>
      <c r="AB1181">
        <v>4.1069999999999998E-5</v>
      </c>
      <c r="AG1181" t="s">
        <v>95</v>
      </c>
      <c r="AX1181" t="s">
        <v>938</v>
      </c>
      <c r="AY1181" t="s">
        <v>955</v>
      </c>
      <c r="AZ1181" t="s">
        <v>586</v>
      </c>
      <c r="BA1181" t="s">
        <v>956</v>
      </c>
      <c r="BC1181">
        <v>7</v>
      </c>
      <c r="BH1181" t="s">
        <v>99</v>
      </c>
      <c r="BO1181" t="s">
        <v>111</v>
      </c>
      <c r="CD1181" t="s">
        <v>957</v>
      </c>
      <c r="CE1181">
        <v>177269</v>
      </c>
      <c r="CF1181" t="s">
        <v>958</v>
      </c>
      <c r="CG1181" t="s">
        <v>959</v>
      </c>
      <c r="CH1181">
        <v>2016</v>
      </c>
    </row>
    <row r="1182" spans="1:86" hidden="1" x14ac:dyDescent="0.25">
      <c r="A1182">
        <v>330541</v>
      </c>
      <c r="B1182" t="s">
        <v>86</v>
      </c>
      <c r="C1182" t="s">
        <v>158</v>
      </c>
      <c r="D1182" t="s">
        <v>87</v>
      </c>
      <c r="K1182" t="s">
        <v>952</v>
      </c>
      <c r="L1182" t="s">
        <v>953</v>
      </c>
      <c r="M1182" t="s">
        <v>954</v>
      </c>
      <c r="N1182" t="s">
        <v>919</v>
      </c>
      <c r="V1182" t="s">
        <v>507</v>
      </c>
      <c r="W1182" t="s">
        <v>92</v>
      </c>
      <c r="X1182" t="s">
        <v>93</v>
      </c>
      <c r="Y1182">
        <v>3</v>
      </c>
      <c r="Z1182" t="s">
        <v>94</v>
      </c>
      <c r="AB1182"/>
      <c r="AD1182">
        <v>4.1069999999999998E-5</v>
      </c>
      <c r="AF1182">
        <v>2.3055999999999999E-4</v>
      </c>
      <c r="AG1182" t="s">
        <v>95</v>
      </c>
      <c r="AX1182" t="s">
        <v>912</v>
      </c>
      <c r="AY1182" t="s">
        <v>911</v>
      </c>
      <c r="BC1182">
        <v>7</v>
      </c>
      <c r="BH1182" t="s">
        <v>99</v>
      </c>
      <c r="BO1182" t="s">
        <v>111</v>
      </c>
      <c r="CD1182" t="s">
        <v>957</v>
      </c>
      <c r="CE1182">
        <v>177269</v>
      </c>
      <c r="CF1182" t="s">
        <v>958</v>
      </c>
      <c r="CG1182" t="s">
        <v>959</v>
      </c>
      <c r="CH1182">
        <v>2016</v>
      </c>
    </row>
    <row r="1183" spans="1:86" hidden="1" x14ac:dyDescent="0.25">
      <c r="A1183">
        <v>330541</v>
      </c>
      <c r="B1183" t="s">
        <v>86</v>
      </c>
      <c r="C1183" t="s">
        <v>158</v>
      </c>
      <c r="D1183" t="s">
        <v>87</v>
      </c>
      <c r="K1183" t="s">
        <v>952</v>
      </c>
      <c r="L1183" t="s">
        <v>953</v>
      </c>
      <c r="M1183" t="s">
        <v>954</v>
      </c>
      <c r="N1183" t="s">
        <v>919</v>
      </c>
      <c r="V1183" t="s">
        <v>507</v>
      </c>
      <c r="W1183" t="s">
        <v>92</v>
      </c>
      <c r="X1183" t="s">
        <v>93</v>
      </c>
      <c r="Y1183">
        <v>3</v>
      </c>
      <c r="Z1183" t="s">
        <v>94</v>
      </c>
      <c r="AB1183"/>
      <c r="AD1183">
        <v>4.1069999999999998E-5</v>
      </c>
      <c r="AF1183">
        <v>2.3055999999999999E-4</v>
      </c>
      <c r="AG1183" t="s">
        <v>95</v>
      </c>
      <c r="AX1183" t="s">
        <v>912</v>
      </c>
      <c r="AY1183" t="s">
        <v>911</v>
      </c>
      <c r="BC1183">
        <v>7</v>
      </c>
      <c r="BH1183" t="s">
        <v>99</v>
      </c>
      <c r="BO1183" t="s">
        <v>111</v>
      </c>
      <c r="CD1183" t="s">
        <v>957</v>
      </c>
      <c r="CE1183">
        <v>177269</v>
      </c>
      <c r="CF1183" t="s">
        <v>958</v>
      </c>
      <c r="CG1183" t="s">
        <v>959</v>
      </c>
      <c r="CH1183">
        <v>2016</v>
      </c>
    </row>
    <row r="1184" spans="1:86" hidden="1" x14ac:dyDescent="0.25">
      <c r="A1184">
        <v>330541</v>
      </c>
      <c r="B1184" t="s">
        <v>86</v>
      </c>
      <c r="D1184" t="s">
        <v>87</v>
      </c>
      <c r="E1184" t="s">
        <v>106</v>
      </c>
      <c r="F1184">
        <v>98</v>
      </c>
      <c r="K1184" t="s">
        <v>970</v>
      </c>
      <c r="L1184" t="s">
        <v>971</v>
      </c>
      <c r="M1184" t="s">
        <v>972</v>
      </c>
      <c r="N1184" t="s">
        <v>973</v>
      </c>
      <c r="O1184" t="s">
        <v>234</v>
      </c>
      <c r="P1184">
        <v>24</v>
      </c>
      <c r="U1184" t="s">
        <v>213</v>
      </c>
      <c r="V1184" t="s">
        <v>168</v>
      </c>
      <c r="W1184" t="s">
        <v>92</v>
      </c>
      <c r="X1184" t="s">
        <v>93</v>
      </c>
      <c r="Y1184">
        <v>8</v>
      </c>
      <c r="Z1184" t="s">
        <v>94</v>
      </c>
      <c r="AA1184" t="s">
        <v>106</v>
      </c>
      <c r="AB1184">
        <v>0.67700000000000005</v>
      </c>
      <c r="AG1184" t="s">
        <v>95</v>
      </c>
      <c r="AX1184" t="s">
        <v>523</v>
      </c>
      <c r="AY1184" t="s">
        <v>523</v>
      </c>
      <c r="AZ1184" t="s">
        <v>214</v>
      </c>
      <c r="BC1184">
        <v>2</v>
      </c>
      <c r="BH1184" t="s">
        <v>99</v>
      </c>
      <c r="BO1184" t="s">
        <v>111</v>
      </c>
      <c r="CD1184" t="s">
        <v>974</v>
      </c>
      <c r="CE1184">
        <v>158435</v>
      </c>
      <c r="CF1184" t="s">
        <v>975</v>
      </c>
      <c r="CG1184" t="s">
        <v>976</v>
      </c>
      <c r="CH1184">
        <v>2011</v>
      </c>
    </row>
    <row r="1185" spans="1:86" hidden="1" x14ac:dyDescent="0.25">
      <c r="A1185">
        <v>330541</v>
      </c>
      <c r="B1185" t="s">
        <v>86</v>
      </c>
      <c r="F1185">
        <v>95</v>
      </c>
      <c r="K1185" t="s">
        <v>977</v>
      </c>
      <c r="L1185" t="s">
        <v>978</v>
      </c>
      <c r="M1185" t="s">
        <v>972</v>
      </c>
      <c r="N1185" t="s">
        <v>945</v>
      </c>
      <c r="P1185">
        <v>1</v>
      </c>
      <c r="U1185" t="s">
        <v>979</v>
      </c>
      <c r="V1185" t="s">
        <v>91</v>
      </c>
      <c r="W1185" t="s">
        <v>92</v>
      </c>
      <c r="X1185" t="s">
        <v>93</v>
      </c>
      <c r="Z1185" t="s">
        <v>94</v>
      </c>
      <c r="AB1185">
        <v>2</v>
      </c>
      <c r="AD1185">
        <v>1.4</v>
      </c>
      <c r="AF1185">
        <v>2.8</v>
      </c>
      <c r="AG1185" t="s">
        <v>95</v>
      </c>
      <c r="AX1185" t="s">
        <v>980</v>
      </c>
      <c r="AY1185" t="s">
        <v>981</v>
      </c>
      <c r="AZ1185" t="s">
        <v>214</v>
      </c>
      <c r="BC1185">
        <v>2</v>
      </c>
      <c r="BH1185" t="s">
        <v>99</v>
      </c>
      <c r="BO1185" t="s">
        <v>111</v>
      </c>
      <c r="CD1185" t="s">
        <v>982</v>
      </c>
      <c r="CE1185">
        <v>6797</v>
      </c>
      <c r="CF1185" t="s">
        <v>983</v>
      </c>
      <c r="CG1185" t="s">
        <v>984</v>
      </c>
      <c r="CH1185">
        <v>1986</v>
      </c>
    </row>
    <row r="1186" spans="1:86" hidden="1" x14ac:dyDescent="0.25">
      <c r="A1186">
        <v>330541</v>
      </c>
      <c r="B1186" t="s">
        <v>86</v>
      </c>
      <c r="D1186" t="s">
        <v>87</v>
      </c>
      <c r="E1186" t="s">
        <v>106</v>
      </c>
      <c r="F1186">
        <v>98</v>
      </c>
      <c r="K1186" t="s">
        <v>970</v>
      </c>
      <c r="L1186" t="s">
        <v>971</v>
      </c>
      <c r="M1186" t="s">
        <v>972</v>
      </c>
      <c r="N1186" t="s">
        <v>973</v>
      </c>
      <c r="O1186" t="s">
        <v>234</v>
      </c>
      <c r="P1186">
        <v>24</v>
      </c>
      <c r="U1186" t="s">
        <v>213</v>
      </c>
      <c r="V1186" t="s">
        <v>168</v>
      </c>
      <c r="W1186" t="s">
        <v>92</v>
      </c>
      <c r="X1186" t="s">
        <v>93</v>
      </c>
      <c r="Y1186">
        <v>8</v>
      </c>
      <c r="Z1186" t="s">
        <v>94</v>
      </c>
      <c r="AA1186" t="s">
        <v>106</v>
      </c>
      <c r="AB1186">
        <v>0.67700000000000005</v>
      </c>
      <c r="AG1186" t="s">
        <v>95</v>
      </c>
      <c r="AX1186" t="s">
        <v>523</v>
      </c>
      <c r="AY1186" t="s">
        <v>523</v>
      </c>
      <c r="AZ1186" t="s">
        <v>214</v>
      </c>
      <c r="BC1186">
        <v>2</v>
      </c>
      <c r="BH1186" t="s">
        <v>99</v>
      </c>
      <c r="BO1186" t="s">
        <v>111</v>
      </c>
      <c r="CD1186" t="s">
        <v>974</v>
      </c>
      <c r="CE1186">
        <v>158435</v>
      </c>
      <c r="CF1186" t="s">
        <v>975</v>
      </c>
      <c r="CG1186" t="s">
        <v>976</v>
      </c>
      <c r="CH1186">
        <v>2011</v>
      </c>
    </row>
    <row r="1187" spans="1:86" hidden="1" x14ac:dyDescent="0.25">
      <c r="A1187">
        <v>330541</v>
      </c>
      <c r="B1187" t="s">
        <v>86</v>
      </c>
      <c r="D1187" t="s">
        <v>115</v>
      </c>
      <c r="F1187">
        <v>98</v>
      </c>
      <c r="K1187" t="s">
        <v>985</v>
      </c>
      <c r="L1187" t="s">
        <v>986</v>
      </c>
      <c r="M1187" t="s">
        <v>972</v>
      </c>
      <c r="N1187" t="s">
        <v>945</v>
      </c>
      <c r="P1187">
        <v>4</v>
      </c>
      <c r="U1187" t="s">
        <v>99</v>
      </c>
      <c r="V1187" t="s">
        <v>168</v>
      </c>
      <c r="W1187" t="s">
        <v>107</v>
      </c>
      <c r="X1187" t="s">
        <v>93</v>
      </c>
      <c r="Z1187" t="s">
        <v>94</v>
      </c>
      <c r="AB1187">
        <v>14</v>
      </c>
      <c r="AD1187">
        <v>4.8000000000000001E-2</v>
      </c>
      <c r="AF1187">
        <v>15</v>
      </c>
      <c r="AG1187" t="s">
        <v>95</v>
      </c>
      <c r="AX1187" t="s">
        <v>523</v>
      </c>
      <c r="AY1187" t="s">
        <v>523</v>
      </c>
      <c r="AZ1187" t="s">
        <v>987</v>
      </c>
      <c r="BC1187">
        <v>1</v>
      </c>
      <c r="BH1187" t="s">
        <v>99</v>
      </c>
      <c r="BO1187" t="s">
        <v>111</v>
      </c>
      <c r="CD1187" t="s">
        <v>169</v>
      </c>
      <c r="CE1187">
        <v>156339</v>
      </c>
      <c r="CF1187" t="s">
        <v>170</v>
      </c>
      <c r="CG1187" t="s">
        <v>171</v>
      </c>
      <c r="CH1187">
        <v>2011</v>
      </c>
    </row>
    <row r="1188" spans="1:86" hidden="1" x14ac:dyDescent="0.25">
      <c r="A1188">
        <v>330541</v>
      </c>
      <c r="B1188" t="s">
        <v>86</v>
      </c>
      <c r="C1188" t="s">
        <v>183</v>
      </c>
      <c r="D1188" t="s">
        <v>988</v>
      </c>
      <c r="E1188" t="s">
        <v>106</v>
      </c>
      <c r="F1188">
        <v>97</v>
      </c>
      <c r="K1188" t="s">
        <v>989</v>
      </c>
      <c r="L1188" t="s">
        <v>990</v>
      </c>
      <c r="M1188" t="s">
        <v>972</v>
      </c>
      <c r="V1188" t="s">
        <v>507</v>
      </c>
      <c r="W1188" t="s">
        <v>92</v>
      </c>
      <c r="X1188" t="s">
        <v>93</v>
      </c>
      <c r="Y1188">
        <v>7</v>
      </c>
      <c r="Z1188" t="s">
        <v>94</v>
      </c>
      <c r="AB1188">
        <v>4.7</v>
      </c>
      <c r="AG1188" t="s">
        <v>95</v>
      </c>
      <c r="AX1188" t="s">
        <v>523</v>
      </c>
      <c r="AY1188" t="s">
        <v>523</v>
      </c>
      <c r="AZ1188" t="s">
        <v>987</v>
      </c>
      <c r="BC1188">
        <v>4</v>
      </c>
      <c r="BH1188" t="s">
        <v>99</v>
      </c>
      <c r="BO1188" t="s">
        <v>111</v>
      </c>
      <c r="CD1188" t="s">
        <v>991</v>
      </c>
      <c r="CE1188">
        <v>121117</v>
      </c>
      <c r="CF1188" t="s">
        <v>992</v>
      </c>
      <c r="CG1188" t="s">
        <v>993</v>
      </c>
      <c r="CH1188">
        <v>2010</v>
      </c>
    </row>
    <row r="1189" spans="1:86" hidden="1" x14ac:dyDescent="0.25">
      <c r="A1189">
        <v>330541</v>
      </c>
      <c r="B1189" t="s">
        <v>86</v>
      </c>
      <c r="D1189" t="s">
        <v>115</v>
      </c>
      <c r="K1189" t="s">
        <v>994</v>
      </c>
      <c r="L1189" t="s">
        <v>995</v>
      </c>
      <c r="M1189" t="s">
        <v>972</v>
      </c>
      <c r="N1189" t="s">
        <v>945</v>
      </c>
      <c r="R1189">
        <v>2</v>
      </c>
      <c r="T1189">
        <v>3</v>
      </c>
      <c r="U1189" t="s">
        <v>979</v>
      </c>
      <c r="V1189" t="s">
        <v>91</v>
      </c>
      <c r="W1189" t="s">
        <v>107</v>
      </c>
      <c r="X1189" t="s">
        <v>93</v>
      </c>
      <c r="Z1189" t="s">
        <v>137</v>
      </c>
      <c r="AB1189">
        <v>12.01</v>
      </c>
      <c r="AD1189">
        <v>11.42</v>
      </c>
      <c r="AF1189">
        <v>12.61</v>
      </c>
      <c r="AG1189" t="s">
        <v>95</v>
      </c>
      <c r="AX1189" t="s">
        <v>523</v>
      </c>
      <c r="AY1189" t="s">
        <v>523</v>
      </c>
      <c r="AZ1189" t="s">
        <v>475</v>
      </c>
      <c r="BC1189">
        <v>1</v>
      </c>
      <c r="BH1189" t="s">
        <v>99</v>
      </c>
      <c r="BO1189" t="s">
        <v>111</v>
      </c>
      <c r="CD1189" t="s">
        <v>470</v>
      </c>
      <c r="CE1189">
        <v>101947</v>
      </c>
      <c r="CF1189" t="s">
        <v>996</v>
      </c>
      <c r="CG1189" t="s">
        <v>997</v>
      </c>
      <c r="CH1189">
        <v>2007</v>
      </c>
    </row>
    <row r="1190" spans="1:86" hidden="1" x14ac:dyDescent="0.25">
      <c r="A1190">
        <v>330541</v>
      </c>
      <c r="B1190" t="s">
        <v>86</v>
      </c>
      <c r="D1190" t="s">
        <v>115</v>
      </c>
      <c r="F1190">
        <v>98</v>
      </c>
      <c r="K1190" t="s">
        <v>998</v>
      </c>
      <c r="L1190" t="s">
        <v>999</v>
      </c>
      <c r="M1190" t="s">
        <v>972</v>
      </c>
      <c r="N1190" t="s">
        <v>1000</v>
      </c>
      <c r="V1190" t="s">
        <v>507</v>
      </c>
      <c r="W1190" t="s">
        <v>107</v>
      </c>
      <c r="X1190" t="s">
        <v>93</v>
      </c>
      <c r="Z1190" t="s">
        <v>94</v>
      </c>
      <c r="AA1190" t="s">
        <v>106</v>
      </c>
      <c r="AB1190">
        <v>3</v>
      </c>
      <c r="AG1190" t="s">
        <v>95</v>
      </c>
      <c r="AX1190" t="s">
        <v>523</v>
      </c>
      <c r="AY1190" t="s">
        <v>523</v>
      </c>
      <c r="AZ1190" t="s">
        <v>475</v>
      </c>
      <c r="BC1190">
        <v>4</v>
      </c>
      <c r="BH1190" t="s">
        <v>99</v>
      </c>
      <c r="BO1190" t="s">
        <v>111</v>
      </c>
      <c r="CD1190" t="s">
        <v>169</v>
      </c>
      <c r="CE1190">
        <v>156339</v>
      </c>
      <c r="CF1190" t="s">
        <v>170</v>
      </c>
      <c r="CG1190" t="s">
        <v>171</v>
      </c>
      <c r="CH1190">
        <v>2011</v>
      </c>
    </row>
    <row r="1191" spans="1:86" hidden="1" x14ac:dyDescent="0.25">
      <c r="A1191">
        <v>330541</v>
      </c>
      <c r="B1191" t="s">
        <v>86</v>
      </c>
      <c r="D1191" t="s">
        <v>115</v>
      </c>
      <c r="F1191">
        <v>98</v>
      </c>
      <c r="K1191" t="s">
        <v>1001</v>
      </c>
      <c r="L1191" t="s">
        <v>995</v>
      </c>
      <c r="M1191" t="s">
        <v>972</v>
      </c>
      <c r="O1191" t="s">
        <v>499</v>
      </c>
      <c r="P1191">
        <v>24</v>
      </c>
      <c r="U1191" t="s">
        <v>1002</v>
      </c>
      <c r="V1191" t="s">
        <v>91</v>
      </c>
      <c r="W1191" t="s">
        <v>107</v>
      </c>
      <c r="X1191" t="s">
        <v>93</v>
      </c>
      <c r="Y1191">
        <v>8</v>
      </c>
      <c r="Z1191" t="s">
        <v>94</v>
      </c>
      <c r="AB1191">
        <v>30.573</v>
      </c>
      <c r="AG1191" t="s">
        <v>95</v>
      </c>
      <c r="AX1191" t="s">
        <v>523</v>
      </c>
      <c r="AY1191" t="s">
        <v>523</v>
      </c>
      <c r="AZ1191" t="s">
        <v>475</v>
      </c>
      <c r="BC1191">
        <v>2</v>
      </c>
      <c r="BH1191" t="s">
        <v>99</v>
      </c>
      <c r="BO1191" t="s">
        <v>111</v>
      </c>
      <c r="CD1191" t="s">
        <v>292</v>
      </c>
      <c r="CE1191">
        <v>175889</v>
      </c>
      <c r="CF1191" t="s">
        <v>293</v>
      </c>
      <c r="CG1191" t="s">
        <v>294</v>
      </c>
      <c r="CH1191">
        <v>2016</v>
      </c>
    </row>
    <row r="1192" spans="1:86" hidden="1" x14ac:dyDescent="0.25">
      <c r="A1192">
        <v>330541</v>
      </c>
      <c r="B1192" t="s">
        <v>86</v>
      </c>
      <c r="F1192">
        <v>95</v>
      </c>
      <c r="K1192" t="s">
        <v>1003</v>
      </c>
      <c r="L1192" t="s">
        <v>1004</v>
      </c>
      <c r="M1192" t="s">
        <v>972</v>
      </c>
      <c r="N1192" t="s">
        <v>1005</v>
      </c>
      <c r="V1192" t="s">
        <v>91</v>
      </c>
      <c r="W1192" t="s">
        <v>92</v>
      </c>
      <c r="X1192" t="s">
        <v>93</v>
      </c>
      <c r="Z1192" t="s">
        <v>94</v>
      </c>
      <c r="AB1192">
        <v>15.5</v>
      </c>
      <c r="AD1192">
        <v>7.2</v>
      </c>
      <c r="AF1192">
        <v>33.4</v>
      </c>
      <c r="AG1192" t="s">
        <v>95</v>
      </c>
      <c r="AX1192" t="s">
        <v>523</v>
      </c>
      <c r="AY1192" t="s">
        <v>523</v>
      </c>
      <c r="AZ1192" t="s">
        <v>475</v>
      </c>
      <c r="BC1192">
        <v>4</v>
      </c>
      <c r="BH1192" t="s">
        <v>99</v>
      </c>
      <c r="BO1192" t="s">
        <v>111</v>
      </c>
      <c r="CD1192" t="s">
        <v>982</v>
      </c>
      <c r="CE1192">
        <v>6797</v>
      </c>
      <c r="CF1192" t="s">
        <v>983</v>
      </c>
      <c r="CG1192" t="s">
        <v>984</v>
      </c>
      <c r="CH1192">
        <v>1986</v>
      </c>
    </row>
    <row r="1193" spans="1:86" hidden="1" x14ac:dyDescent="0.25">
      <c r="A1193">
        <v>330541</v>
      </c>
      <c r="B1193" t="s">
        <v>86</v>
      </c>
      <c r="D1193" t="s">
        <v>115</v>
      </c>
      <c r="F1193">
        <v>98</v>
      </c>
      <c r="K1193" t="s">
        <v>985</v>
      </c>
      <c r="L1193" t="s">
        <v>986</v>
      </c>
      <c r="M1193" t="s">
        <v>972</v>
      </c>
      <c r="N1193" t="s">
        <v>945</v>
      </c>
      <c r="P1193">
        <v>4</v>
      </c>
      <c r="U1193" t="s">
        <v>99</v>
      </c>
      <c r="V1193" t="s">
        <v>168</v>
      </c>
      <c r="W1193" t="s">
        <v>107</v>
      </c>
      <c r="X1193" t="s">
        <v>93</v>
      </c>
      <c r="Z1193" t="s">
        <v>94</v>
      </c>
      <c r="AB1193">
        <v>21</v>
      </c>
      <c r="AD1193">
        <v>21</v>
      </c>
      <c r="AF1193">
        <v>22</v>
      </c>
      <c r="AG1193" t="s">
        <v>95</v>
      </c>
      <c r="AX1193" t="s">
        <v>523</v>
      </c>
      <c r="AY1193" t="s">
        <v>523</v>
      </c>
      <c r="AZ1193" t="s">
        <v>475</v>
      </c>
      <c r="BC1193">
        <v>1</v>
      </c>
      <c r="BH1193" t="s">
        <v>99</v>
      </c>
      <c r="BO1193" t="s">
        <v>111</v>
      </c>
      <c r="CD1193" t="s">
        <v>169</v>
      </c>
      <c r="CE1193">
        <v>156339</v>
      </c>
      <c r="CF1193" t="s">
        <v>170</v>
      </c>
      <c r="CG1193" t="s">
        <v>171</v>
      </c>
      <c r="CH1193">
        <v>2011</v>
      </c>
    </row>
    <row r="1194" spans="1:86" hidden="1" x14ac:dyDescent="0.25">
      <c r="A1194">
        <v>330541</v>
      </c>
      <c r="B1194" t="s">
        <v>86</v>
      </c>
      <c r="D1194" t="s">
        <v>115</v>
      </c>
      <c r="K1194" t="s">
        <v>1006</v>
      </c>
      <c r="L1194" t="s">
        <v>978</v>
      </c>
      <c r="M1194" t="s">
        <v>972</v>
      </c>
      <c r="W1194" t="s">
        <v>92</v>
      </c>
      <c r="Z1194" t="s">
        <v>137</v>
      </c>
      <c r="AA1194" t="s">
        <v>106</v>
      </c>
      <c r="AB1194">
        <v>40</v>
      </c>
      <c r="AG1194" t="s">
        <v>95</v>
      </c>
      <c r="AX1194" t="s">
        <v>523</v>
      </c>
      <c r="AY1194" t="s">
        <v>523</v>
      </c>
      <c r="AZ1194" t="s">
        <v>475</v>
      </c>
      <c r="BC1194">
        <v>0.125</v>
      </c>
      <c r="BH1194" t="s">
        <v>99</v>
      </c>
      <c r="BO1194" t="s">
        <v>111</v>
      </c>
      <c r="CD1194" t="s">
        <v>1007</v>
      </c>
      <c r="CE1194">
        <v>15192</v>
      </c>
      <c r="CF1194" t="s">
        <v>1008</v>
      </c>
      <c r="CG1194" t="s">
        <v>1009</v>
      </c>
      <c r="CH1194">
        <v>1967</v>
      </c>
    </row>
    <row r="1195" spans="1:86" hidden="1" x14ac:dyDescent="0.25">
      <c r="A1195">
        <v>330541</v>
      </c>
      <c r="B1195" t="s">
        <v>86</v>
      </c>
      <c r="C1195" t="s">
        <v>158</v>
      </c>
      <c r="D1195" t="s">
        <v>115</v>
      </c>
      <c r="K1195" t="s">
        <v>1010</v>
      </c>
      <c r="L1195" t="s">
        <v>1011</v>
      </c>
      <c r="M1195" t="s">
        <v>972</v>
      </c>
      <c r="N1195" t="s">
        <v>1012</v>
      </c>
      <c r="P1195">
        <v>1</v>
      </c>
      <c r="U1195" t="s">
        <v>911</v>
      </c>
      <c r="V1195" t="s">
        <v>91</v>
      </c>
      <c r="W1195" t="s">
        <v>107</v>
      </c>
      <c r="X1195" t="s">
        <v>93</v>
      </c>
      <c r="Z1195" t="s">
        <v>94</v>
      </c>
      <c r="AB1195">
        <v>3.0110000000000001</v>
      </c>
      <c r="AD1195">
        <v>2.085</v>
      </c>
      <c r="AF1195">
        <v>3.2309999999999999</v>
      </c>
      <c r="AG1195" t="s">
        <v>95</v>
      </c>
      <c r="AX1195" t="s">
        <v>523</v>
      </c>
      <c r="AY1195" t="s">
        <v>1013</v>
      </c>
      <c r="AZ1195" t="s">
        <v>475</v>
      </c>
      <c r="BC1195">
        <v>1</v>
      </c>
      <c r="BH1195" t="s">
        <v>99</v>
      </c>
      <c r="BO1195" t="s">
        <v>111</v>
      </c>
      <c r="CD1195" t="s">
        <v>1014</v>
      </c>
      <c r="CE1195">
        <v>102068</v>
      </c>
      <c r="CF1195" t="s">
        <v>1015</v>
      </c>
      <c r="CG1195" t="s">
        <v>1016</v>
      </c>
      <c r="CH1195">
        <v>2005</v>
      </c>
    </row>
    <row r="1196" spans="1:86" hidden="1" x14ac:dyDescent="0.25">
      <c r="A1196">
        <v>330541</v>
      </c>
      <c r="B1196" t="s">
        <v>86</v>
      </c>
      <c r="C1196" t="s">
        <v>158</v>
      </c>
      <c r="D1196" t="s">
        <v>115</v>
      </c>
      <c r="K1196" t="s">
        <v>1010</v>
      </c>
      <c r="L1196" t="s">
        <v>1011</v>
      </c>
      <c r="M1196" t="s">
        <v>972</v>
      </c>
      <c r="N1196" t="s">
        <v>1012</v>
      </c>
      <c r="P1196">
        <v>1</v>
      </c>
      <c r="U1196" t="s">
        <v>911</v>
      </c>
      <c r="V1196" t="s">
        <v>91</v>
      </c>
      <c r="W1196" t="s">
        <v>107</v>
      </c>
      <c r="X1196" t="s">
        <v>93</v>
      </c>
      <c r="Z1196" t="s">
        <v>94</v>
      </c>
      <c r="AB1196">
        <v>3.044</v>
      </c>
      <c r="AD1196">
        <v>2.8370000000000002</v>
      </c>
      <c r="AF1196">
        <v>3.2650000000000001</v>
      </c>
      <c r="AG1196" t="s">
        <v>95</v>
      </c>
      <c r="AX1196" t="s">
        <v>523</v>
      </c>
      <c r="AY1196" t="s">
        <v>1013</v>
      </c>
      <c r="AZ1196" t="s">
        <v>475</v>
      </c>
      <c r="BC1196">
        <v>2</v>
      </c>
      <c r="BH1196" t="s">
        <v>99</v>
      </c>
      <c r="BO1196" t="s">
        <v>111</v>
      </c>
      <c r="CD1196" t="s">
        <v>1014</v>
      </c>
      <c r="CE1196">
        <v>102068</v>
      </c>
      <c r="CF1196" t="s">
        <v>1015</v>
      </c>
      <c r="CG1196" t="s">
        <v>1016</v>
      </c>
      <c r="CH1196">
        <v>2005</v>
      </c>
    </row>
    <row r="1197" spans="1:86" hidden="1" x14ac:dyDescent="0.25">
      <c r="A1197">
        <v>330541</v>
      </c>
      <c r="B1197" t="s">
        <v>86</v>
      </c>
      <c r="C1197" t="s">
        <v>183</v>
      </c>
      <c r="D1197" t="s">
        <v>988</v>
      </c>
      <c r="E1197" t="s">
        <v>106</v>
      </c>
      <c r="F1197">
        <v>97</v>
      </c>
      <c r="K1197" t="s">
        <v>989</v>
      </c>
      <c r="L1197" t="s">
        <v>990</v>
      </c>
      <c r="M1197" t="s">
        <v>972</v>
      </c>
      <c r="V1197" t="s">
        <v>507</v>
      </c>
      <c r="W1197" t="s">
        <v>92</v>
      </c>
      <c r="X1197" t="s">
        <v>93</v>
      </c>
      <c r="Y1197">
        <v>7</v>
      </c>
      <c r="Z1197" t="s">
        <v>94</v>
      </c>
      <c r="AB1197">
        <v>8.8000000000000007</v>
      </c>
      <c r="AD1197">
        <v>7.1</v>
      </c>
      <c r="AF1197">
        <v>10</v>
      </c>
      <c r="AG1197" t="s">
        <v>95</v>
      </c>
      <c r="AX1197" t="s">
        <v>523</v>
      </c>
      <c r="AY1197" t="s">
        <v>523</v>
      </c>
      <c r="AZ1197" t="s">
        <v>475</v>
      </c>
      <c r="BC1197">
        <v>4</v>
      </c>
      <c r="BH1197" t="s">
        <v>99</v>
      </c>
      <c r="BO1197" t="s">
        <v>111</v>
      </c>
      <c r="CD1197" t="s">
        <v>991</v>
      </c>
      <c r="CE1197">
        <v>121117</v>
      </c>
      <c r="CF1197" t="s">
        <v>992</v>
      </c>
      <c r="CG1197" t="s">
        <v>993</v>
      </c>
      <c r="CH1197">
        <v>2010</v>
      </c>
    </row>
    <row r="1198" spans="1:86" hidden="1" x14ac:dyDescent="0.25">
      <c r="A1198">
        <v>330541</v>
      </c>
      <c r="B1198" t="s">
        <v>86</v>
      </c>
      <c r="F1198">
        <v>95</v>
      </c>
      <c r="K1198" t="s">
        <v>1003</v>
      </c>
      <c r="L1198" t="s">
        <v>1004</v>
      </c>
      <c r="M1198" t="s">
        <v>972</v>
      </c>
      <c r="N1198" t="s">
        <v>1005</v>
      </c>
      <c r="V1198" t="s">
        <v>91</v>
      </c>
      <c r="W1198" t="s">
        <v>92</v>
      </c>
      <c r="X1198" t="s">
        <v>93</v>
      </c>
      <c r="Z1198" t="s">
        <v>94</v>
      </c>
      <c r="AA1198" t="s">
        <v>106</v>
      </c>
      <c r="AB1198">
        <v>10</v>
      </c>
      <c r="AG1198" t="s">
        <v>95</v>
      </c>
      <c r="AX1198" t="s">
        <v>523</v>
      </c>
      <c r="AY1198" t="s">
        <v>523</v>
      </c>
      <c r="AZ1198" t="s">
        <v>475</v>
      </c>
      <c r="BC1198">
        <v>1</v>
      </c>
      <c r="BH1198" t="s">
        <v>99</v>
      </c>
      <c r="BO1198" t="s">
        <v>111</v>
      </c>
      <c r="CD1198" t="s">
        <v>982</v>
      </c>
      <c r="CE1198">
        <v>6797</v>
      </c>
      <c r="CF1198" t="s">
        <v>983</v>
      </c>
      <c r="CG1198" t="s">
        <v>984</v>
      </c>
      <c r="CH1198">
        <v>1986</v>
      </c>
    </row>
    <row r="1199" spans="1:86" hidden="1" x14ac:dyDescent="0.25">
      <c r="A1199">
        <v>330541</v>
      </c>
      <c r="B1199" t="s">
        <v>86</v>
      </c>
      <c r="C1199" t="s">
        <v>158</v>
      </c>
      <c r="D1199" t="s">
        <v>115</v>
      </c>
      <c r="K1199" t="s">
        <v>1010</v>
      </c>
      <c r="L1199" t="s">
        <v>1011</v>
      </c>
      <c r="M1199" t="s">
        <v>972</v>
      </c>
      <c r="N1199" t="s">
        <v>1012</v>
      </c>
      <c r="P1199">
        <v>1</v>
      </c>
      <c r="U1199" t="s">
        <v>911</v>
      </c>
      <c r="V1199" t="s">
        <v>91</v>
      </c>
      <c r="W1199" t="s">
        <v>107</v>
      </c>
      <c r="X1199" t="s">
        <v>93</v>
      </c>
      <c r="Z1199" t="s">
        <v>94</v>
      </c>
      <c r="AB1199">
        <v>10</v>
      </c>
      <c r="AG1199" t="s">
        <v>95</v>
      </c>
      <c r="AX1199" t="s">
        <v>523</v>
      </c>
      <c r="AY1199" t="s">
        <v>1013</v>
      </c>
      <c r="AZ1199" t="s">
        <v>486</v>
      </c>
      <c r="BC1199">
        <v>2</v>
      </c>
      <c r="BH1199" t="s">
        <v>99</v>
      </c>
      <c r="BO1199" t="s">
        <v>111</v>
      </c>
      <c r="CD1199" t="s">
        <v>1014</v>
      </c>
      <c r="CE1199">
        <v>102068</v>
      </c>
      <c r="CF1199" t="s">
        <v>1015</v>
      </c>
      <c r="CG1199" t="s">
        <v>1016</v>
      </c>
      <c r="CH1199">
        <v>2005</v>
      </c>
    </row>
    <row r="1200" spans="1:86" hidden="1" x14ac:dyDescent="0.25">
      <c r="A1200">
        <v>330541</v>
      </c>
      <c r="B1200" t="s">
        <v>86</v>
      </c>
      <c r="D1200" t="s">
        <v>87</v>
      </c>
      <c r="E1200" t="s">
        <v>106</v>
      </c>
      <c r="F1200">
        <v>95</v>
      </c>
      <c r="K1200" t="s">
        <v>1017</v>
      </c>
      <c r="L1200" t="s">
        <v>1018</v>
      </c>
      <c r="M1200" t="s">
        <v>972</v>
      </c>
      <c r="N1200" t="s">
        <v>973</v>
      </c>
      <c r="V1200" t="s">
        <v>91</v>
      </c>
      <c r="W1200" t="s">
        <v>107</v>
      </c>
      <c r="X1200" t="s">
        <v>93</v>
      </c>
      <c r="Y1200">
        <v>7</v>
      </c>
      <c r="Z1200" t="s">
        <v>94</v>
      </c>
      <c r="AA1200" t="s">
        <v>106</v>
      </c>
      <c r="AB1200">
        <v>0.874</v>
      </c>
      <c r="AG1200" t="s">
        <v>95</v>
      </c>
      <c r="AX1200" t="s">
        <v>912</v>
      </c>
      <c r="AY1200" t="s">
        <v>1019</v>
      </c>
      <c r="AZ1200" t="s">
        <v>486</v>
      </c>
      <c r="BC1200">
        <v>1</v>
      </c>
      <c r="BH1200" t="s">
        <v>99</v>
      </c>
      <c r="BO1200" t="s">
        <v>111</v>
      </c>
      <c r="CD1200" t="s">
        <v>388</v>
      </c>
      <c r="CE1200">
        <v>178673</v>
      </c>
      <c r="CF1200" t="s">
        <v>389</v>
      </c>
      <c r="CG1200" t="s">
        <v>390</v>
      </c>
      <c r="CH1200">
        <v>2018</v>
      </c>
    </row>
    <row r="1201" spans="1:86" hidden="1" x14ac:dyDescent="0.25">
      <c r="A1201">
        <v>330541</v>
      </c>
      <c r="B1201" t="s">
        <v>86</v>
      </c>
      <c r="D1201" t="s">
        <v>87</v>
      </c>
      <c r="E1201" t="s">
        <v>106</v>
      </c>
      <c r="F1201">
        <v>98</v>
      </c>
      <c r="K1201" t="s">
        <v>970</v>
      </c>
      <c r="L1201" t="s">
        <v>971</v>
      </c>
      <c r="M1201" t="s">
        <v>972</v>
      </c>
      <c r="N1201" t="s">
        <v>973</v>
      </c>
      <c r="O1201" t="s">
        <v>234</v>
      </c>
      <c r="P1201">
        <v>24</v>
      </c>
      <c r="U1201" t="s">
        <v>213</v>
      </c>
      <c r="V1201" t="s">
        <v>168</v>
      </c>
      <c r="W1201" t="s">
        <v>92</v>
      </c>
      <c r="X1201" t="s">
        <v>93</v>
      </c>
      <c r="Y1201">
        <v>8</v>
      </c>
      <c r="Z1201" t="s">
        <v>94</v>
      </c>
      <c r="AB1201">
        <v>0.44600000000000001</v>
      </c>
      <c r="AG1201" t="s">
        <v>95</v>
      </c>
      <c r="AX1201" t="s">
        <v>523</v>
      </c>
      <c r="AY1201" t="s">
        <v>523</v>
      </c>
      <c r="AZ1201" t="s">
        <v>486</v>
      </c>
      <c r="BC1201">
        <v>2</v>
      </c>
      <c r="BH1201" t="s">
        <v>99</v>
      </c>
      <c r="BO1201" t="s">
        <v>111</v>
      </c>
      <c r="CD1201" t="s">
        <v>974</v>
      </c>
      <c r="CE1201">
        <v>158435</v>
      </c>
      <c r="CF1201" t="s">
        <v>975</v>
      </c>
      <c r="CG1201" t="s">
        <v>976</v>
      </c>
      <c r="CH1201">
        <v>2011</v>
      </c>
    </row>
    <row r="1202" spans="1:86" hidden="1" x14ac:dyDescent="0.25">
      <c r="A1202">
        <v>330541</v>
      </c>
      <c r="B1202" t="s">
        <v>86</v>
      </c>
      <c r="D1202" t="s">
        <v>87</v>
      </c>
      <c r="E1202" t="s">
        <v>106</v>
      </c>
      <c r="F1202">
        <v>98</v>
      </c>
      <c r="K1202" t="s">
        <v>970</v>
      </c>
      <c r="L1202" t="s">
        <v>971</v>
      </c>
      <c r="M1202" t="s">
        <v>972</v>
      </c>
      <c r="N1202" t="s">
        <v>973</v>
      </c>
      <c r="O1202" t="s">
        <v>234</v>
      </c>
      <c r="P1202">
        <v>24</v>
      </c>
      <c r="U1202" t="s">
        <v>213</v>
      </c>
      <c r="V1202" t="s">
        <v>168</v>
      </c>
      <c r="W1202" t="s">
        <v>92</v>
      </c>
      <c r="X1202" t="s">
        <v>93</v>
      </c>
      <c r="Y1202">
        <v>8</v>
      </c>
      <c r="Z1202" t="s">
        <v>94</v>
      </c>
      <c r="AB1202">
        <v>0.44600000000000001</v>
      </c>
      <c r="AG1202" t="s">
        <v>95</v>
      </c>
      <c r="AX1202" t="s">
        <v>523</v>
      </c>
      <c r="AY1202" t="s">
        <v>523</v>
      </c>
      <c r="AZ1202" t="s">
        <v>486</v>
      </c>
      <c r="BC1202">
        <v>2</v>
      </c>
      <c r="BH1202" t="s">
        <v>99</v>
      </c>
      <c r="BO1202" t="s">
        <v>111</v>
      </c>
      <c r="CD1202" t="s">
        <v>974</v>
      </c>
      <c r="CE1202">
        <v>158435</v>
      </c>
      <c r="CF1202" t="s">
        <v>975</v>
      </c>
      <c r="CG1202" t="s">
        <v>976</v>
      </c>
      <c r="CH1202">
        <v>2011</v>
      </c>
    </row>
    <row r="1203" spans="1:86" hidden="1" x14ac:dyDescent="0.25">
      <c r="A1203">
        <v>330541</v>
      </c>
      <c r="B1203" t="s">
        <v>86</v>
      </c>
      <c r="D1203" t="s">
        <v>87</v>
      </c>
      <c r="E1203" t="s">
        <v>106</v>
      </c>
      <c r="F1203">
        <v>95</v>
      </c>
      <c r="K1203" t="s">
        <v>1017</v>
      </c>
      <c r="L1203" t="s">
        <v>1018</v>
      </c>
      <c r="M1203" t="s">
        <v>972</v>
      </c>
      <c r="N1203" t="s">
        <v>973</v>
      </c>
      <c r="V1203" t="s">
        <v>91</v>
      </c>
      <c r="W1203" t="s">
        <v>107</v>
      </c>
      <c r="X1203" t="s">
        <v>93</v>
      </c>
      <c r="Y1203">
        <v>7</v>
      </c>
      <c r="Z1203" t="s">
        <v>94</v>
      </c>
      <c r="AB1203">
        <v>7.0999999999999994E-2</v>
      </c>
      <c r="AG1203" t="s">
        <v>95</v>
      </c>
      <c r="AX1203" t="s">
        <v>912</v>
      </c>
      <c r="AY1203" t="s">
        <v>1019</v>
      </c>
      <c r="AZ1203" t="s">
        <v>486</v>
      </c>
      <c r="BC1203">
        <v>1</v>
      </c>
      <c r="BH1203" t="s">
        <v>99</v>
      </c>
      <c r="BO1203" t="s">
        <v>111</v>
      </c>
      <c r="CD1203" t="s">
        <v>388</v>
      </c>
      <c r="CE1203">
        <v>178673</v>
      </c>
      <c r="CF1203" t="s">
        <v>389</v>
      </c>
      <c r="CG1203" t="s">
        <v>390</v>
      </c>
      <c r="CH1203">
        <v>2018</v>
      </c>
    </row>
    <row r="1204" spans="1:86" hidden="1" x14ac:dyDescent="0.25">
      <c r="A1204">
        <v>330541</v>
      </c>
      <c r="B1204" t="s">
        <v>86</v>
      </c>
      <c r="D1204" t="s">
        <v>87</v>
      </c>
      <c r="E1204" t="s">
        <v>106</v>
      </c>
      <c r="F1204">
        <v>98</v>
      </c>
      <c r="K1204" t="s">
        <v>970</v>
      </c>
      <c r="L1204" t="s">
        <v>971</v>
      </c>
      <c r="M1204" t="s">
        <v>972</v>
      </c>
      <c r="N1204" t="s">
        <v>973</v>
      </c>
      <c r="O1204" t="s">
        <v>234</v>
      </c>
      <c r="P1204">
        <v>24</v>
      </c>
      <c r="U1204" t="s">
        <v>213</v>
      </c>
      <c r="V1204" t="s">
        <v>168</v>
      </c>
      <c r="W1204" t="s">
        <v>92</v>
      </c>
      <c r="X1204" t="s">
        <v>93</v>
      </c>
      <c r="Y1204">
        <v>8</v>
      </c>
      <c r="Z1204" t="s">
        <v>94</v>
      </c>
      <c r="AB1204">
        <v>0.44600000000000001</v>
      </c>
      <c r="AG1204" t="s">
        <v>95</v>
      </c>
      <c r="AX1204" t="s">
        <v>523</v>
      </c>
      <c r="AY1204" t="s">
        <v>523</v>
      </c>
      <c r="AZ1204" t="s">
        <v>486</v>
      </c>
      <c r="BC1204">
        <v>3</v>
      </c>
      <c r="BH1204" t="s">
        <v>99</v>
      </c>
      <c r="BO1204" t="s">
        <v>111</v>
      </c>
      <c r="CD1204" t="s">
        <v>974</v>
      </c>
      <c r="CE1204">
        <v>158435</v>
      </c>
      <c r="CF1204" t="s">
        <v>975</v>
      </c>
      <c r="CG1204" t="s">
        <v>976</v>
      </c>
      <c r="CH1204">
        <v>2011</v>
      </c>
    </row>
    <row r="1205" spans="1:86" hidden="1" x14ac:dyDescent="0.25">
      <c r="A1205">
        <v>330541</v>
      </c>
      <c r="B1205" t="s">
        <v>86</v>
      </c>
      <c r="C1205" t="s">
        <v>158</v>
      </c>
      <c r="D1205" t="s">
        <v>115</v>
      </c>
      <c r="K1205" t="s">
        <v>1010</v>
      </c>
      <c r="L1205" t="s">
        <v>1011</v>
      </c>
      <c r="M1205" t="s">
        <v>972</v>
      </c>
      <c r="N1205" t="s">
        <v>1012</v>
      </c>
      <c r="P1205">
        <v>1</v>
      </c>
      <c r="U1205" t="s">
        <v>911</v>
      </c>
      <c r="V1205" t="s">
        <v>91</v>
      </c>
      <c r="W1205" t="s">
        <v>107</v>
      </c>
      <c r="X1205" t="s">
        <v>93</v>
      </c>
      <c r="Z1205" t="s">
        <v>94</v>
      </c>
      <c r="AB1205">
        <v>10</v>
      </c>
      <c r="AG1205" t="s">
        <v>95</v>
      </c>
      <c r="AX1205" t="s">
        <v>523</v>
      </c>
      <c r="AY1205" t="s">
        <v>1013</v>
      </c>
      <c r="AZ1205" t="s">
        <v>486</v>
      </c>
      <c r="BC1205">
        <v>1</v>
      </c>
      <c r="BH1205" t="s">
        <v>99</v>
      </c>
      <c r="BO1205" t="s">
        <v>111</v>
      </c>
      <c r="CD1205" t="s">
        <v>1014</v>
      </c>
      <c r="CE1205">
        <v>102068</v>
      </c>
      <c r="CF1205" t="s">
        <v>1015</v>
      </c>
      <c r="CG1205" t="s">
        <v>1016</v>
      </c>
      <c r="CH1205">
        <v>2005</v>
      </c>
    </row>
    <row r="1206" spans="1:86" hidden="1" x14ac:dyDescent="0.25">
      <c r="A1206">
        <v>330541</v>
      </c>
      <c r="B1206" t="s">
        <v>86</v>
      </c>
      <c r="D1206" t="s">
        <v>115</v>
      </c>
      <c r="K1206" t="s">
        <v>1020</v>
      </c>
      <c r="L1206" t="s">
        <v>1021</v>
      </c>
      <c r="M1206" t="s">
        <v>972</v>
      </c>
      <c r="N1206" t="s">
        <v>1022</v>
      </c>
      <c r="V1206" t="s">
        <v>491</v>
      </c>
      <c r="W1206" t="s">
        <v>92</v>
      </c>
      <c r="X1206" t="s">
        <v>559</v>
      </c>
      <c r="Y1206">
        <v>4</v>
      </c>
      <c r="Z1206" t="s">
        <v>94</v>
      </c>
      <c r="AB1206">
        <v>1.4E-2</v>
      </c>
      <c r="AG1206" t="s">
        <v>567</v>
      </c>
      <c r="AX1206" t="s">
        <v>108</v>
      </c>
      <c r="AY1206" t="s">
        <v>150</v>
      </c>
      <c r="AZ1206" t="s">
        <v>555</v>
      </c>
      <c r="BC1206">
        <v>14</v>
      </c>
      <c r="BH1206" t="s">
        <v>99</v>
      </c>
      <c r="BO1206" t="s">
        <v>111</v>
      </c>
      <c r="CD1206" t="s">
        <v>568</v>
      </c>
      <c r="CE1206">
        <v>102117</v>
      </c>
      <c r="CF1206" t="s">
        <v>569</v>
      </c>
      <c r="CG1206" t="s">
        <v>570</v>
      </c>
      <c r="CH1206">
        <v>2004</v>
      </c>
    </row>
    <row r="1207" spans="1:86" hidden="1" x14ac:dyDescent="0.25">
      <c r="A1207">
        <v>330541</v>
      </c>
      <c r="B1207" t="s">
        <v>86</v>
      </c>
      <c r="D1207" t="s">
        <v>87</v>
      </c>
      <c r="E1207" t="s">
        <v>106</v>
      </c>
      <c r="F1207">
        <v>98</v>
      </c>
      <c r="K1207" t="s">
        <v>970</v>
      </c>
      <c r="L1207" t="s">
        <v>971</v>
      </c>
      <c r="M1207" t="s">
        <v>972</v>
      </c>
      <c r="N1207" t="s">
        <v>973</v>
      </c>
      <c r="O1207" t="s">
        <v>234</v>
      </c>
      <c r="P1207">
        <v>24</v>
      </c>
      <c r="U1207" t="s">
        <v>213</v>
      </c>
      <c r="V1207" t="s">
        <v>168</v>
      </c>
      <c r="W1207" t="s">
        <v>92</v>
      </c>
      <c r="X1207" t="s">
        <v>93</v>
      </c>
      <c r="Y1207">
        <v>8</v>
      </c>
      <c r="Z1207" t="s">
        <v>94</v>
      </c>
      <c r="AB1207">
        <v>0.67700000000000005</v>
      </c>
      <c r="AG1207" t="s">
        <v>95</v>
      </c>
      <c r="AX1207" t="s">
        <v>523</v>
      </c>
      <c r="AY1207" t="s">
        <v>523</v>
      </c>
      <c r="AZ1207" t="s">
        <v>586</v>
      </c>
      <c r="BC1207">
        <v>1</v>
      </c>
      <c r="BH1207" t="s">
        <v>99</v>
      </c>
      <c r="BO1207" t="s">
        <v>111</v>
      </c>
      <c r="CD1207" t="s">
        <v>974</v>
      </c>
      <c r="CE1207">
        <v>158435</v>
      </c>
      <c r="CF1207" t="s">
        <v>975</v>
      </c>
      <c r="CG1207" t="s">
        <v>976</v>
      </c>
      <c r="CH1207">
        <v>2011</v>
      </c>
    </row>
    <row r="1208" spans="1:86" hidden="1" x14ac:dyDescent="0.25">
      <c r="A1208">
        <v>330541</v>
      </c>
      <c r="B1208" t="s">
        <v>86</v>
      </c>
      <c r="D1208" t="s">
        <v>87</v>
      </c>
      <c r="E1208" t="s">
        <v>106</v>
      </c>
      <c r="F1208">
        <v>98</v>
      </c>
      <c r="K1208" t="s">
        <v>970</v>
      </c>
      <c r="L1208" t="s">
        <v>971</v>
      </c>
      <c r="M1208" t="s">
        <v>972</v>
      </c>
      <c r="N1208" t="s">
        <v>973</v>
      </c>
      <c r="O1208" t="s">
        <v>234</v>
      </c>
      <c r="P1208">
        <v>24</v>
      </c>
      <c r="U1208" t="s">
        <v>213</v>
      </c>
      <c r="V1208" t="s">
        <v>168</v>
      </c>
      <c r="W1208" t="s">
        <v>92</v>
      </c>
      <c r="X1208" t="s">
        <v>93</v>
      </c>
      <c r="Y1208">
        <v>8</v>
      </c>
      <c r="Z1208" t="s">
        <v>94</v>
      </c>
      <c r="AB1208">
        <v>0.33800000000000002</v>
      </c>
      <c r="AG1208" t="s">
        <v>95</v>
      </c>
      <c r="AX1208" t="s">
        <v>523</v>
      </c>
      <c r="AY1208" t="s">
        <v>523</v>
      </c>
      <c r="AZ1208" t="s">
        <v>586</v>
      </c>
      <c r="BC1208">
        <v>2</v>
      </c>
      <c r="BH1208" t="s">
        <v>99</v>
      </c>
      <c r="BO1208" t="s">
        <v>111</v>
      </c>
      <c r="CD1208" t="s">
        <v>974</v>
      </c>
      <c r="CE1208">
        <v>158435</v>
      </c>
      <c r="CF1208" t="s">
        <v>975</v>
      </c>
      <c r="CG1208" t="s">
        <v>976</v>
      </c>
      <c r="CH1208">
        <v>2011</v>
      </c>
    </row>
    <row r="1209" spans="1:86" hidden="1" x14ac:dyDescent="0.25">
      <c r="A1209">
        <v>330541</v>
      </c>
      <c r="B1209" t="s">
        <v>86</v>
      </c>
      <c r="D1209" t="s">
        <v>87</v>
      </c>
      <c r="E1209" t="s">
        <v>106</v>
      </c>
      <c r="F1209">
        <v>98</v>
      </c>
      <c r="K1209" t="s">
        <v>970</v>
      </c>
      <c r="L1209" t="s">
        <v>971</v>
      </c>
      <c r="M1209" t="s">
        <v>972</v>
      </c>
      <c r="N1209" t="s">
        <v>973</v>
      </c>
      <c r="O1209" t="s">
        <v>234</v>
      </c>
      <c r="P1209">
        <v>24</v>
      </c>
      <c r="U1209" t="s">
        <v>213</v>
      </c>
      <c r="V1209" t="s">
        <v>168</v>
      </c>
      <c r="W1209" t="s">
        <v>92</v>
      </c>
      <c r="X1209" t="s">
        <v>93</v>
      </c>
      <c r="Y1209">
        <v>8</v>
      </c>
      <c r="Z1209" t="s">
        <v>94</v>
      </c>
      <c r="AB1209">
        <v>0.33800000000000002</v>
      </c>
      <c r="AG1209" t="s">
        <v>95</v>
      </c>
      <c r="AX1209" t="s">
        <v>523</v>
      </c>
      <c r="AY1209" t="s">
        <v>523</v>
      </c>
      <c r="AZ1209" t="s">
        <v>586</v>
      </c>
      <c r="BC1209">
        <v>3</v>
      </c>
      <c r="BH1209" t="s">
        <v>99</v>
      </c>
      <c r="BO1209" t="s">
        <v>111</v>
      </c>
      <c r="CD1209" t="s">
        <v>974</v>
      </c>
      <c r="CE1209">
        <v>158435</v>
      </c>
      <c r="CF1209" t="s">
        <v>975</v>
      </c>
      <c r="CG1209" t="s">
        <v>976</v>
      </c>
      <c r="CH1209">
        <v>2011</v>
      </c>
    </row>
    <row r="1210" spans="1:86" hidden="1" x14ac:dyDescent="0.25">
      <c r="A1210">
        <v>330541</v>
      </c>
      <c r="B1210" t="s">
        <v>86</v>
      </c>
      <c r="D1210" t="s">
        <v>87</v>
      </c>
      <c r="E1210" t="s">
        <v>106</v>
      </c>
      <c r="F1210">
        <v>95</v>
      </c>
      <c r="K1210" t="s">
        <v>1017</v>
      </c>
      <c r="L1210" t="s">
        <v>1018</v>
      </c>
      <c r="M1210" t="s">
        <v>972</v>
      </c>
      <c r="N1210" t="s">
        <v>973</v>
      </c>
      <c r="V1210" t="s">
        <v>91</v>
      </c>
      <c r="W1210" t="s">
        <v>107</v>
      </c>
      <c r="X1210" t="s">
        <v>93</v>
      </c>
      <c r="Y1210">
        <v>7</v>
      </c>
      <c r="Z1210" t="s">
        <v>94</v>
      </c>
      <c r="AB1210">
        <v>0.874</v>
      </c>
      <c r="AG1210" t="s">
        <v>95</v>
      </c>
      <c r="AX1210" t="s">
        <v>912</v>
      </c>
      <c r="AY1210" t="s">
        <v>1019</v>
      </c>
      <c r="AZ1210" t="s">
        <v>586</v>
      </c>
      <c r="BC1210">
        <v>1</v>
      </c>
      <c r="BH1210" t="s">
        <v>99</v>
      </c>
      <c r="BO1210" t="s">
        <v>111</v>
      </c>
      <c r="CD1210" t="s">
        <v>388</v>
      </c>
      <c r="CE1210">
        <v>178673</v>
      </c>
      <c r="CF1210" t="s">
        <v>389</v>
      </c>
      <c r="CG1210" t="s">
        <v>390</v>
      </c>
      <c r="CH1210">
        <v>2018</v>
      </c>
    </row>
    <row r="1211" spans="1:86" hidden="1" x14ac:dyDescent="0.25">
      <c r="A1211">
        <v>330541</v>
      </c>
      <c r="B1211" t="s">
        <v>86</v>
      </c>
      <c r="D1211" t="s">
        <v>87</v>
      </c>
      <c r="E1211" t="s">
        <v>106</v>
      </c>
      <c r="F1211">
        <v>98</v>
      </c>
      <c r="K1211" t="s">
        <v>970</v>
      </c>
      <c r="L1211" t="s">
        <v>971</v>
      </c>
      <c r="M1211" t="s">
        <v>972</v>
      </c>
      <c r="N1211" t="s">
        <v>973</v>
      </c>
      <c r="O1211" t="s">
        <v>234</v>
      </c>
      <c r="P1211">
        <v>24</v>
      </c>
      <c r="U1211" t="s">
        <v>213</v>
      </c>
      <c r="V1211" t="s">
        <v>168</v>
      </c>
      <c r="W1211" t="s">
        <v>92</v>
      </c>
      <c r="X1211" t="s">
        <v>93</v>
      </c>
      <c r="Y1211">
        <v>8</v>
      </c>
      <c r="Z1211" t="s">
        <v>94</v>
      </c>
      <c r="AB1211">
        <v>0.33800000000000002</v>
      </c>
      <c r="AG1211" t="s">
        <v>95</v>
      </c>
      <c r="AX1211" t="s">
        <v>523</v>
      </c>
      <c r="AY1211" t="s">
        <v>523</v>
      </c>
      <c r="AZ1211" t="s">
        <v>586</v>
      </c>
      <c r="BC1211">
        <v>2</v>
      </c>
      <c r="BH1211" t="s">
        <v>99</v>
      </c>
      <c r="BO1211" t="s">
        <v>111</v>
      </c>
      <c r="CD1211" t="s">
        <v>974</v>
      </c>
      <c r="CE1211">
        <v>158435</v>
      </c>
      <c r="CF1211" t="s">
        <v>975</v>
      </c>
      <c r="CG1211" t="s">
        <v>976</v>
      </c>
      <c r="CH1211">
        <v>2011</v>
      </c>
    </row>
    <row r="1212" spans="1:86" hidden="1" x14ac:dyDescent="0.25">
      <c r="A1212">
        <v>330541</v>
      </c>
      <c r="B1212" t="s">
        <v>86</v>
      </c>
      <c r="D1212" t="s">
        <v>87</v>
      </c>
      <c r="E1212" t="s">
        <v>106</v>
      </c>
      <c r="F1212">
        <v>98</v>
      </c>
      <c r="K1212" t="s">
        <v>970</v>
      </c>
      <c r="L1212" t="s">
        <v>971</v>
      </c>
      <c r="M1212" t="s">
        <v>972</v>
      </c>
      <c r="N1212" t="s">
        <v>973</v>
      </c>
      <c r="O1212" t="s">
        <v>234</v>
      </c>
      <c r="P1212">
        <v>24</v>
      </c>
      <c r="U1212" t="s">
        <v>213</v>
      </c>
      <c r="V1212" t="s">
        <v>168</v>
      </c>
      <c r="W1212" t="s">
        <v>92</v>
      </c>
      <c r="X1212" t="s">
        <v>93</v>
      </c>
      <c r="Y1212">
        <v>8</v>
      </c>
      <c r="Z1212" t="s">
        <v>94</v>
      </c>
      <c r="AB1212">
        <v>0.67700000000000005</v>
      </c>
      <c r="AG1212" t="s">
        <v>95</v>
      </c>
      <c r="AX1212" t="s">
        <v>523</v>
      </c>
      <c r="AY1212" t="s">
        <v>523</v>
      </c>
      <c r="AZ1212" t="s">
        <v>586</v>
      </c>
      <c r="BC1212">
        <v>1</v>
      </c>
      <c r="BH1212" t="s">
        <v>99</v>
      </c>
      <c r="BO1212" t="s">
        <v>111</v>
      </c>
      <c r="CD1212" t="s">
        <v>974</v>
      </c>
      <c r="CE1212">
        <v>158435</v>
      </c>
      <c r="CF1212" t="s">
        <v>975</v>
      </c>
      <c r="CG1212" t="s">
        <v>976</v>
      </c>
      <c r="CH1212">
        <v>2011</v>
      </c>
    </row>
    <row r="1213" spans="1:86" hidden="1" x14ac:dyDescent="0.25">
      <c r="A1213">
        <v>330541</v>
      </c>
      <c r="B1213" t="s">
        <v>86</v>
      </c>
      <c r="D1213" t="s">
        <v>87</v>
      </c>
      <c r="K1213" t="s">
        <v>1023</v>
      </c>
      <c r="L1213" t="s">
        <v>1024</v>
      </c>
      <c r="M1213" t="s">
        <v>972</v>
      </c>
      <c r="V1213" t="s">
        <v>491</v>
      </c>
      <c r="W1213" t="s">
        <v>92</v>
      </c>
      <c r="X1213" t="s">
        <v>559</v>
      </c>
      <c r="Y1213">
        <v>3</v>
      </c>
      <c r="Z1213" t="s">
        <v>94</v>
      </c>
      <c r="AB1213"/>
      <c r="AD1213">
        <v>1.082E-2</v>
      </c>
      <c r="AF1213">
        <v>1.136E-2</v>
      </c>
      <c r="AG1213" t="s">
        <v>95</v>
      </c>
      <c r="AX1213" t="s">
        <v>108</v>
      </c>
      <c r="AY1213" t="s">
        <v>174</v>
      </c>
      <c r="AZ1213" t="s">
        <v>586</v>
      </c>
      <c r="BC1213">
        <v>5</v>
      </c>
      <c r="BH1213" t="s">
        <v>99</v>
      </c>
      <c r="BO1213" t="s">
        <v>111</v>
      </c>
      <c r="CD1213" t="s">
        <v>728</v>
      </c>
      <c r="CE1213">
        <v>172395</v>
      </c>
      <c r="CF1213" t="s">
        <v>729</v>
      </c>
      <c r="CG1213" t="s">
        <v>730</v>
      </c>
      <c r="CH1213">
        <v>2011</v>
      </c>
    </row>
    <row r="1214" spans="1:86" hidden="1" x14ac:dyDescent="0.25">
      <c r="A1214">
        <v>330541</v>
      </c>
      <c r="B1214" t="s">
        <v>86</v>
      </c>
      <c r="D1214" t="s">
        <v>87</v>
      </c>
      <c r="K1214" t="s">
        <v>1025</v>
      </c>
      <c r="L1214" t="s">
        <v>1026</v>
      </c>
      <c r="M1214" t="s">
        <v>972</v>
      </c>
      <c r="N1214" t="s">
        <v>1022</v>
      </c>
      <c r="V1214" t="s">
        <v>491</v>
      </c>
      <c r="W1214" t="s">
        <v>92</v>
      </c>
      <c r="X1214" t="s">
        <v>559</v>
      </c>
      <c r="Y1214">
        <v>3</v>
      </c>
      <c r="Z1214" t="s">
        <v>94</v>
      </c>
      <c r="AB1214"/>
      <c r="AD1214">
        <v>1.082E-2</v>
      </c>
      <c r="AF1214">
        <v>1.136E-2</v>
      </c>
      <c r="AG1214" t="s">
        <v>95</v>
      </c>
      <c r="AX1214" t="s">
        <v>108</v>
      </c>
      <c r="AY1214" t="s">
        <v>174</v>
      </c>
      <c r="AZ1214" t="s">
        <v>586</v>
      </c>
      <c r="BC1214">
        <v>5</v>
      </c>
      <c r="BH1214" t="s">
        <v>99</v>
      </c>
      <c r="BO1214" t="s">
        <v>111</v>
      </c>
      <c r="CD1214" t="s">
        <v>728</v>
      </c>
      <c r="CE1214">
        <v>172395</v>
      </c>
      <c r="CF1214" t="s">
        <v>729</v>
      </c>
      <c r="CG1214" t="s">
        <v>730</v>
      </c>
      <c r="CH1214">
        <v>2011</v>
      </c>
    </row>
    <row r="1215" spans="1:86" hidden="1" x14ac:dyDescent="0.25">
      <c r="A1215">
        <v>330541</v>
      </c>
      <c r="B1215" t="s">
        <v>86</v>
      </c>
      <c r="C1215" t="s">
        <v>158</v>
      </c>
      <c r="D1215" t="s">
        <v>115</v>
      </c>
      <c r="K1215" t="s">
        <v>1010</v>
      </c>
      <c r="L1215" t="s">
        <v>1011</v>
      </c>
      <c r="M1215" t="s">
        <v>972</v>
      </c>
      <c r="N1215" t="s">
        <v>1012</v>
      </c>
      <c r="P1215">
        <v>1</v>
      </c>
      <c r="U1215" t="s">
        <v>911</v>
      </c>
      <c r="V1215" t="s">
        <v>91</v>
      </c>
      <c r="W1215" t="s">
        <v>107</v>
      </c>
      <c r="X1215" t="s">
        <v>93</v>
      </c>
      <c r="Z1215" t="s">
        <v>94</v>
      </c>
      <c r="AB1215">
        <v>1</v>
      </c>
      <c r="AG1215" t="s">
        <v>95</v>
      </c>
      <c r="AX1215" t="s">
        <v>523</v>
      </c>
      <c r="AY1215" t="s">
        <v>1013</v>
      </c>
      <c r="AZ1215" t="s">
        <v>586</v>
      </c>
      <c r="BC1215">
        <v>1</v>
      </c>
      <c r="BH1215" t="s">
        <v>99</v>
      </c>
      <c r="BO1215" t="s">
        <v>111</v>
      </c>
      <c r="CD1215" t="s">
        <v>1014</v>
      </c>
      <c r="CE1215">
        <v>102068</v>
      </c>
      <c r="CF1215" t="s">
        <v>1015</v>
      </c>
      <c r="CG1215" t="s">
        <v>1016</v>
      </c>
      <c r="CH1215">
        <v>2005</v>
      </c>
    </row>
    <row r="1216" spans="1:86" hidden="1" x14ac:dyDescent="0.25">
      <c r="A1216">
        <v>330541</v>
      </c>
      <c r="B1216" t="s">
        <v>86</v>
      </c>
      <c r="D1216" t="s">
        <v>87</v>
      </c>
      <c r="K1216" t="s">
        <v>1025</v>
      </c>
      <c r="L1216" t="s">
        <v>1026</v>
      </c>
      <c r="M1216" t="s">
        <v>972</v>
      </c>
      <c r="N1216" t="s">
        <v>1022</v>
      </c>
      <c r="V1216" t="s">
        <v>491</v>
      </c>
      <c r="W1216" t="s">
        <v>92</v>
      </c>
      <c r="X1216" t="s">
        <v>559</v>
      </c>
      <c r="Y1216">
        <v>3</v>
      </c>
      <c r="Z1216" t="s">
        <v>94</v>
      </c>
      <c r="AB1216"/>
      <c r="AD1216">
        <v>1.082E-2</v>
      </c>
      <c r="AF1216">
        <v>1.136E-2</v>
      </c>
      <c r="AG1216" t="s">
        <v>95</v>
      </c>
      <c r="AX1216" t="s">
        <v>108</v>
      </c>
      <c r="AY1216" t="s">
        <v>174</v>
      </c>
      <c r="AZ1216" t="s">
        <v>586</v>
      </c>
      <c r="BC1216">
        <v>5</v>
      </c>
      <c r="BH1216" t="s">
        <v>99</v>
      </c>
      <c r="BO1216" t="s">
        <v>111</v>
      </c>
      <c r="CD1216" t="s">
        <v>728</v>
      </c>
      <c r="CE1216">
        <v>172395</v>
      </c>
      <c r="CF1216" t="s">
        <v>729</v>
      </c>
      <c r="CG1216" t="s">
        <v>730</v>
      </c>
      <c r="CH1216">
        <v>2011</v>
      </c>
    </row>
    <row r="1217" spans="1:86" hidden="1" x14ac:dyDescent="0.25">
      <c r="A1217">
        <v>330541</v>
      </c>
      <c r="B1217" t="s">
        <v>86</v>
      </c>
      <c r="D1217" t="s">
        <v>87</v>
      </c>
      <c r="K1217" t="s">
        <v>1025</v>
      </c>
      <c r="L1217" t="s">
        <v>1026</v>
      </c>
      <c r="M1217" t="s">
        <v>972</v>
      </c>
      <c r="N1217" t="s">
        <v>1022</v>
      </c>
      <c r="V1217" t="s">
        <v>491</v>
      </c>
      <c r="W1217" t="s">
        <v>92</v>
      </c>
      <c r="X1217" t="s">
        <v>559</v>
      </c>
      <c r="Y1217">
        <v>3</v>
      </c>
      <c r="Z1217" t="s">
        <v>94</v>
      </c>
      <c r="AB1217"/>
      <c r="AD1217">
        <v>1.082E-2</v>
      </c>
      <c r="AF1217">
        <v>1.136E-2</v>
      </c>
      <c r="AG1217" t="s">
        <v>95</v>
      </c>
      <c r="AX1217" t="s">
        <v>108</v>
      </c>
      <c r="AY1217" t="s">
        <v>174</v>
      </c>
      <c r="AZ1217" t="s">
        <v>586</v>
      </c>
      <c r="BC1217">
        <v>5</v>
      </c>
      <c r="BH1217" t="s">
        <v>99</v>
      </c>
      <c r="BO1217" t="s">
        <v>111</v>
      </c>
      <c r="CD1217" t="s">
        <v>728</v>
      </c>
      <c r="CE1217">
        <v>172395</v>
      </c>
      <c r="CF1217" t="s">
        <v>729</v>
      </c>
      <c r="CG1217" t="s">
        <v>730</v>
      </c>
      <c r="CH1217">
        <v>2011</v>
      </c>
    </row>
    <row r="1218" spans="1:86" hidden="1" x14ac:dyDescent="0.25">
      <c r="A1218">
        <v>330541</v>
      </c>
      <c r="B1218" t="s">
        <v>86</v>
      </c>
      <c r="D1218" t="s">
        <v>87</v>
      </c>
      <c r="K1218" t="s">
        <v>1025</v>
      </c>
      <c r="L1218" t="s">
        <v>1026</v>
      </c>
      <c r="M1218" t="s">
        <v>972</v>
      </c>
      <c r="N1218" t="s">
        <v>1022</v>
      </c>
      <c r="V1218" t="s">
        <v>491</v>
      </c>
      <c r="W1218" t="s">
        <v>92</v>
      </c>
      <c r="X1218" t="s">
        <v>559</v>
      </c>
      <c r="Y1218">
        <v>3</v>
      </c>
      <c r="Z1218" t="s">
        <v>94</v>
      </c>
      <c r="AB1218"/>
      <c r="AD1218">
        <v>1.082E-2</v>
      </c>
      <c r="AF1218">
        <v>1.136E-2</v>
      </c>
      <c r="AG1218" t="s">
        <v>95</v>
      </c>
      <c r="AX1218" t="s">
        <v>108</v>
      </c>
      <c r="AY1218" t="s">
        <v>174</v>
      </c>
      <c r="AZ1218" t="s">
        <v>586</v>
      </c>
      <c r="BC1218">
        <v>5</v>
      </c>
      <c r="BH1218" t="s">
        <v>99</v>
      </c>
      <c r="BO1218" t="s">
        <v>111</v>
      </c>
      <c r="CD1218" t="s">
        <v>728</v>
      </c>
      <c r="CE1218">
        <v>172395</v>
      </c>
      <c r="CF1218" t="s">
        <v>729</v>
      </c>
      <c r="CG1218" t="s">
        <v>730</v>
      </c>
      <c r="CH1218">
        <v>2011</v>
      </c>
    </row>
    <row r="1219" spans="1:86" hidden="1" x14ac:dyDescent="0.25">
      <c r="A1219">
        <v>330541</v>
      </c>
      <c r="B1219" t="s">
        <v>86</v>
      </c>
      <c r="C1219" t="s">
        <v>158</v>
      </c>
      <c r="D1219" t="s">
        <v>115</v>
      </c>
      <c r="K1219" t="s">
        <v>1010</v>
      </c>
      <c r="L1219" t="s">
        <v>1011</v>
      </c>
      <c r="M1219" t="s">
        <v>972</v>
      </c>
      <c r="N1219" t="s">
        <v>1012</v>
      </c>
      <c r="P1219">
        <v>1</v>
      </c>
      <c r="U1219" t="s">
        <v>911</v>
      </c>
      <c r="V1219" t="s">
        <v>91</v>
      </c>
      <c r="W1219" t="s">
        <v>107</v>
      </c>
      <c r="X1219" t="s">
        <v>93</v>
      </c>
      <c r="Z1219" t="s">
        <v>94</v>
      </c>
      <c r="AB1219">
        <v>1</v>
      </c>
      <c r="AG1219" t="s">
        <v>95</v>
      </c>
      <c r="AX1219" t="s">
        <v>523</v>
      </c>
      <c r="AY1219" t="s">
        <v>1013</v>
      </c>
      <c r="AZ1219" t="s">
        <v>586</v>
      </c>
      <c r="BC1219">
        <v>2</v>
      </c>
      <c r="BH1219" t="s">
        <v>99</v>
      </c>
      <c r="BO1219" t="s">
        <v>111</v>
      </c>
      <c r="CD1219" t="s">
        <v>1014</v>
      </c>
      <c r="CE1219">
        <v>102068</v>
      </c>
      <c r="CF1219" t="s">
        <v>1015</v>
      </c>
      <c r="CG1219" t="s">
        <v>1016</v>
      </c>
      <c r="CH1219">
        <v>2005</v>
      </c>
    </row>
    <row r="1220" spans="1:86" hidden="1" x14ac:dyDescent="0.25">
      <c r="A1220">
        <v>330541</v>
      </c>
      <c r="B1220" t="s">
        <v>86</v>
      </c>
      <c r="D1220" t="s">
        <v>87</v>
      </c>
      <c r="E1220" t="s">
        <v>106</v>
      </c>
      <c r="F1220">
        <v>95</v>
      </c>
      <c r="K1220" t="s">
        <v>1017</v>
      </c>
      <c r="L1220" t="s">
        <v>1018</v>
      </c>
      <c r="M1220" t="s">
        <v>972</v>
      </c>
      <c r="N1220" t="s">
        <v>973</v>
      </c>
      <c r="V1220" t="s">
        <v>91</v>
      </c>
      <c r="W1220" t="s">
        <v>107</v>
      </c>
      <c r="X1220" t="s">
        <v>93</v>
      </c>
      <c r="Y1220">
        <v>7</v>
      </c>
      <c r="Z1220" t="s">
        <v>94</v>
      </c>
      <c r="AB1220">
        <v>3.4000000000000002E-2</v>
      </c>
      <c r="AG1220" t="s">
        <v>95</v>
      </c>
      <c r="AX1220" t="s">
        <v>912</v>
      </c>
      <c r="AY1220" t="s">
        <v>1019</v>
      </c>
      <c r="AZ1220" t="s">
        <v>586</v>
      </c>
      <c r="BC1220">
        <v>1</v>
      </c>
      <c r="BH1220" t="s">
        <v>99</v>
      </c>
      <c r="BO1220" t="s">
        <v>111</v>
      </c>
      <c r="CD1220" t="s">
        <v>388</v>
      </c>
      <c r="CE1220">
        <v>178673</v>
      </c>
      <c r="CF1220" t="s">
        <v>389</v>
      </c>
      <c r="CG1220" t="s">
        <v>390</v>
      </c>
      <c r="CH1220">
        <v>2018</v>
      </c>
    </row>
    <row r="1221" spans="1:86" hidden="1" x14ac:dyDescent="0.25">
      <c r="A1221">
        <v>330541</v>
      </c>
      <c r="B1221" t="s">
        <v>86</v>
      </c>
      <c r="C1221" t="s">
        <v>183</v>
      </c>
      <c r="D1221" t="s">
        <v>988</v>
      </c>
      <c r="E1221" t="s">
        <v>106</v>
      </c>
      <c r="F1221">
        <v>97</v>
      </c>
      <c r="K1221" t="s">
        <v>989</v>
      </c>
      <c r="L1221" t="s">
        <v>990</v>
      </c>
      <c r="M1221" t="s">
        <v>972</v>
      </c>
      <c r="V1221" t="s">
        <v>507</v>
      </c>
      <c r="W1221" t="s">
        <v>92</v>
      </c>
      <c r="X1221" t="s">
        <v>93</v>
      </c>
      <c r="Y1221">
        <v>7</v>
      </c>
      <c r="Z1221" t="s">
        <v>94</v>
      </c>
      <c r="AB1221">
        <v>5</v>
      </c>
      <c r="AG1221" t="s">
        <v>95</v>
      </c>
      <c r="AX1221" t="s">
        <v>523</v>
      </c>
      <c r="AY1221" t="s">
        <v>523</v>
      </c>
      <c r="AZ1221" t="s">
        <v>586</v>
      </c>
      <c r="BC1221">
        <v>4</v>
      </c>
      <c r="BH1221" t="s">
        <v>99</v>
      </c>
      <c r="BO1221" t="s">
        <v>111</v>
      </c>
      <c r="CD1221" t="s">
        <v>991</v>
      </c>
      <c r="CE1221">
        <v>121117</v>
      </c>
      <c r="CF1221" t="s">
        <v>992</v>
      </c>
      <c r="CG1221" t="s">
        <v>993</v>
      </c>
      <c r="CH1221">
        <v>2010</v>
      </c>
    </row>
    <row r="1222" spans="1:86" hidden="1" x14ac:dyDescent="0.25">
      <c r="A1222">
        <v>330541</v>
      </c>
      <c r="B1222" t="s">
        <v>86</v>
      </c>
      <c r="D1222" t="s">
        <v>115</v>
      </c>
      <c r="K1222" t="s">
        <v>1027</v>
      </c>
      <c r="L1222" t="s">
        <v>978</v>
      </c>
      <c r="M1222" t="s">
        <v>972</v>
      </c>
      <c r="V1222" t="s">
        <v>507</v>
      </c>
      <c r="W1222" t="s">
        <v>92</v>
      </c>
      <c r="X1222" t="s">
        <v>93</v>
      </c>
      <c r="Z1222" t="s">
        <v>137</v>
      </c>
      <c r="AB1222"/>
      <c r="AD1222">
        <v>0.05</v>
      </c>
      <c r="AF1222">
        <v>0.25</v>
      </c>
      <c r="AG1222" t="s">
        <v>95</v>
      </c>
      <c r="AX1222" t="s">
        <v>602</v>
      </c>
      <c r="AY1222" t="s">
        <v>843</v>
      </c>
      <c r="BE1222">
        <v>30</v>
      </c>
      <c r="BG1222">
        <v>50</v>
      </c>
      <c r="BH1222" t="s">
        <v>99</v>
      </c>
      <c r="BO1222" t="s">
        <v>111</v>
      </c>
      <c r="CD1222" t="s">
        <v>1028</v>
      </c>
      <c r="CE1222">
        <v>9260</v>
      </c>
      <c r="CF1222" t="s">
        <v>1029</v>
      </c>
      <c r="CG1222" t="s">
        <v>1030</v>
      </c>
      <c r="CH1222">
        <v>1972</v>
      </c>
    </row>
    <row r="1223" spans="1:86" hidden="1" x14ac:dyDescent="0.25">
      <c r="A1223">
        <v>330541</v>
      </c>
      <c r="B1223" t="s">
        <v>86</v>
      </c>
      <c r="D1223" t="s">
        <v>115</v>
      </c>
      <c r="K1223" t="s">
        <v>1006</v>
      </c>
      <c r="L1223" t="s">
        <v>978</v>
      </c>
      <c r="M1223" t="s">
        <v>972</v>
      </c>
      <c r="V1223" t="s">
        <v>507</v>
      </c>
      <c r="W1223" t="s">
        <v>92</v>
      </c>
      <c r="X1223" t="s">
        <v>93</v>
      </c>
      <c r="Z1223" t="s">
        <v>137</v>
      </c>
      <c r="AB1223"/>
      <c r="AD1223">
        <v>0.05</v>
      </c>
      <c r="AF1223">
        <v>0.25</v>
      </c>
      <c r="AG1223" t="s">
        <v>95</v>
      </c>
      <c r="AX1223" t="s">
        <v>196</v>
      </c>
      <c r="AY1223" t="s">
        <v>197</v>
      </c>
      <c r="BE1223">
        <v>30</v>
      </c>
      <c r="BG1223">
        <v>50</v>
      </c>
      <c r="BH1223" t="s">
        <v>99</v>
      </c>
      <c r="BO1223" t="s">
        <v>111</v>
      </c>
      <c r="CD1223" t="s">
        <v>1028</v>
      </c>
      <c r="CE1223">
        <v>9260</v>
      </c>
      <c r="CF1223" t="s">
        <v>1029</v>
      </c>
      <c r="CG1223" t="s">
        <v>1030</v>
      </c>
      <c r="CH1223">
        <v>1972</v>
      </c>
    </row>
    <row r="1224" spans="1:86" hidden="1" x14ac:dyDescent="0.25">
      <c r="A1224">
        <v>330541</v>
      </c>
      <c r="B1224" t="s">
        <v>86</v>
      </c>
      <c r="D1224" t="s">
        <v>115</v>
      </c>
      <c r="K1224" t="s">
        <v>1006</v>
      </c>
      <c r="L1224" t="s">
        <v>978</v>
      </c>
      <c r="M1224" t="s">
        <v>972</v>
      </c>
      <c r="V1224" t="s">
        <v>507</v>
      </c>
      <c r="W1224" t="s">
        <v>92</v>
      </c>
      <c r="X1224" t="s">
        <v>93</v>
      </c>
      <c r="Z1224" t="s">
        <v>137</v>
      </c>
      <c r="AB1224"/>
      <c r="AD1224">
        <v>0.05</v>
      </c>
      <c r="AF1224">
        <v>0.25</v>
      </c>
      <c r="AG1224" t="s">
        <v>95</v>
      </c>
      <c r="AX1224" t="s">
        <v>602</v>
      </c>
      <c r="AY1224" t="s">
        <v>843</v>
      </c>
      <c r="BE1224">
        <v>30</v>
      </c>
      <c r="BG1224">
        <v>50</v>
      </c>
      <c r="BH1224" t="s">
        <v>99</v>
      </c>
      <c r="BO1224" t="s">
        <v>111</v>
      </c>
      <c r="CD1224" t="s">
        <v>1028</v>
      </c>
      <c r="CE1224">
        <v>9260</v>
      </c>
      <c r="CF1224" t="s">
        <v>1029</v>
      </c>
      <c r="CG1224" t="s">
        <v>1030</v>
      </c>
      <c r="CH1224">
        <v>1972</v>
      </c>
    </row>
    <row r="1225" spans="1:86" hidden="1" x14ac:dyDescent="0.25">
      <c r="A1225">
        <v>330541</v>
      </c>
      <c r="B1225" t="s">
        <v>86</v>
      </c>
      <c r="D1225" t="s">
        <v>115</v>
      </c>
      <c r="K1225" t="s">
        <v>1031</v>
      </c>
      <c r="L1225" t="s">
        <v>978</v>
      </c>
      <c r="M1225" t="s">
        <v>972</v>
      </c>
      <c r="V1225" t="s">
        <v>507</v>
      </c>
      <c r="W1225" t="s">
        <v>92</v>
      </c>
      <c r="X1225" t="s">
        <v>93</v>
      </c>
      <c r="Z1225" t="s">
        <v>137</v>
      </c>
      <c r="AB1225"/>
      <c r="AD1225">
        <v>0.05</v>
      </c>
      <c r="AF1225">
        <v>0.25</v>
      </c>
      <c r="AG1225" t="s">
        <v>95</v>
      </c>
      <c r="AX1225" t="s">
        <v>196</v>
      </c>
      <c r="AY1225" t="s">
        <v>197</v>
      </c>
      <c r="BE1225">
        <v>30</v>
      </c>
      <c r="BG1225">
        <v>50</v>
      </c>
      <c r="BH1225" t="s">
        <v>99</v>
      </c>
      <c r="BO1225" t="s">
        <v>111</v>
      </c>
      <c r="CD1225" t="s">
        <v>1028</v>
      </c>
      <c r="CE1225">
        <v>9260</v>
      </c>
      <c r="CF1225" t="s">
        <v>1029</v>
      </c>
      <c r="CG1225" t="s">
        <v>1030</v>
      </c>
      <c r="CH1225">
        <v>1972</v>
      </c>
    </row>
    <row r="1226" spans="1:86" hidden="1" x14ac:dyDescent="0.25">
      <c r="A1226">
        <v>330541</v>
      </c>
      <c r="B1226" t="s">
        <v>86</v>
      </c>
      <c r="D1226" t="s">
        <v>115</v>
      </c>
      <c r="K1226" t="s">
        <v>1031</v>
      </c>
      <c r="L1226" t="s">
        <v>978</v>
      </c>
      <c r="M1226" t="s">
        <v>972</v>
      </c>
      <c r="W1226" t="s">
        <v>92</v>
      </c>
      <c r="X1226" t="s">
        <v>93</v>
      </c>
      <c r="Z1226" t="s">
        <v>137</v>
      </c>
      <c r="AA1226" t="s">
        <v>234</v>
      </c>
      <c r="AB1226">
        <v>0.1</v>
      </c>
      <c r="AG1226" t="s">
        <v>95</v>
      </c>
      <c r="AX1226" t="s">
        <v>602</v>
      </c>
      <c r="AY1226" t="s">
        <v>843</v>
      </c>
      <c r="BH1226" t="s">
        <v>627</v>
      </c>
      <c r="BO1226" t="s">
        <v>111</v>
      </c>
      <c r="CD1226" t="s">
        <v>1028</v>
      </c>
      <c r="CE1226">
        <v>9192</v>
      </c>
      <c r="CF1226" t="s">
        <v>1032</v>
      </c>
      <c r="CG1226" t="s">
        <v>1033</v>
      </c>
      <c r="CH1226">
        <v>1972</v>
      </c>
    </row>
    <row r="1227" spans="1:86" hidden="1" x14ac:dyDescent="0.25">
      <c r="A1227">
        <v>330541</v>
      </c>
      <c r="B1227" t="s">
        <v>86</v>
      </c>
      <c r="D1227" t="s">
        <v>115</v>
      </c>
      <c r="K1227" t="s">
        <v>1027</v>
      </c>
      <c r="L1227" t="s">
        <v>978</v>
      </c>
      <c r="M1227" t="s">
        <v>972</v>
      </c>
      <c r="V1227" t="s">
        <v>507</v>
      </c>
      <c r="W1227" t="s">
        <v>92</v>
      </c>
      <c r="X1227" t="s">
        <v>93</v>
      </c>
      <c r="Z1227" t="s">
        <v>137</v>
      </c>
      <c r="AB1227"/>
      <c r="AD1227">
        <v>0.05</v>
      </c>
      <c r="AF1227">
        <v>0.25</v>
      </c>
      <c r="AG1227" t="s">
        <v>95</v>
      </c>
      <c r="AX1227" t="s">
        <v>196</v>
      </c>
      <c r="AY1227" t="s">
        <v>197</v>
      </c>
      <c r="BE1227">
        <v>30</v>
      </c>
      <c r="BG1227">
        <v>50</v>
      </c>
      <c r="BH1227" t="s">
        <v>99</v>
      </c>
      <c r="BO1227" t="s">
        <v>111</v>
      </c>
      <c r="CD1227" t="s">
        <v>1028</v>
      </c>
      <c r="CE1227">
        <v>9260</v>
      </c>
      <c r="CF1227" t="s">
        <v>1029</v>
      </c>
      <c r="CG1227" t="s">
        <v>1030</v>
      </c>
      <c r="CH1227">
        <v>1972</v>
      </c>
    </row>
    <row r="1228" spans="1:86" hidden="1" x14ac:dyDescent="0.25">
      <c r="A1228">
        <v>330541</v>
      </c>
      <c r="B1228" t="s">
        <v>86</v>
      </c>
      <c r="D1228" t="s">
        <v>115</v>
      </c>
      <c r="K1228" t="s">
        <v>1034</v>
      </c>
      <c r="L1228" t="s">
        <v>1035</v>
      </c>
      <c r="M1228" t="s">
        <v>972</v>
      </c>
      <c r="N1228" t="s">
        <v>1036</v>
      </c>
      <c r="V1228" t="s">
        <v>91</v>
      </c>
      <c r="W1228" t="s">
        <v>92</v>
      </c>
      <c r="X1228" t="s">
        <v>93</v>
      </c>
      <c r="Z1228" t="s">
        <v>137</v>
      </c>
      <c r="AB1228">
        <v>0.5</v>
      </c>
      <c r="AG1228" t="s">
        <v>95</v>
      </c>
      <c r="AX1228" t="s">
        <v>144</v>
      </c>
      <c r="AY1228" t="s">
        <v>810</v>
      </c>
      <c r="BC1228">
        <v>4.1700000000000001E-2</v>
      </c>
      <c r="BH1228" t="s">
        <v>99</v>
      </c>
      <c r="BO1228" t="s">
        <v>111</v>
      </c>
      <c r="CD1228" t="s">
        <v>1037</v>
      </c>
      <c r="CE1228">
        <v>5036</v>
      </c>
      <c r="CF1228" t="s">
        <v>1038</v>
      </c>
      <c r="CG1228" t="s">
        <v>1039</v>
      </c>
      <c r="CH1228">
        <v>1980</v>
      </c>
    </row>
    <row r="1229" spans="1:86" hidden="1" x14ac:dyDescent="0.25">
      <c r="A1229">
        <v>330541</v>
      </c>
      <c r="B1229" t="s">
        <v>86</v>
      </c>
      <c r="D1229" t="s">
        <v>115</v>
      </c>
      <c r="K1229" t="s">
        <v>1031</v>
      </c>
      <c r="L1229" t="s">
        <v>978</v>
      </c>
      <c r="M1229" t="s">
        <v>972</v>
      </c>
      <c r="V1229" t="s">
        <v>507</v>
      </c>
      <c r="W1229" t="s">
        <v>92</v>
      </c>
      <c r="X1229" t="s">
        <v>93</v>
      </c>
      <c r="Z1229" t="s">
        <v>137</v>
      </c>
      <c r="AB1229"/>
      <c r="AD1229">
        <v>0.05</v>
      </c>
      <c r="AF1229">
        <v>0.25</v>
      </c>
      <c r="AG1229" t="s">
        <v>95</v>
      </c>
      <c r="AX1229" t="s">
        <v>523</v>
      </c>
      <c r="AY1229" t="s">
        <v>523</v>
      </c>
      <c r="BC1229">
        <v>30</v>
      </c>
      <c r="BH1229" t="s">
        <v>99</v>
      </c>
      <c r="BO1229" t="s">
        <v>111</v>
      </c>
      <c r="CD1229" t="s">
        <v>1028</v>
      </c>
      <c r="CE1229">
        <v>9193</v>
      </c>
      <c r="CF1229" t="s">
        <v>1040</v>
      </c>
      <c r="CG1229" t="s">
        <v>1041</v>
      </c>
      <c r="CH1229">
        <v>1972</v>
      </c>
    </row>
    <row r="1230" spans="1:86" hidden="1" x14ac:dyDescent="0.25">
      <c r="A1230">
        <v>330541</v>
      </c>
      <c r="B1230" t="s">
        <v>86</v>
      </c>
      <c r="D1230" t="s">
        <v>115</v>
      </c>
      <c r="K1230" t="s">
        <v>1031</v>
      </c>
      <c r="L1230" t="s">
        <v>978</v>
      </c>
      <c r="M1230" t="s">
        <v>972</v>
      </c>
      <c r="V1230" t="s">
        <v>507</v>
      </c>
      <c r="W1230" t="s">
        <v>92</v>
      </c>
      <c r="X1230" t="s">
        <v>93</v>
      </c>
      <c r="Z1230" t="s">
        <v>137</v>
      </c>
      <c r="AB1230">
        <v>0.05</v>
      </c>
      <c r="AG1230" t="s">
        <v>95</v>
      </c>
      <c r="AX1230" t="s">
        <v>602</v>
      </c>
      <c r="AY1230" t="s">
        <v>843</v>
      </c>
      <c r="BE1230">
        <v>30</v>
      </c>
      <c r="BG1230">
        <v>50</v>
      </c>
      <c r="BH1230" t="s">
        <v>99</v>
      </c>
      <c r="BO1230" t="s">
        <v>111</v>
      </c>
      <c r="CD1230" t="s">
        <v>1028</v>
      </c>
      <c r="CE1230">
        <v>9260</v>
      </c>
      <c r="CF1230" t="s">
        <v>1029</v>
      </c>
      <c r="CG1230" t="s">
        <v>1030</v>
      </c>
      <c r="CH1230">
        <v>1972</v>
      </c>
    </row>
    <row r="1231" spans="1:86" hidden="1" x14ac:dyDescent="0.25">
      <c r="A1231">
        <v>330541</v>
      </c>
      <c r="B1231" t="s">
        <v>86</v>
      </c>
      <c r="D1231" t="s">
        <v>87</v>
      </c>
      <c r="E1231" t="s">
        <v>106</v>
      </c>
      <c r="F1231">
        <v>98</v>
      </c>
      <c r="K1231" t="s">
        <v>970</v>
      </c>
      <c r="L1231" t="s">
        <v>971</v>
      </c>
      <c r="M1231" t="s">
        <v>972</v>
      </c>
      <c r="N1231" t="s">
        <v>973</v>
      </c>
      <c r="O1231" t="s">
        <v>234</v>
      </c>
      <c r="P1231">
        <v>24</v>
      </c>
      <c r="U1231" t="s">
        <v>213</v>
      </c>
      <c r="V1231" t="s">
        <v>168</v>
      </c>
      <c r="W1231" t="s">
        <v>92</v>
      </c>
      <c r="X1231" t="s">
        <v>93</v>
      </c>
      <c r="Y1231">
        <v>8</v>
      </c>
      <c r="Z1231" t="s">
        <v>94</v>
      </c>
      <c r="AB1231"/>
      <c r="AD1231">
        <v>0.33800000000000002</v>
      </c>
      <c r="AF1231">
        <v>0.67700000000000005</v>
      </c>
      <c r="AG1231" t="s">
        <v>95</v>
      </c>
      <c r="AX1231" t="s">
        <v>523</v>
      </c>
      <c r="AY1231" t="s">
        <v>523</v>
      </c>
      <c r="BC1231">
        <v>3</v>
      </c>
      <c r="BH1231" t="s">
        <v>99</v>
      </c>
      <c r="BO1231" t="s">
        <v>111</v>
      </c>
      <c r="CD1231" t="s">
        <v>974</v>
      </c>
      <c r="CE1231">
        <v>158435</v>
      </c>
      <c r="CF1231" t="s">
        <v>975</v>
      </c>
      <c r="CG1231" t="s">
        <v>976</v>
      </c>
      <c r="CH1231">
        <v>2011</v>
      </c>
    </row>
    <row r="1232" spans="1:86" hidden="1" x14ac:dyDescent="0.25">
      <c r="A1232">
        <v>330541</v>
      </c>
      <c r="B1232" t="s">
        <v>86</v>
      </c>
      <c r="D1232" t="s">
        <v>115</v>
      </c>
      <c r="K1232" t="s">
        <v>1023</v>
      </c>
      <c r="L1232" t="s">
        <v>1024</v>
      </c>
      <c r="M1232" t="s">
        <v>972</v>
      </c>
      <c r="V1232" t="s">
        <v>91</v>
      </c>
      <c r="W1232" t="s">
        <v>92</v>
      </c>
      <c r="X1232" t="s">
        <v>93</v>
      </c>
      <c r="Z1232" t="s">
        <v>137</v>
      </c>
      <c r="AB1232"/>
      <c r="AD1232">
        <v>5.0000000000000001E-3</v>
      </c>
      <c r="AF1232">
        <v>0.25</v>
      </c>
      <c r="AG1232" t="s">
        <v>95</v>
      </c>
      <c r="AX1232" t="s">
        <v>602</v>
      </c>
      <c r="AY1232" t="s">
        <v>843</v>
      </c>
      <c r="BH1232" t="s">
        <v>627</v>
      </c>
      <c r="BO1232" t="s">
        <v>111</v>
      </c>
      <c r="CD1232" t="s">
        <v>1042</v>
      </c>
      <c r="CE1232">
        <v>47</v>
      </c>
      <c r="CF1232" t="s">
        <v>1043</v>
      </c>
      <c r="CG1232" t="s">
        <v>1044</v>
      </c>
      <c r="CH1232">
        <v>1975</v>
      </c>
    </row>
    <row r="1233" spans="1:86" hidden="1" x14ac:dyDescent="0.25">
      <c r="A1233">
        <v>330541</v>
      </c>
      <c r="B1233" t="s">
        <v>86</v>
      </c>
      <c r="D1233" t="s">
        <v>115</v>
      </c>
      <c r="K1233" t="s">
        <v>1031</v>
      </c>
      <c r="L1233" t="s">
        <v>978</v>
      </c>
      <c r="M1233" t="s">
        <v>972</v>
      </c>
      <c r="V1233" t="s">
        <v>507</v>
      </c>
      <c r="W1233" t="s">
        <v>92</v>
      </c>
      <c r="X1233" t="s">
        <v>93</v>
      </c>
      <c r="Z1233" t="s">
        <v>137</v>
      </c>
      <c r="AB1233">
        <v>0.05</v>
      </c>
      <c r="AG1233" t="s">
        <v>95</v>
      </c>
      <c r="AX1233" t="s">
        <v>602</v>
      </c>
      <c r="AY1233" t="s">
        <v>843</v>
      </c>
      <c r="BC1233">
        <v>30</v>
      </c>
      <c r="BH1233" t="s">
        <v>99</v>
      </c>
      <c r="BO1233" t="s">
        <v>111</v>
      </c>
      <c r="CD1233" t="s">
        <v>1028</v>
      </c>
      <c r="CE1233">
        <v>9193</v>
      </c>
      <c r="CF1233" t="s">
        <v>1040</v>
      </c>
      <c r="CG1233" t="s">
        <v>1041</v>
      </c>
      <c r="CH1233">
        <v>1972</v>
      </c>
    </row>
    <row r="1234" spans="1:86" x14ac:dyDescent="0.25">
      <c r="A1234">
        <v>330541</v>
      </c>
      <c r="B1234" t="s">
        <v>86</v>
      </c>
      <c r="D1234" t="s">
        <v>87</v>
      </c>
      <c r="K1234" t="s">
        <v>1045</v>
      </c>
      <c r="L1234" t="s">
        <v>978</v>
      </c>
      <c r="M1234" t="s">
        <v>1046</v>
      </c>
      <c r="V1234" t="s">
        <v>91</v>
      </c>
      <c r="W1234" t="s">
        <v>92</v>
      </c>
      <c r="X1234" t="s">
        <v>93</v>
      </c>
      <c r="Z1234" t="s">
        <v>94</v>
      </c>
      <c r="AB1234">
        <v>0.159</v>
      </c>
      <c r="AG1234" t="s">
        <v>95</v>
      </c>
      <c r="AX1234" t="s">
        <v>96</v>
      </c>
      <c r="AY1234" t="s">
        <v>97</v>
      </c>
      <c r="AZ1234" t="s">
        <v>98</v>
      </c>
      <c r="BC1234">
        <v>33</v>
      </c>
      <c r="BH1234" t="s">
        <v>99</v>
      </c>
      <c r="BJ1234">
        <v>260</v>
      </c>
      <c r="BO1234" t="s">
        <v>100</v>
      </c>
      <c r="CD1234" t="s">
        <v>101</v>
      </c>
      <c r="CE1234">
        <v>682</v>
      </c>
      <c r="CF1234" t="s">
        <v>102</v>
      </c>
      <c r="CG1234" t="s">
        <v>103</v>
      </c>
      <c r="CH1234">
        <v>1976</v>
      </c>
    </row>
    <row r="1235" spans="1:86" hidden="1" x14ac:dyDescent="0.25">
      <c r="A1235">
        <v>330541</v>
      </c>
      <c r="B1235" t="s">
        <v>86</v>
      </c>
      <c r="D1235" t="s">
        <v>115</v>
      </c>
      <c r="K1235" t="s">
        <v>1047</v>
      </c>
      <c r="L1235" t="s">
        <v>978</v>
      </c>
      <c r="M1235" t="s">
        <v>1046</v>
      </c>
      <c r="N1235" t="s">
        <v>233</v>
      </c>
      <c r="O1235" t="s">
        <v>234</v>
      </c>
      <c r="P1235">
        <v>24</v>
      </c>
      <c r="U1235" t="s">
        <v>213</v>
      </c>
      <c r="V1235" t="s">
        <v>91</v>
      </c>
      <c r="W1235" t="s">
        <v>92</v>
      </c>
      <c r="X1235" t="s">
        <v>93</v>
      </c>
      <c r="Z1235" t="s">
        <v>137</v>
      </c>
      <c r="AB1235">
        <v>1.7</v>
      </c>
      <c r="AD1235">
        <v>1.5</v>
      </c>
      <c r="AF1235">
        <v>2</v>
      </c>
      <c r="AG1235" t="s">
        <v>95</v>
      </c>
      <c r="AX1235" t="s">
        <v>980</v>
      </c>
      <c r="AY1235" t="s">
        <v>981</v>
      </c>
      <c r="AZ1235" t="s">
        <v>214</v>
      </c>
      <c r="BC1235">
        <v>2</v>
      </c>
      <c r="BH1235" t="s">
        <v>99</v>
      </c>
      <c r="BO1235" t="s">
        <v>111</v>
      </c>
      <c r="CD1235" t="s">
        <v>1048</v>
      </c>
      <c r="CE1235">
        <v>67777</v>
      </c>
      <c r="CF1235" t="s">
        <v>1049</v>
      </c>
      <c r="CG1235" t="s">
        <v>1050</v>
      </c>
      <c r="CH1235">
        <v>1998</v>
      </c>
    </row>
    <row r="1236" spans="1:86" hidden="1" x14ac:dyDescent="0.25">
      <c r="A1236">
        <v>330541</v>
      </c>
      <c r="B1236" t="s">
        <v>86</v>
      </c>
      <c r="D1236" t="s">
        <v>115</v>
      </c>
      <c r="K1236" t="s">
        <v>1047</v>
      </c>
      <c r="L1236" t="s">
        <v>978</v>
      </c>
      <c r="M1236" t="s">
        <v>1046</v>
      </c>
      <c r="N1236" t="s">
        <v>233</v>
      </c>
      <c r="O1236" t="s">
        <v>234</v>
      </c>
      <c r="P1236">
        <v>24</v>
      </c>
      <c r="U1236" t="s">
        <v>213</v>
      </c>
      <c r="V1236" t="s">
        <v>91</v>
      </c>
      <c r="W1236" t="s">
        <v>92</v>
      </c>
      <c r="X1236" t="s">
        <v>93</v>
      </c>
      <c r="Z1236" t="s">
        <v>137</v>
      </c>
      <c r="AB1236">
        <v>1</v>
      </c>
      <c r="AD1236">
        <v>0.9</v>
      </c>
      <c r="AF1236">
        <v>1.1000000000000001</v>
      </c>
      <c r="AG1236" t="s">
        <v>95</v>
      </c>
      <c r="AX1236" t="s">
        <v>980</v>
      </c>
      <c r="AY1236" t="s">
        <v>981</v>
      </c>
      <c r="AZ1236" t="s">
        <v>214</v>
      </c>
      <c r="BC1236">
        <v>2</v>
      </c>
      <c r="BH1236" t="s">
        <v>99</v>
      </c>
      <c r="BO1236" t="s">
        <v>111</v>
      </c>
      <c r="CD1236" t="s">
        <v>1048</v>
      </c>
      <c r="CE1236">
        <v>67777</v>
      </c>
      <c r="CF1236" t="s">
        <v>1049</v>
      </c>
      <c r="CG1236" t="s">
        <v>1050</v>
      </c>
      <c r="CH1236">
        <v>1998</v>
      </c>
    </row>
    <row r="1237" spans="1:86" x14ac:dyDescent="0.25">
      <c r="A1237">
        <v>330541</v>
      </c>
      <c r="B1237" t="s">
        <v>86</v>
      </c>
      <c r="D1237" t="s">
        <v>115</v>
      </c>
      <c r="K1237" t="s">
        <v>1045</v>
      </c>
      <c r="L1237" t="s">
        <v>978</v>
      </c>
      <c r="M1237" t="s">
        <v>1046</v>
      </c>
      <c r="N1237" t="s">
        <v>945</v>
      </c>
      <c r="P1237">
        <v>1</v>
      </c>
      <c r="U1237" t="s">
        <v>979</v>
      </c>
      <c r="V1237" t="s">
        <v>91</v>
      </c>
      <c r="W1237" t="s">
        <v>92</v>
      </c>
      <c r="X1237" t="s">
        <v>93</v>
      </c>
      <c r="Z1237" t="s">
        <v>137</v>
      </c>
      <c r="AB1237">
        <v>47</v>
      </c>
      <c r="AD1237">
        <v>41.6</v>
      </c>
      <c r="AF1237">
        <v>53.1</v>
      </c>
      <c r="AG1237" t="s">
        <v>95</v>
      </c>
      <c r="AX1237" t="s">
        <v>980</v>
      </c>
      <c r="AY1237" t="s">
        <v>981</v>
      </c>
      <c r="AZ1237" t="s">
        <v>214</v>
      </c>
      <c r="BC1237">
        <v>1.0832999999999999</v>
      </c>
      <c r="BH1237" t="s">
        <v>99</v>
      </c>
      <c r="BO1237" t="s">
        <v>111</v>
      </c>
      <c r="CD1237" t="s">
        <v>1051</v>
      </c>
      <c r="CE1237">
        <v>2775</v>
      </c>
      <c r="CF1237" t="s">
        <v>1052</v>
      </c>
      <c r="CG1237" t="s">
        <v>1053</v>
      </c>
      <c r="CH1237">
        <v>1966</v>
      </c>
    </row>
    <row r="1238" spans="1:86" hidden="1" x14ac:dyDescent="0.25">
      <c r="A1238">
        <v>330541</v>
      </c>
      <c r="B1238" t="s">
        <v>86</v>
      </c>
      <c r="D1238" t="s">
        <v>115</v>
      </c>
      <c r="K1238" t="s">
        <v>1047</v>
      </c>
      <c r="L1238" t="s">
        <v>978</v>
      </c>
      <c r="M1238" t="s">
        <v>1046</v>
      </c>
      <c r="N1238" t="s">
        <v>233</v>
      </c>
      <c r="O1238" t="s">
        <v>234</v>
      </c>
      <c r="P1238">
        <v>24</v>
      </c>
      <c r="U1238" t="s">
        <v>213</v>
      </c>
      <c r="V1238" t="s">
        <v>91</v>
      </c>
      <c r="W1238" t="s">
        <v>92</v>
      </c>
      <c r="X1238" t="s">
        <v>93</v>
      </c>
      <c r="Z1238" t="s">
        <v>137</v>
      </c>
      <c r="AB1238">
        <v>1.2</v>
      </c>
      <c r="AD1238">
        <v>1.1000000000000001</v>
      </c>
      <c r="AF1238">
        <v>1.4</v>
      </c>
      <c r="AG1238" t="s">
        <v>95</v>
      </c>
      <c r="AX1238" t="s">
        <v>980</v>
      </c>
      <c r="AY1238" t="s">
        <v>981</v>
      </c>
      <c r="AZ1238" t="s">
        <v>214</v>
      </c>
      <c r="BC1238">
        <v>1</v>
      </c>
      <c r="BH1238" t="s">
        <v>99</v>
      </c>
      <c r="BO1238" t="s">
        <v>111</v>
      </c>
      <c r="CD1238" t="s">
        <v>1048</v>
      </c>
      <c r="CE1238">
        <v>67777</v>
      </c>
      <c r="CF1238" t="s">
        <v>1049</v>
      </c>
      <c r="CG1238" t="s">
        <v>1050</v>
      </c>
      <c r="CH1238">
        <v>1998</v>
      </c>
    </row>
    <row r="1239" spans="1:86" x14ac:dyDescent="0.25">
      <c r="A1239">
        <v>330541</v>
      </c>
      <c r="B1239" t="s">
        <v>86</v>
      </c>
      <c r="D1239" t="s">
        <v>115</v>
      </c>
      <c r="K1239" t="s">
        <v>1045</v>
      </c>
      <c r="L1239" t="s">
        <v>978</v>
      </c>
      <c r="M1239" t="s">
        <v>1046</v>
      </c>
      <c r="N1239" t="s">
        <v>233</v>
      </c>
      <c r="V1239" t="s">
        <v>91</v>
      </c>
      <c r="W1239" t="s">
        <v>92</v>
      </c>
      <c r="X1239" t="s">
        <v>93</v>
      </c>
      <c r="Z1239" t="s">
        <v>137</v>
      </c>
      <c r="AB1239">
        <v>8.6</v>
      </c>
      <c r="AG1239" t="s">
        <v>95</v>
      </c>
      <c r="AX1239" t="s">
        <v>980</v>
      </c>
      <c r="AY1239" t="s">
        <v>981</v>
      </c>
      <c r="AZ1239" t="s">
        <v>214</v>
      </c>
      <c r="BA1239" t="s">
        <v>179</v>
      </c>
      <c r="BC1239">
        <v>2</v>
      </c>
      <c r="BH1239" t="s">
        <v>99</v>
      </c>
      <c r="BO1239" t="s">
        <v>111</v>
      </c>
      <c r="CD1239" t="s">
        <v>363</v>
      </c>
      <c r="CE1239">
        <v>152874</v>
      </c>
      <c r="CF1239" t="s">
        <v>364</v>
      </c>
      <c r="CG1239" t="s">
        <v>365</v>
      </c>
      <c r="CH1239">
        <v>2005</v>
      </c>
    </row>
    <row r="1240" spans="1:86" x14ac:dyDescent="0.25">
      <c r="A1240">
        <v>330541</v>
      </c>
      <c r="B1240" t="s">
        <v>86</v>
      </c>
      <c r="C1240" t="s">
        <v>1054</v>
      </c>
      <c r="D1240" t="s">
        <v>115</v>
      </c>
      <c r="E1240" t="s">
        <v>499</v>
      </c>
      <c r="F1240">
        <v>99.4</v>
      </c>
      <c r="K1240" t="s">
        <v>1045</v>
      </c>
      <c r="L1240" t="s">
        <v>978</v>
      </c>
      <c r="M1240" t="s">
        <v>1046</v>
      </c>
      <c r="N1240" t="s">
        <v>233</v>
      </c>
      <c r="V1240" t="s">
        <v>91</v>
      </c>
      <c r="W1240" t="s">
        <v>92</v>
      </c>
      <c r="X1240" t="s">
        <v>93</v>
      </c>
      <c r="Y1240">
        <v>6</v>
      </c>
      <c r="Z1240" t="s">
        <v>94</v>
      </c>
      <c r="AB1240">
        <v>7.2</v>
      </c>
      <c r="AG1240" t="s">
        <v>95</v>
      </c>
      <c r="AX1240" t="s">
        <v>980</v>
      </c>
      <c r="AY1240" t="s">
        <v>981</v>
      </c>
      <c r="AZ1240" t="s">
        <v>214</v>
      </c>
      <c r="BC1240">
        <v>2</v>
      </c>
      <c r="BH1240" t="s">
        <v>99</v>
      </c>
      <c r="BO1240" t="s">
        <v>111</v>
      </c>
      <c r="CD1240" t="s">
        <v>1055</v>
      </c>
      <c r="CE1240">
        <v>179060</v>
      </c>
      <c r="CF1240" t="s">
        <v>1056</v>
      </c>
      <c r="CG1240" t="s">
        <v>1057</v>
      </c>
      <c r="CH1240">
        <v>2016</v>
      </c>
    </row>
    <row r="1241" spans="1:86" hidden="1" x14ac:dyDescent="0.25">
      <c r="A1241">
        <v>330541</v>
      </c>
      <c r="B1241" t="s">
        <v>86</v>
      </c>
      <c r="D1241" t="s">
        <v>115</v>
      </c>
      <c r="K1241" t="s">
        <v>1047</v>
      </c>
      <c r="L1241" t="s">
        <v>978</v>
      </c>
      <c r="M1241" t="s">
        <v>1046</v>
      </c>
      <c r="N1241" t="s">
        <v>233</v>
      </c>
      <c r="O1241" t="s">
        <v>234</v>
      </c>
      <c r="P1241">
        <v>24</v>
      </c>
      <c r="U1241" t="s">
        <v>213</v>
      </c>
      <c r="V1241" t="s">
        <v>91</v>
      </c>
      <c r="W1241" t="s">
        <v>92</v>
      </c>
      <c r="X1241" t="s">
        <v>93</v>
      </c>
      <c r="Z1241" t="s">
        <v>137</v>
      </c>
      <c r="AB1241">
        <v>2.2999999999999998</v>
      </c>
      <c r="AD1241">
        <v>2.1</v>
      </c>
      <c r="AF1241">
        <v>2.5</v>
      </c>
      <c r="AG1241" t="s">
        <v>95</v>
      </c>
      <c r="AX1241" t="s">
        <v>980</v>
      </c>
      <c r="AY1241" t="s">
        <v>981</v>
      </c>
      <c r="AZ1241" t="s">
        <v>214</v>
      </c>
      <c r="BC1241">
        <v>1</v>
      </c>
      <c r="BH1241" t="s">
        <v>99</v>
      </c>
      <c r="BO1241" t="s">
        <v>111</v>
      </c>
      <c r="CD1241" t="s">
        <v>1048</v>
      </c>
      <c r="CE1241">
        <v>67777</v>
      </c>
      <c r="CF1241" t="s">
        <v>1049</v>
      </c>
      <c r="CG1241" t="s">
        <v>1050</v>
      </c>
      <c r="CH1241">
        <v>1998</v>
      </c>
    </row>
    <row r="1242" spans="1:86" x14ac:dyDescent="0.25">
      <c r="A1242">
        <v>330541</v>
      </c>
      <c r="B1242" t="s">
        <v>86</v>
      </c>
      <c r="D1242" t="s">
        <v>115</v>
      </c>
      <c r="K1242" t="s">
        <v>1045</v>
      </c>
      <c r="L1242" t="s">
        <v>978</v>
      </c>
      <c r="M1242" t="s">
        <v>1046</v>
      </c>
      <c r="W1242" t="s">
        <v>92</v>
      </c>
      <c r="X1242" t="s">
        <v>93</v>
      </c>
      <c r="Z1242" t="s">
        <v>137</v>
      </c>
      <c r="AB1242">
        <v>8.6</v>
      </c>
      <c r="AG1242" t="s">
        <v>95</v>
      </c>
      <c r="AX1242" t="s">
        <v>980</v>
      </c>
      <c r="AY1242" t="s">
        <v>981</v>
      </c>
      <c r="AZ1242" t="s">
        <v>214</v>
      </c>
      <c r="BC1242">
        <v>2</v>
      </c>
      <c r="BH1242" t="s">
        <v>99</v>
      </c>
      <c r="BO1242" t="s">
        <v>111</v>
      </c>
      <c r="CD1242" t="s">
        <v>261</v>
      </c>
      <c r="CE1242">
        <v>112129</v>
      </c>
      <c r="CF1242" t="s">
        <v>262</v>
      </c>
      <c r="CG1242" t="s">
        <v>263</v>
      </c>
      <c r="CH1242">
        <v>2002</v>
      </c>
    </row>
    <row r="1243" spans="1:86" x14ac:dyDescent="0.25">
      <c r="A1243">
        <v>330541</v>
      </c>
      <c r="B1243" t="s">
        <v>86</v>
      </c>
      <c r="D1243" t="s">
        <v>115</v>
      </c>
      <c r="K1243" t="s">
        <v>1045</v>
      </c>
      <c r="L1243" t="s">
        <v>978</v>
      </c>
      <c r="M1243" t="s">
        <v>1046</v>
      </c>
      <c r="P1243">
        <v>24</v>
      </c>
      <c r="U1243" t="s">
        <v>213</v>
      </c>
      <c r="V1243" t="s">
        <v>91</v>
      </c>
      <c r="W1243" t="s">
        <v>92</v>
      </c>
      <c r="X1243" t="s">
        <v>93</v>
      </c>
      <c r="Z1243" t="s">
        <v>137</v>
      </c>
      <c r="AB1243">
        <v>8.6</v>
      </c>
      <c r="AG1243" t="s">
        <v>95</v>
      </c>
      <c r="AX1243" t="s">
        <v>980</v>
      </c>
      <c r="AY1243" t="s">
        <v>981</v>
      </c>
      <c r="AZ1243" t="s">
        <v>214</v>
      </c>
      <c r="BC1243">
        <v>2</v>
      </c>
      <c r="BH1243" t="s">
        <v>99</v>
      </c>
      <c r="BO1243" t="s">
        <v>111</v>
      </c>
      <c r="CD1243" t="s">
        <v>1058</v>
      </c>
      <c r="CE1243">
        <v>72537</v>
      </c>
      <c r="CF1243" t="s">
        <v>1059</v>
      </c>
      <c r="CG1243" t="s">
        <v>1060</v>
      </c>
      <c r="CH1243">
        <v>2003</v>
      </c>
    </row>
    <row r="1244" spans="1:86" x14ac:dyDescent="0.25">
      <c r="A1244">
        <v>330541</v>
      </c>
      <c r="B1244" t="s">
        <v>86</v>
      </c>
      <c r="F1244">
        <v>80</v>
      </c>
      <c r="K1244" t="s">
        <v>1045</v>
      </c>
      <c r="L1244" t="s">
        <v>978</v>
      </c>
      <c r="M1244" t="s">
        <v>1046</v>
      </c>
      <c r="O1244" t="s">
        <v>234</v>
      </c>
      <c r="P1244">
        <v>24</v>
      </c>
      <c r="U1244" t="s">
        <v>213</v>
      </c>
      <c r="V1244" t="s">
        <v>91</v>
      </c>
      <c r="W1244" t="s">
        <v>92</v>
      </c>
      <c r="X1244" t="s">
        <v>93</v>
      </c>
      <c r="Z1244" t="s">
        <v>137</v>
      </c>
      <c r="AB1244">
        <v>8.4</v>
      </c>
      <c r="AD1244">
        <v>6.3</v>
      </c>
      <c r="AF1244">
        <v>13</v>
      </c>
      <c r="AG1244" t="s">
        <v>95</v>
      </c>
      <c r="AX1244" t="s">
        <v>980</v>
      </c>
      <c r="AY1244" t="s">
        <v>981</v>
      </c>
      <c r="AZ1244" t="s">
        <v>214</v>
      </c>
      <c r="BC1244">
        <v>2</v>
      </c>
      <c r="BH1244" t="s">
        <v>99</v>
      </c>
      <c r="BO1244" t="s">
        <v>111</v>
      </c>
      <c r="CD1244" t="s">
        <v>366</v>
      </c>
      <c r="CE1244">
        <v>344</v>
      </c>
      <c r="CF1244" t="s">
        <v>367</v>
      </c>
      <c r="CG1244" t="s">
        <v>368</v>
      </c>
      <c r="CH1244">
        <v>1992</v>
      </c>
    </row>
    <row r="1245" spans="1:86" hidden="1" x14ac:dyDescent="0.25">
      <c r="A1245">
        <v>330541</v>
      </c>
      <c r="B1245" t="s">
        <v>86</v>
      </c>
      <c r="F1245">
        <v>95</v>
      </c>
      <c r="K1245" t="s">
        <v>1061</v>
      </c>
      <c r="L1245" t="s">
        <v>978</v>
      </c>
      <c r="M1245" t="s">
        <v>1046</v>
      </c>
      <c r="N1245" t="s">
        <v>945</v>
      </c>
      <c r="P1245">
        <v>1</v>
      </c>
      <c r="U1245" t="s">
        <v>979</v>
      </c>
      <c r="V1245" t="s">
        <v>91</v>
      </c>
      <c r="W1245" t="s">
        <v>92</v>
      </c>
      <c r="X1245" t="s">
        <v>93</v>
      </c>
      <c r="Z1245" t="s">
        <v>94</v>
      </c>
      <c r="AB1245">
        <v>1.4</v>
      </c>
      <c r="AD1245">
        <v>1</v>
      </c>
      <c r="AF1245">
        <v>1.9</v>
      </c>
      <c r="AG1245" t="s">
        <v>95</v>
      </c>
      <c r="AX1245" t="s">
        <v>980</v>
      </c>
      <c r="AY1245" t="s">
        <v>981</v>
      </c>
      <c r="AZ1245" t="s">
        <v>214</v>
      </c>
      <c r="BC1245">
        <v>2</v>
      </c>
      <c r="BH1245" t="s">
        <v>99</v>
      </c>
      <c r="BO1245" t="s">
        <v>111</v>
      </c>
      <c r="CD1245" t="s">
        <v>982</v>
      </c>
      <c r="CE1245">
        <v>6797</v>
      </c>
      <c r="CF1245" t="s">
        <v>983</v>
      </c>
      <c r="CG1245" t="s">
        <v>984</v>
      </c>
      <c r="CH1245">
        <v>1986</v>
      </c>
    </row>
    <row r="1246" spans="1:86" x14ac:dyDescent="0.25">
      <c r="A1246">
        <v>330541</v>
      </c>
      <c r="B1246" t="s">
        <v>86</v>
      </c>
      <c r="C1246" t="s">
        <v>183</v>
      </c>
      <c r="D1246" t="s">
        <v>115</v>
      </c>
      <c r="F1246">
        <v>98.5</v>
      </c>
      <c r="K1246" t="s">
        <v>1045</v>
      </c>
      <c r="L1246" t="s">
        <v>978</v>
      </c>
      <c r="M1246" t="s">
        <v>1046</v>
      </c>
      <c r="N1246" t="s">
        <v>233</v>
      </c>
      <c r="O1246" t="s">
        <v>234</v>
      </c>
      <c r="P1246">
        <v>24</v>
      </c>
      <c r="U1246" t="s">
        <v>213</v>
      </c>
      <c r="V1246" t="s">
        <v>91</v>
      </c>
      <c r="W1246" t="s">
        <v>92</v>
      </c>
      <c r="X1246" t="s">
        <v>93</v>
      </c>
      <c r="Z1246" t="s">
        <v>94</v>
      </c>
      <c r="AB1246">
        <v>2</v>
      </c>
      <c r="AG1246" t="s">
        <v>95</v>
      </c>
      <c r="AX1246" t="s">
        <v>980</v>
      </c>
      <c r="AY1246" t="s">
        <v>981</v>
      </c>
      <c r="AZ1246" t="s">
        <v>214</v>
      </c>
      <c r="BB1246" t="s">
        <v>234</v>
      </c>
      <c r="BC1246">
        <v>2</v>
      </c>
      <c r="BH1246" t="s">
        <v>99</v>
      </c>
      <c r="BO1246" t="s">
        <v>111</v>
      </c>
      <c r="CD1246" t="s">
        <v>235</v>
      </c>
      <c r="CE1246">
        <v>102051</v>
      </c>
      <c r="CF1246" t="s">
        <v>236</v>
      </c>
      <c r="CG1246" t="s">
        <v>237</v>
      </c>
      <c r="CH1246">
        <v>2003</v>
      </c>
    </row>
    <row r="1247" spans="1:86" hidden="1" x14ac:dyDescent="0.25">
      <c r="A1247">
        <v>330541</v>
      </c>
      <c r="B1247" t="s">
        <v>86</v>
      </c>
      <c r="D1247" t="s">
        <v>115</v>
      </c>
      <c r="F1247">
        <v>98</v>
      </c>
      <c r="K1247" t="s">
        <v>1062</v>
      </c>
      <c r="L1247" t="s">
        <v>1063</v>
      </c>
      <c r="M1247" t="s">
        <v>1046</v>
      </c>
      <c r="N1247" t="s">
        <v>1064</v>
      </c>
      <c r="V1247" t="s">
        <v>507</v>
      </c>
      <c r="W1247" t="s">
        <v>107</v>
      </c>
      <c r="X1247" t="s">
        <v>93</v>
      </c>
      <c r="Z1247" t="s">
        <v>94</v>
      </c>
      <c r="AB1247">
        <v>8.1999999999999993</v>
      </c>
      <c r="AD1247">
        <v>0.4</v>
      </c>
      <c r="AF1247">
        <v>9.1999999999999993</v>
      </c>
      <c r="AG1247" t="s">
        <v>95</v>
      </c>
      <c r="AX1247" t="s">
        <v>523</v>
      </c>
      <c r="AY1247" t="s">
        <v>523</v>
      </c>
      <c r="AZ1247" t="s">
        <v>987</v>
      </c>
      <c r="BC1247">
        <v>4</v>
      </c>
      <c r="BH1247" t="s">
        <v>99</v>
      </c>
      <c r="BO1247" t="s">
        <v>111</v>
      </c>
      <c r="CD1247" t="s">
        <v>169</v>
      </c>
      <c r="CE1247">
        <v>156339</v>
      </c>
      <c r="CF1247" t="s">
        <v>170</v>
      </c>
      <c r="CG1247" t="s">
        <v>171</v>
      </c>
      <c r="CH1247">
        <v>2011</v>
      </c>
    </row>
    <row r="1248" spans="1:86" hidden="1" x14ac:dyDescent="0.25">
      <c r="A1248">
        <v>330541</v>
      </c>
      <c r="B1248" t="s">
        <v>86</v>
      </c>
      <c r="C1248" t="s">
        <v>183</v>
      </c>
      <c r="D1248" t="s">
        <v>87</v>
      </c>
      <c r="F1248">
        <v>99.8</v>
      </c>
      <c r="K1248" t="s">
        <v>1061</v>
      </c>
      <c r="L1248" t="s">
        <v>978</v>
      </c>
      <c r="M1248" t="s">
        <v>1046</v>
      </c>
      <c r="P1248">
        <v>5</v>
      </c>
      <c r="U1248" t="s">
        <v>99</v>
      </c>
      <c r="V1248" t="s">
        <v>91</v>
      </c>
      <c r="W1248" t="s">
        <v>92</v>
      </c>
      <c r="X1248" t="s">
        <v>93</v>
      </c>
      <c r="Z1248" t="s">
        <v>94</v>
      </c>
      <c r="AB1248">
        <v>17.899999999999999</v>
      </c>
      <c r="AD1248">
        <v>14.2</v>
      </c>
      <c r="AF1248">
        <v>22.6</v>
      </c>
      <c r="AG1248" t="s">
        <v>95</v>
      </c>
      <c r="AX1248" t="s">
        <v>523</v>
      </c>
      <c r="AY1248" t="s">
        <v>523</v>
      </c>
      <c r="AZ1248" t="s">
        <v>475</v>
      </c>
      <c r="BC1248">
        <v>4</v>
      </c>
      <c r="BH1248" t="s">
        <v>99</v>
      </c>
      <c r="BO1248" t="s">
        <v>111</v>
      </c>
      <c r="CD1248" t="s">
        <v>1065</v>
      </c>
      <c r="CE1248">
        <v>20182</v>
      </c>
      <c r="CF1248" t="s">
        <v>1066</v>
      </c>
      <c r="CG1248" t="s">
        <v>1067</v>
      </c>
      <c r="CH1248">
        <v>1998</v>
      </c>
    </row>
    <row r="1249" spans="1:86" hidden="1" x14ac:dyDescent="0.25">
      <c r="A1249">
        <v>330541</v>
      </c>
      <c r="B1249" t="s">
        <v>86</v>
      </c>
      <c r="C1249" t="s">
        <v>183</v>
      </c>
      <c r="D1249" t="s">
        <v>87</v>
      </c>
      <c r="F1249">
        <v>99.8</v>
      </c>
      <c r="K1249" t="s">
        <v>1068</v>
      </c>
      <c r="L1249" t="s">
        <v>999</v>
      </c>
      <c r="M1249" t="s">
        <v>1046</v>
      </c>
      <c r="O1249" t="s">
        <v>234</v>
      </c>
      <c r="P1249">
        <v>11</v>
      </c>
      <c r="U1249" t="s">
        <v>99</v>
      </c>
      <c r="V1249" t="s">
        <v>91</v>
      </c>
      <c r="W1249" t="s">
        <v>92</v>
      </c>
      <c r="X1249" t="s">
        <v>93</v>
      </c>
      <c r="Z1249" t="s">
        <v>94</v>
      </c>
      <c r="AB1249">
        <v>19.399999999999999</v>
      </c>
      <c r="AD1249">
        <v>17.7</v>
      </c>
      <c r="AF1249">
        <v>21.3</v>
      </c>
      <c r="AG1249" t="s">
        <v>95</v>
      </c>
      <c r="AX1249" t="s">
        <v>523</v>
      </c>
      <c r="AY1249" t="s">
        <v>523</v>
      </c>
      <c r="AZ1249" t="s">
        <v>475</v>
      </c>
      <c r="BC1249">
        <v>4</v>
      </c>
      <c r="BH1249" t="s">
        <v>99</v>
      </c>
      <c r="BO1249" t="s">
        <v>111</v>
      </c>
      <c r="CD1249" t="s">
        <v>1065</v>
      </c>
      <c r="CE1249">
        <v>20182</v>
      </c>
      <c r="CF1249" t="s">
        <v>1066</v>
      </c>
      <c r="CG1249" t="s">
        <v>1067</v>
      </c>
      <c r="CH1249">
        <v>1998</v>
      </c>
    </row>
    <row r="1250" spans="1:86" hidden="1" x14ac:dyDescent="0.25">
      <c r="A1250">
        <v>330541</v>
      </c>
      <c r="B1250" t="s">
        <v>86</v>
      </c>
      <c r="F1250">
        <v>95</v>
      </c>
      <c r="K1250" t="s">
        <v>1069</v>
      </c>
      <c r="L1250" t="s">
        <v>999</v>
      </c>
      <c r="M1250" t="s">
        <v>1046</v>
      </c>
      <c r="N1250" t="s">
        <v>1005</v>
      </c>
      <c r="V1250" t="s">
        <v>91</v>
      </c>
      <c r="W1250" t="s">
        <v>92</v>
      </c>
      <c r="X1250" t="s">
        <v>93</v>
      </c>
      <c r="Z1250" t="s">
        <v>94</v>
      </c>
      <c r="AB1250">
        <v>0.16</v>
      </c>
      <c r="AD1250">
        <v>0.13</v>
      </c>
      <c r="AF1250">
        <v>0.19</v>
      </c>
      <c r="AG1250" t="s">
        <v>95</v>
      </c>
      <c r="AX1250" t="s">
        <v>523</v>
      </c>
      <c r="AY1250" t="s">
        <v>523</v>
      </c>
      <c r="AZ1250" t="s">
        <v>475</v>
      </c>
      <c r="BC1250">
        <v>4</v>
      </c>
      <c r="BH1250" t="s">
        <v>99</v>
      </c>
      <c r="BO1250" t="s">
        <v>111</v>
      </c>
      <c r="CD1250" t="s">
        <v>982</v>
      </c>
      <c r="CE1250">
        <v>6797</v>
      </c>
      <c r="CF1250" t="s">
        <v>983</v>
      </c>
      <c r="CG1250" t="s">
        <v>984</v>
      </c>
      <c r="CH1250">
        <v>1986</v>
      </c>
    </row>
    <row r="1251" spans="1:86" hidden="1" x14ac:dyDescent="0.25">
      <c r="A1251">
        <v>330541</v>
      </c>
      <c r="B1251" t="s">
        <v>86</v>
      </c>
      <c r="C1251" t="s">
        <v>183</v>
      </c>
      <c r="D1251" t="s">
        <v>87</v>
      </c>
      <c r="F1251">
        <v>99.8</v>
      </c>
      <c r="K1251" t="s">
        <v>1061</v>
      </c>
      <c r="L1251" t="s">
        <v>978</v>
      </c>
      <c r="M1251" t="s">
        <v>1046</v>
      </c>
      <c r="P1251">
        <v>5</v>
      </c>
      <c r="U1251" t="s">
        <v>99</v>
      </c>
      <c r="V1251" t="s">
        <v>91</v>
      </c>
      <c r="W1251" t="s">
        <v>92</v>
      </c>
      <c r="X1251" t="s">
        <v>93</v>
      </c>
      <c r="Z1251" t="s">
        <v>94</v>
      </c>
      <c r="AB1251">
        <v>7.1</v>
      </c>
      <c r="AD1251">
        <v>5.8</v>
      </c>
      <c r="AF1251">
        <v>8.8000000000000007</v>
      </c>
      <c r="AG1251" t="s">
        <v>95</v>
      </c>
      <c r="AX1251" t="s">
        <v>523</v>
      </c>
      <c r="AY1251" t="s">
        <v>523</v>
      </c>
      <c r="AZ1251" t="s">
        <v>475</v>
      </c>
      <c r="BC1251">
        <v>7</v>
      </c>
      <c r="BH1251" t="s">
        <v>99</v>
      </c>
      <c r="BO1251" t="s">
        <v>111</v>
      </c>
      <c r="CD1251" t="s">
        <v>1065</v>
      </c>
      <c r="CE1251">
        <v>20182</v>
      </c>
      <c r="CF1251" t="s">
        <v>1066</v>
      </c>
      <c r="CG1251" t="s">
        <v>1067</v>
      </c>
      <c r="CH1251">
        <v>1998</v>
      </c>
    </row>
    <row r="1252" spans="1:86" hidden="1" x14ac:dyDescent="0.25">
      <c r="A1252">
        <v>330541</v>
      </c>
      <c r="B1252" t="s">
        <v>86</v>
      </c>
      <c r="D1252" t="s">
        <v>115</v>
      </c>
      <c r="K1252" t="s">
        <v>1070</v>
      </c>
      <c r="L1252" t="s">
        <v>1063</v>
      </c>
      <c r="M1252" t="s">
        <v>1046</v>
      </c>
      <c r="W1252" t="s">
        <v>107</v>
      </c>
      <c r="X1252" t="s">
        <v>93</v>
      </c>
      <c r="Z1252" t="s">
        <v>137</v>
      </c>
      <c r="AB1252">
        <v>4</v>
      </c>
      <c r="AD1252">
        <v>3.3</v>
      </c>
      <c r="AF1252">
        <v>5.2</v>
      </c>
      <c r="AG1252" t="s">
        <v>95</v>
      </c>
      <c r="AX1252" t="s">
        <v>523</v>
      </c>
      <c r="AY1252" t="s">
        <v>523</v>
      </c>
      <c r="AZ1252" t="s">
        <v>475</v>
      </c>
      <c r="BC1252">
        <v>4</v>
      </c>
      <c r="BH1252" t="s">
        <v>99</v>
      </c>
      <c r="BO1252" t="s">
        <v>111</v>
      </c>
      <c r="CD1252" t="s">
        <v>823</v>
      </c>
      <c r="CE1252">
        <v>102063</v>
      </c>
      <c r="CF1252" t="s">
        <v>824</v>
      </c>
      <c r="CG1252" t="s">
        <v>825</v>
      </c>
      <c r="CH1252">
        <v>2006</v>
      </c>
    </row>
    <row r="1253" spans="1:86" hidden="1" x14ac:dyDescent="0.25">
      <c r="A1253">
        <v>330541</v>
      </c>
      <c r="B1253" t="s">
        <v>86</v>
      </c>
      <c r="D1253" t="s">
        <v>115</v>
      </c>
      <c r="K1253" t="s">
        <v>1071</v>
      </c>
      <c r="L1253" t="s">
        <v>999</v>
      </c>
      <c r="M1253" t="s">
        <v>1046</v>
      </c>
      <c r="P1253">
        <v>2</v>
      </c>
      <c r="U1253" t="s">
        <v>934</v>
      </c>
      <c r="V1253" t="s">
        <v>91</v>
      </c>
      <c r="W1253" t="s">
        <v>92</v>
      </c>
      <c r="X1253" t="s">
        <v>93</v>
      </c>
      <c r="Z1253" t="s">
        <v>137</v>
      </c>
      <c r="AB1253">
        <v>0.38</v>
      </c>
      <c r="AD1253">
        <v>0.28999999999999998</v>
      </c>
      <c r="AF1253">
        <v>0.5</v>
      </c>
      <c r="AG1253" t="s">
        <v>95</v>
      </c>
      <c r="AX1253" t="s">
        <v>523</v>
      </c>
      <c r="AY1253" t="s">
        <v>523</v>
      </c>
      <c r="AZ1253" t="s">
        <v>475</v>
      </c>
      <c r="BC1253">
        <v>2</v>
      </c>
      <c r="BH1253" t="s">
        <v>99</v>
      </c>
      <c r="BO1253" t="s">
        <v>111</v>
      </c>
      <c r="CD1253" t="s">
        <v>1072</v>
      </c>
      <c r="CE1253">
        <v>885</v>
      </c>
      <c r="CF1253" t="s">
        <v>1073</v>
      </c>
      <c r="CG1253" t="s">
        <v>1074</v>
      </c>
      <c r="CH1253">
        <v>1969</v>
      </c>
    </row>
    <row r="1254" spans="1:86" hidden="1" x14ac:dyDescent="0.25">
      <c r="A1254">
        <v>330541</v>
      </c>
      <c r="B1254" t="s">
        <v>86</v>
      </c>
      <c r="D1254" t="s">
        <v>115</v>
      </c>
      <c r="K1254" t="s">
        <v>1069</v>
      </c>
      <c r="L1254" t="s">
        <v>999</v>
      </c>
      <c r="M1254" t="s">
        <v>1046</v>
      </c>
      <c r="N1254" t="s">
        <v>979</v>
      </c>
      <c r="V1254" t="s">
        <v>91</v>
      </c>
      <c r="W1254" t="s">
        <v>92</v>
      </c>
      <c r="X1254" t="s">
        <v>93</v>
      </c>
      <c r="Z1254" t="s">
        <v>137</v>
      </c>
      <c r="AB1254">
        <v>2.5</v>
      </c>
      <c r="AD1254">
        <v>1</v>
      </c>
      <c r="AF1254">
        <v>5.5</v>
      </c>
      <c r="AG1254" t="s">
        <v>95</v>
      </c>
      <c r="AX1254" t="s">
        <v>523</v>
      </c>
      <c r="AY1254" t="s">
        <v>523</v>
      </c>
      <c r="AZ1254" t="s">
        <v>475</v>
      </c>
      <c r="BC1254">
        <v>1</v>
      </c>
      <c r="BH1254" t="s">
        <v>99</v>
      </c>
      <c r="BO1254" t="s">
        <v>111</v>
      </c>
      <c r="CD1254" t="s">
        <v>1072</v>
      </c>
      <c r="CE1254">
        <v>886</v>
      </c>
      <c r="CF1254" t="s">
        <v>1075</v>
      </c>
      <c r="CG1254" t="s">
        <v>1076</v>
      </c>
      <c r="CH1254">
        <v>1970</v>
      </c>
    </row>
    <row r="1255" spans="1:86" hidden="1" x14ac:dyDescent="0.25">
      <c r="A1255">
        <v>330541</v>
      </c>
      <c r="B1255" t="s">
        <v>86</v>
      </c>
      <c r="D1255" t="s">
        <v>115</v>
      </c>
      <c r="F1255">
        <v>98</v>
      </c>
      <c r="K1255" t="s">
        <v>1062</v>
      </c>
      <c r="L1255" t="s">
        <v>1063</v>
      </c>
      <c r="M1255" t="s">
        <v>1046</v>
      </c>
      <c r="N1255" t="s">
        <v>1064</v>
      </c>
      <c r="V1255" t="s">
        <v>507</v>
      </c>
      <c r="W1255" t="s">
        <v>107</v>
      </c>
      <c r="X1255" t="s">
        <v>93</v>
      </c>
      <c r="Z1255" t="s">
        <v>94</v>
      </c>
      <c r="AB1255">
        <v>11</v>
      </c>
      <c r="AD1255">
        <v>10.5</v>
      </c>
      <c r="AF1255">
        <v>11.4</v>
      </c>
      <c r="AG1255" t="s">
        <v>95</v>
      </c>
      <c r="AX1255" t="s">
        <v>523</v>
      </c>
      <c r="AY1255" t="s">
        <v>523</v>
      </c>
      <c r="AZ1255" t="s">
        <v>475</v>
      </c>
      <c r="BC1255">
        <v>4</v>
      </c>
      <c r="BH1255" t="s">
        <v>99</v>
      </c>
      <c r="BO1255" t="s">
        <v>111</v>
      </c>
      <c r="CD1255" t="s">
        <v>169</v>
      </c>
      <c r="CE1255">
        <v>156339</v>
      </c>
      <c r="CF1255" t="s">
        <v>170</v>
      </c>
      <c r="CG1255" t="s">
        <v>171</v>
      </c>
      <c r="CH1255">
        <v>2011</v>
      </c>
    </row>
    <row r="1256" spans="1:86" hidden="1" x14ac:dyDescent="0.25">
      <c r="A1256">
        <v>330541</v>
      </c>
      <c r="B1256" t="s">
        <v>86</v>
      </c>
      <c r="D1256" t="s">
        <v>115</v>
      </c>
      <c r="K1256" t="s">
        <v>1071</v>
      </c>
      <c r="L1256" t="s">
        <v>999</v>
      </c>
      <c r="M1256" t="s">
        <v>1046</v>
      </c>
      <c r="P1256">
        <v>2</v>
      </c>
      <c r="U1256" t="s">
        <v>934</v>
      </c>
      <c r="V1256" t="s">
        <v>91</v>
      </c>
      <c r="W1256" t="s">
        <v>92</v>
      </c>
      <c r="X1256" t="s">
        <v>93</v>
      </c>
      <c r="Z1256" t="s">
        <v>137</v>
      </c>
      <c r="AB1256">
        <v>0.16</v>
      </c>
      <c r="AD1256">
        <v>0.13</v>
      </c>
      <c r="AF1256">
        <v>0.19</v>
      </c>
      <c r="AG1256" t="s">
        <v>95</v>
      </c>
      <c r="AX1256" t="s">
        <v>523</v>
      </c>
      <c r="AY1256" t="s">
        <v>523</v>
      </c>
      <c r="AZ1256" t="s">
        <v>475</v>
      </c>
      <c r="BC1256">
        <v>4</v>
      </c>
      <c r="BH1256" t="s">
        <v>99</v>
      </c>
      <c r="BO1256" t="s">
        <v>111</v>
      </c>
      <c r="CD1256" t="s">
        <v>1072</v>
      </c>
      <c r="CE1256">
        <v>885</v>
      </c>
      <c r="CF1256" t="s">
        <v>1073</v>
      </c>
      <c r="CG1256" t="s">
        <v>1074</v>
      </c>
      <c r="CH1256">
        <v>1969</v>
      </c>
    </row>
    <row r="1257" spans="1:86" hidden="1" x14ac:dyDescent="0.25">
      <c r="A1257">
        <v>330541</v>
      </c>
      <c r="B1257" t="s">
        <v>86</v>
      </c>
      <c r="F1257">
        <v>95</v>
      </c>
      <c r="K1257" t="s">
        <v>1069</v>
      </c>
      <c r="L1257" t="s">
        <v>999</v>
      </c>
      <c r="M1257" t="s">
        <v>1046</v>
      </c>
      <c r="N1257" t="s">
        <v>1005</v>
      </c>
      <c r="V1257" t="s">
        <v>91</v>
      </c>
      <c r="W1257" t="s">
        <v>92</v>
      </c>
      <c r="X1257" t="s">
        <v>93</v>
      </c>
      <c r="Z1257" t="s">
        <v>94</v>
      </c>
      <c r="AB1257">
        <v>0.7</v>
      </c>
      <c r="AD1257">
        <v>0.59</v>
      </c>
      <c r="AF1257">
        <v>0.83</v>
      </c>
      <c r="AG1257" t="s">
        <v>95</v>
      </c>
      <c r="AX1257" t="s">
        <v>523</v>
      </c>
      <c r="AY1257" t="s">
        <v>523</v>
      </c>
      <c r="AZ1257" t="s">
        <v>475</v>
      </c>
      <c r="BC1257">
        <v>1</v>
      </c>
      <c r="BH1257" t="s">
        <v>99</v>
      </c>
      <c r="BO1257" t="s">
        <v>111</v>
      </c>
      <c r="CD1257" t="s">
        <v>982</v>
      </c>
      <c r="CE1257">
        <v>6797</v>
      </c>
      <c r="CF1257" t="s">
        <v>983</v>
      </c>
      <c r="CG1257" t="s">
        <v>984</v>
      </c>
      <c r="CH1257">
        <v>1986</v>
      </c>
    </row>
    <row r="1258" spans="1:86" hidden="1" x14ac:dyDescent="0.25">
      <c r="A1258">
        <v>330541</v>
      </c>
      <c r="B1258" t="s">
        <v>86</v>
      </c>
      <c r="D1258" t="s">
        <v>115</v>
      </c>
      <c r="K1258" t="s">
        <v>1071</v>
      </c>
      <c r="L1258" t="s">
        <v>999</v>
      </c>
      <c r="M1258" t="s">
        <v>1046</v>
      </c>
      <c r="P1258">
        <v>2</v>
      </c>
      <c r="U1258" t="s">
        <v>934</v>
      </c>
      <c r="V1258" t="s">
        <v>91</v>
      </c>
      <c r="W1258" t="s">
        <v>92</v>
      </c>
      <c r="X1258" t="s">
        <v>93</v>
      </c>
      <c r="Z1258" t="s">
        <v>137</v>
      </c>
      <c r="AB1258">
        <v>0.7</v>
      </c>
      <c r="AD1258">
        <v>0.59</v>
      </c>
      <c r="AF1258">
        <v>0.83</v>
      </c>
      <c r="AG1258" t="s">
        <v>95</v>
      </c>
      <c r="AX1258" t="s">
        <v>523</v>
      </c>
      <c r="AY1258" t="s">
        <v>523</v>
      </c>
      <c r="AZ1258" t="s">
        <v>475</v>
      </c>
      <c r="BC1258">
        <v>1</v>
      </c>
      <c r="BH1258" t="s">
        <v>99</v>
      </c>
      <c r="BO1258" t="s">
        <v>111</v>
      </c>
      <c r="CD1258" t="s">
        <v>1072</v>
      </c>
      <c r="CE1258">
        <v>885</v>
      </c>
      <c r="CF1258" t="s">
        <v>1073</v>
      </c>
      <c r="CG1258" t="s">
        <v>1074</v>
      </c>
      <c r="CH1258">
        <v>1969</v>
      </c>
    </row>
    <row r="1259" spans="1:86" x14ac:dyDescent="0.25">
      <c r="A1259">
        <v>330541</v>
      </c>
      <c r="B1259" t="s">
        <v>86</v>
      </c>
      <c r="D1259" t="s">
        <v>115</v>
      </c>
      <c r="K1259" t="s">
        <v>1045</v>
      </c>
      <c r="L1259" t="s">
        <v>978</v>
      </c>
      <c r="M1259" t="s">
        <v>1046</v>
      </c>
      <c r="V1259" t="s">
        <v>168</v>
      </c>
      <c r="W1259" t="s">
        <v>92</v>
      </c>
      <c r="X1259" t="s">
        <v>93</v>
      </c>
      <c r="Z1259" t="s">
        <v>137</v>
      </c>
      <c r="AB1259">
        <v>0.4</v>
      </c>
      <c r="AG1259" t="s">
        <v>95</v>
      </c>
      <c r="AX1259" t="s">
        <v>523</v>
      </c>
      <c r="AY1259" t="s">
        <v>523</v>
      </c>
      <c r="AZ1259" t="s">
        <v>475</v>
      </c>
      <c r="BC1259">
        <v>4</v>
      </c>
      <c r="BH1259" t="s">
        <v>99</v>
      </c>
      <c r="BO1259" t="s">
        <v>111</v>
      </c>
      <c r="CD1259" t="s">
        <v>1077</v>
      </c>
      <c r="CE1259">
        <v>6270</v>
      </c>
      <c r="CF1259" t="s">
        <v>1078</v>
      </c>
      <c r="CG1259" t="s">
        <v>1079</v>
      </c>
      <c r="CH1259">
        <v>1974</v>
      </c>
    </row>
    <row r="1260" spans="1:86" hidden="1" x14ac:dyDescent="0.25">
      <c r="A1260">
        <v>330541</v>
      </c>
      <c r="B1260" t="s">
        <v>86</v>
      </c>
      <c r="C1260" t="s">
        <v>183</v>
      </c>
      <c r="D1260" t="s">
        <v>87</v>
      </c>
      <c r="F1260">
        <v>99.8</v>
      </c>
      <c r="K1260" t="s">
        <v>1068</v>
      </c>
      <c r="L1260" t="s">
        <v>999</v>
      </c>
      <c r="M1260" t="s">
        <v>1046</v>
      </c>
      <c r="O1260" t="s">
        <v>234</v>
      </c>
      <c r="P1260">
        <v>11</v>
      </c>
      <c r="U1260" t="s">
        <v>99</v>
      </c>
      <c r="V1260" t="s">
        <v>507</v>
      </c>
      <c r="W1260" t="s">
        <v>92</v>
      </c>
      <c r="X1260" t="s">
        <v>93</v>
      </c>
      <c r="Z1260" t="s">
        <v>94</v>
      </c>
      <c r="AB1260">
        <v>18.399999999999999</v>
      </c>
      <c r="AD1260">
        <v>16.5</v>
      </c>
      <c r="AF1260">
        <v>20.5</v>
      </c>
      <c r="AG1260" t="s">
        <v>95</v>
      </c>
      <c r="AX1260" t="s">
        <v>523</v>
      </c>
      <c r="AY1260" t="s">
        <v>523</v>
      </c>
      <c r="AZ1260" t="s">
        <v>475</v>
      </c>
      <c r="BC1260">
        <v>10</v>
      </c>
      <c r="BH1260" t="s">
        <v>99</v>
      </c>
      <c r="BO1260" t="s">
        <v>111</v>
      </c>
      <c r="CD1260" t="s">
        <v>1065</v>
      </c>
      <c r="CE1260">
        <v>20182</v>
      </c>
      <c r="CF1260" t="s">
        <v>1066</v>
      </c>
      <c r="CG1260" t="s">
        <v>1067</v>
      </c>
      <c r="CH1260">
        <v>1998</v>
      </c>
    </row>
    <row r="1261" spans="1:86" x14ac:dyDescent="0.25">
      <c r="A1261">
        <v>330541</v>
      </c>
      <c r="B1261" t="s">
        <v>86</v>
      </c>
      <c r="C1261" t="s">
        <v>183</v>
      </c>
      <c r="D1261" t="s">
        <v>115</v>
      </c>
      <c r="F1261">
        <v>99.4</v>
      </c>
      <c r="K1261" t="s">
        <v>1045</v>
      </c>
      <c r="L1261" t="s">
        <v>978</v>
      </c>
      <c r="M1261" t="s">
        <v>1046</v>
      </c>
      <c r="V1261" t="s">
        <v>168</v>
      </c>
      <c r="W1261" t="s">
        <v>92</v>
      </c>
      <c r="X1261" t="s">
        <v>93</v>
      </c>
      <c r="Y1261">
        <v>8</v>
      </c>
      <c r="Z1261" t="s">
        <v>94</v>
      </c>
      <c r="AB1261">
        <v>7.4847510919999998</v>
      </c>
      <c r="AG1261" t="s">
        <v>95</v>
      </c>
      <c r="AX1261" t="s">
        <v>523</v>
      </c>
      <c r="AY1261" t="s">
        <v>523</v>
      </c>
      <c r="AZ1261" t="s">
        <v>475</v>
      </c>
      <c r="BC1261">
        <v>2</v>
      </c>
      <c r="BH1261" t="s">
        <v>99</v>
      </c>
      <c r="BO1261" t="s">
        <v>111</v>
      </c>
      <c r="CD1261" t="s">
        <v>1080</v>
      </c>
      <c r="CE1261">
        <v>183330</v>
      </c>
      <c r="CF1261" t="s">
        <v>1081</v>
      </c>
      <c r="CG1261" t="s">
        <v>1082</v>
      </c>
      <c r="CH1261">
        <v>2015</v>
      </c>
    </row>
    <row r="1262" spans="1:86" hidden="1" x14ac:dyDescent="0.25">
      <c r="A1262">
        <v>330541</v>
      </c>
      <c r="B1262" t="s">
        <v>86</v>
      </c>
      <c r="F1262">
        <v>99</v>
      </c>
      <c r="K1262" t="s">
        <v>1083</v>
      </c>
      <c r="L1262" t="s">
        <v>1084</v>
      </c>
      <c r="M1262" t="s">
        <v>1046</v>
      </c>
      <c r="V1262" t="s">
        <v>91</v>
      </c>
      <c r="W1262" t="s">
        <v>107</v>
      </c>
      <c r="X1262" t="s">
        <v>93</v>
      </c>
      <c r="Z1262" t="s">
        <v>94</v>
      </c>
      <c r="AB1262">
        <v>1.1000000000000001</v>
      </c>
      <c r="AD1262">
        <v>0.97</v>
      </c>
      <c r="AF1262">
        <v>1.3</v>
      </c>
      <c r="AG1262" t="s">
        <v>95</v>
      </c>
      <c r="AX1262" t="s">
        <v>523</v>
      </c>
      <c r="AY1262" t="s">
        <v>523</v>
      </c>
      <c r="AZ1262" t="s">
        <v>475</v>
      </c>
      <c r="BC1262">
        <v>4</v>
      </c>
      <c r="BH1262" t="s">
        <v>99</v>
      </c>
      <c r="BO1262" t="s">
        <v>111</v>
      </c>
      <c r="CD1262" t="s">
        <v>366</v>
      </c>
      <c r="CE1262">
        <v>344</v>
      </c>
      <c r="CF1262" t="s">
        <v>367</v>
      </c>
      <c r="CG1262" t="s">
        <v>368</v>
      </c>
      <c r="CH1262">
        <v>1992</v>
      </c>
    </row>
    <row r="1263" spans="1:86" hidden="1" x14ac:dyDescent="0.25">
      <c r="A1263">
        <v>330541</v>
      </c>
      <c r="B1263" t="s">
        <v>86</v>
      </c>
      <c r="D1263" t="s">
        <v>115</v>
      </c>
      <c r="K1263" t="s">
        <v>1069</v>
      </c>
      <c r="L1263" t="s">
        <v>999</v>
      </c>
      <c r="M1263" t="s">
        <v>1046</v>
      </c>
      <c r="N1263" t="s">
        <v>979</v>
      </c>
      <c r="V1263" t="s">
        <v>91</v>
      </c>
      <c r="W1263" t="s">
        <v>92</v>
      </c>
      <c r="X1263" t="s">
        <v>93</v>
      </c>
      <c r="Z1263" t="s">
        <v>137</v>
      </c>
      <c r="AB1263">
        <v>1.8</v>
      </c>
      <c r="AD1263">
        <v>0.8</v>
      </c>
      <c r="AF1263">
        <v>5.2</v>
      </c>
      <c r="AG1263" t="s">
        <v>95</v>
      </c>
      <c r="AX1263" t="s">
        <v>523</v>
      </c>
      <c r="AY1263" t="s">
        <v>523</v>
      </c>
      <c r="AZ1263" t="s">
        <v>475</v>
      </c>
      <c r="BC1263">
        <v>2</v>
      </c>
      <c r="BH1263" t="s">
        <v>99</v>
      </c>
      <c r="BO1263" t="s">
        <v>111</v>
      </c>
      <c r="CD1263" t="s">
        <v>1072</v>
      </c>
      <c r="CE1263">
        <v>886</v>
      </c>
      <c r="CF1263" t="s">
        <v>1075</v>
      </c>
      <c r="CG1263" t="s">
        <v>1076</v>
      </c>
      <c r="CH1263">
        <v>1970</v>
      </c>
    </row>
    <row r="1264" spans="1:86" hidden="1" x14ac:dyDescent="0.25">
      <c r="A1264">
        <v>330541</v>
      </c>
      <c r="B1264" t="s">
        <v>86</v>
      </c>
      <c r="D1264" t="s">
        <v>115</v>
      </c>
      <c r="K1264" t="s">
        <v>1061</v>
      </c>
      <c r="L1264" t="s">
        <v>978</v>
      </c>
      <c r="M1264" t="s">
        <v>1046</v>
      </c>
      <c r="W1264" t="s">
        <v>92</v>
      </c>
      <c r="Z1264" t="s">
        <v>137</v>
      </c>
      <c r="AA1264" t="s">
        <v>106</v>
      </c>
      <c r="AB1264">
        <v>40</v>
      </c>
      <c r="AG1264" t="s">
        <v>95</v>
      </c>
      <c r="AX1264" t="s">
        <v>523</v>
      </c>
      <c r="AY1264" t="s">
        <v>523</v>
      </c>
      <c r="AZ1264" t="s">
        <v>475</v>
      </c>
      <c r="BC1264">
        <v>0.125</v>
      </c>
      <c r="BH1264" t="s">
        <v>99</v>
      </c>
      <c r="BO1264" t="s">
        <v>111</v>
      </c>
      <c r="CD1264" t="s">
        <v>1007</v>
      </c>
      <c r="CE1264">
        <v>15192</v>
      </c>
      <c r="CF1264" t="s">
        <v>1008</v>
      </c>
      <c r="CG1264" t="s">
        <v>1009</v>
      </c>
      <c r="CH1264">
        <v>1967</v>
      </c>
    </row>
    <row r="1265" spans="1:86" hidden="1" x14ac:dyDescent="0.25">
      <c r="A1265">
        <v>330541</v>
      </c>
      <c r="B1265" t="s">
        <v>86</v>
      </c>
      <c r="D1265" t="s">
        <v>115</v>
      </c>
      <c r="K1265" t="s">
        <v>1069</v>
      </c>
      <c r="L1265" t="s">
        <v>999</v>
      </c>
      <c r="M1265" t="s">
        <v>1046</v>
      </c>
      <c r="N1265" t="s">
        <v>979</v>
      </c>
      <c r="V1265" t="s">
        <v>91</v>
      </c>
      <c r="W1265" t="s">
        <v>92</v>
      </c>
      <c r="X1265" t="s">
        <v>93</v>
      </c>
      <c r="Z1265" t="s">
        <v>137</v>
      </c>
      <c r="AB1265">
        <v>0.7</v>
      </c>
      <c r="AD1265">
        <v>0.19</v>
      </c>
      <c r="AF1265">
        <v>8.1999999999999993</v>
      </c>
      <c r="AG1265" t="s">
        <v>95</v>
      </c>
      <c r="AX1265" t="s">
        <v>523</v>
      </c>
      <c r="AY1265" t="s">
        <v>523</v>
      </c>
      <c r="AZ1265" t="s">
        <v>475</v>
      </c>
      <c r="BC1265">
        <v>4</v>
      </c>
      <c r="BH1265" t="s">
        <v>99</v>
      </c>
      <c r="BO1265" t="s">
        <v>111</v>
      </c>
      <c r="CD1265" t="s">
        <v>1072</v>
      </c>
      <c r="CE1265">
        <v>886</v>
      </c>
      <c r="CF1265" t="s">
        <v>1075</v>
      </c>
      <c r="CG1265" t="s">
        <v>1076</v>
      </c>
      <c r="CH1265">
        <v>1970</v>
      </c>
    </row>
    <row r="1266" spans="1:86" x14ac:dyDescent="0.25">
      <c r="A1266">
        <v>330541</v>
      </c>
      <c r="B1266" t="s">
        <v>86</v>
      </c>
      <c r="D1266" t="s">
        <v>115</v>
      </c>
      <c r="K1266" t="s">
        <v>1045</v>
      </c>
      <c r="L1266" t="s">
        <v>978</v>
      </c>
      <c r="M1266" t="s">
        <v>1046</v>
      </c>
      <c r="N1266" t="s">
        <v>233</v>
      </c>
      <c r="V1266" t="s">
        <v>91</v>
      </c>
      <c r="W1266" t="s">
        <v>92</v>
      </c>
      <c r="X1266" t="s">
        <v>93</v>
      </c>
      <c r="Z1266" t="s">
        <v>137</v>
      </c>
      <c r="AB1266">
        <v>3.5</v>
      </c>
      <c r="AG1266" t="s">
        <v>95</v>
      </c>
      <c r="AX1266" t="s">
        <v>980</v>
      </c>
      <c r="AY1266" t="s">
        <v>981</v>
      </c>
      <c r="AZ1266" t="s">
        <v>486</v>
      </c>
      <c r="BA1266" t="s">
        <v>179</v>
      </c>
      <c r="BC1266">
        <v>2</v>
      </c>
      <c r="BH1266" t="s">
        <v>99</v>
      </c>
      <c r="BO1266" t="s">
        <v>111</v>
      </c>
      <c r="CD1266" t="s">
        <v>363</v>
      </c>
      <c r="CE1266">
        <v>152874</v>
      </c>
      <c r="CF1266" t="s">
        <v>364</v>
      </c>
      <c r="CG1266" t="s">
        <v>365</v>
      </c>
      <c r="CH1266">
        <v>2005</v>
      </c>
    </row>
    <row r="1267" spans="1:86" hidden="1" x14ac:dyDescent="0.25">
      <c r="A1267">
        <v>330541</v>
      </c>
      <c r="B1267" t="s">
        <v>86</v>
      </c>
      <c r="C1267" t="s">
        <v>183</v>
      </c>
      <c r="D1267" t="s">
        <v>87</v>
      </c>
      <c r="F1267">
        <v>99.8</v>
      </c>
      <c r="K1267" t="s">
        <v>1061</v>
      </c>
      <c r="L1267" t="s">
        <v>978</v>
      </c>
      <c r="M1267" t="s">
        <v>1046</v>
      </c>
      <c r="P1267">
        <v>5</v>
      </c>
      <c r="U1267" t="s">
        <v>99</v>
      </c>
      <c r="V1267" t="s">
        <v>91</v>
      </c>
      <c r="W1267" t="s">
        <v>92</v>
      </c>
      <c r="X1267" t="s">
        <v>93</v>
      </c>
      <c r="Z1267" t="s">
        <v>94</v>
      </c>
      <c r="AB1267">
        <v>7.7</v>
      </c>
      <c r="AG1267" t="s">
        <v>95</v>
      </c>
      <c r="AX1267" t="s">
        <v>602</v>
      </c>
      <c r="AY1267" t="s">
        <v>1085</v>
      </c>
      <c r="AZ1267" t="s">
        <v>486</v>
      </c>
      <c r="BC1267">
        <v>7</v>
      </c>
      <c r="BH1267" t="s">
        <v>99</v>
      </c>
      <c r="BO1267" t="s">
        <v>111</v>
      </c>
      <c r="CD1267" t="s">
        <v>1065</v>
      </c>
      <c r="CE1267">
        <v>20182</v>
      </c>
      <c r="CF1267" t="s">
        <v>1066</v>
      </c>
      <c r="CG1267" t="s">
        <v>1067</v>
      </c>
      <c r="CH1267">
        <v>1998</v>
      </c>
    </row>
    <row r="1268" spans="1:86" hidden="1" x14ac:dyDescent="0.25">
      <c r="A1268">
        <v>330541</v>
      </c>
      <c r="B1268" t="s">
        <v>86</v>
      </c>
      <c r="F1268">
        <v>96.8</v>
      </c>
      <c r="K1268" t="s">
        <v>1083</v>
      </c>
      <c r="L1268" t="s">
        <v>1084</v>
      </c>
      <c r="M1268" t="s">
        <v>1046</v>
      </c>
      <c r="V1268" t="s">
        <v>257</v>
      </c>
      <c r="W1268" t="s">
        <v>107</v>
      </c>
      <c r="X1268" t="s">
        <v>93</v>
      </c>
      <c r="Z1268" t="s">
        <v>94</v>
      </c>
      <c r="AB1268">
        <v>1.9</v>
      </c>
      <c r="AG1268" t="s">
        <v>95</v>
      </c>
      <c r="AX1268" t="s">
        <v>602</v>
      </c>
      <c r="AY1268" t="s">
        <v>1086</v>
      </c>
      <c r="AZ1268" t="s">
        <v>486</v>
      </c>
      <c r="BC1268">
        <v>28</v>
      </c>
      <c r="BH1268" t="s">
        <v>99</v>
      </c>
      <c r="BO1268" t="s">
        <v>111</v>
      </c>
      <c r="CD1268" t="s">
        <v>366</v>
      </c>
      <c r="CE1268">
        <v>344</v>
      </c>
      <c r="CF1268" t="s">
        <v>367</v>
      </c>
      <c r="CG1268" t="s">
        <v>368</v>
      </c>
      <c r="CH1268">
        <v>1992</v>
      </c>
    </row>
    <row r="1269" spans="1:86" hidden="1" x14ac:dyDescent="0.25">
      <c r="A1269">
        <v>330541</v>
      </c>
      <c r="B1269" t="s">
        <v>86</v>
      </c>
      <c r="C1269" t="s">
        <v>183</v>
      </c>
      <c r="D1269" t="s">
        <v>87</v>
      </c>
      <c r="F1269">
        <v>99.8</v>
      </c>
      <c r="K1269" t="s">
        <v>1061</v>
      </c>
      <c r="L1269" t="s">
        <v>978</v>
      </c>
      <c r="M1269" t="s">
        <v>1046</v>
      </c>
      <c r="P1269">
        <v>5</v>
      </c>
      <c r="U1269" t="s">
        <v>99</v>
      </c>
      <c r="V1269" t="s">
        <v>91</v>
      </c>
      <c r="W1269" t="s">
        <v>92</v>
      </c>
      <c r="X1269" t="s">
        <v>93</v>
      </c>
      <c r="Z1269" t="s">
        <v>94</v>
      </c>
      <c r="AB1269">
        <v>7.7</v>
      </c>
      <c r="AG1269" t="s">
        <v>95</v>
      </c>
      <c r="AX1269" t="s">
        <v>523</v>
      </c>
      <c r="AY1269" t="s">
        <v>1013</v>
      </c>
      <c r="AZ1269" t="s">
        <v>486</v>
      </c>
      <c r="BC1269">
        <v>7</v>
      </c>
      <c r="BH1269" t="s">
        <v>99</v>
      </c>
      <c r="BO1269" t="s">
        <v>111</v>
      </c>
      <c r="CD1269" t="s">
        <v>1065</v>
      </c>
      <c r="CE1269">
        <v>20182</v>
      </c>
      <c r="CF1269" t="s">
        <v>1066</v>
      </c>
      <c r="CG1269" t="s">
        <v>1067</v>
      </c>
      <c r="CH1269">
        <v>1998</v>
      </c>
    </row>
    <row r="1270" spans="1:86" hidden="1" x14ac:dyDescent="0.25">
      <c r="A1270">
        <v>330541</v>
      </c>
      <c r="B1270" t="s">
        <v>86</v>
      </c>
      <c r="C1270" t="s">
        <v>183</v>
      </c>
      <c r="D1270" t="s">
        <v>87</v>
      </c>
      <c r="F1270">
        <v>99.8</v>
      </c>
      <c r="K1270" t="s">
        <v>1068</v>
      </c>
      <c r="L1270" t="s">
        <v>999</v>
      </c>
      <c r="M1270" t="s">
        <v>1046</v>
      </c>
      <c r="O1270" t="s">
        <v>234</v>
      </c>
      <c r="P1270">
        <v>11</v>
      </c>
      <c r="U1270" t="s">
        <v>99</v>
      </c>
      <c r="V1270" t="s">
        <v>507</v>
      </c>
      <c r="W1270" t="s">
        <v>92</v>
      </c>
      <c r="X1270" t="s">
        <v>93</v>
      </c>
      <c r="Z1270" t="s">
        <v>94</v>
      </c>
      <c r="AB1270">
        <v>15.7</v>
      </c>
      <c r="AG1270" t="s">
        <v>95</v>
      </c>
      <c r="AX1270" t="s">
        <v>523</v>
      </c>
      <c r="AY1270" t="s">
        <v>1013</v>
      </c>
      <c r="AZ1270" t="s">
        <v>486</v>
      </c>
      <c r="BC1270">
        <v>10</v>
      </c>
      <c r="BH1270" t="s">
        <v>99</v>
      </c>
      <c r="BO1270" t="s">
        <v>111</v>
      </c>
      <c r="CD1270" t="s">
        <v>1065</v>
      </c>
      <c r="CE1270">
        <v>20182</v>
      </c>
      <c r="CF1270" t="s">
        <v>1066</v>
      </c>
      <c r="CG1270" t="s">
        <v>1067</v>
      </c>
      <c r="CH1270">
        <v>1998</v>
      </c>
    </row>
    <row r="1271" spans="1:86" hidden="1" x14ac:dyDescent="0.25">
      <c r="A1271">
        <v>330541</v>
      </c>
      <c r="B1271" t="s">
        <v>86</v>
      </c>
      <c r="F1271">
        <v>96.8</v>
      </c>
      <c r="K1271" t="s">
        <v>1083</v>
      </c>
      <c r="L1271" t="s">
        <v>1084</v>
      </c>
      <c r="M1271" t="s">
        <v>1046</v>
      </c>
      <c r="V1271" t="s">
        <v>257</v>
      </c>
      <c r="W1271" t="s">
        <v>107</v>
      </c>
      <c r="X1271" t="s">
        <v>93</v>
      </c>
      <c r="Z1271" t="s">
        <v>94</v>
      </c>
      <c r="AB1271">
        <v>1.9</v>
      </c>
      <c r="AG1271" t="s">
        <v>95</v>
      </c>
      <c r="AX1271" t="s">
        <v>602</v>
      </c>
      <c r="AY1271" t="s">
        <v>1085</v>
      </c>
      <c r="AZ1271" t="s">
        <v>486</v>
      </c>
      <c r="BC1271">
        <v>28</v>
      </c>
      <c r="BH1271" t="s">
        <v>99</v>
      </c>
      <c r="BO1271" t="s">
        <v>111</v>
      </c>
      <c r="CD1271" t="s">
        <v>366</v>
      </c>
      <c r="CE1271">
        <v>344</v>
      </c>
      <c r="CF1271" t="s">
        <v>367</v>
      </c>
      <c r="CG1271" t="s">
        <v>368</v>
      </c>
      <c r="CH1271">
        <v>1992</v>
      </c>
    </row>
    <row r="1272" spans="1:86" x14ac:dyDescent="0.25">
      <c r="A1272">
        <v>330541</v>
      </c>
      <c r="B1272" t="s">
        <v>86</v>
      </c>
      <c r="F1272">
        <v>98.2</v>
      </c>
      <c r="K1272" t="s">
        <v>1045</v>
      </c>
      <c r="L1272" t="s">
        <v>978</v>
      </c>
      <c r="M1272" t="s">
        <v>1046</v>
      </c>
      <c r="V1272" t="s">
        <v>91</v>
      </c>
      <c r="W1272" t="s">
        <v>92</v>
      </c>
      <c r="X1272" t="s">
        <v>93</v>
      </c>
      <c r="Z1272" t="s">
        <v>94</v>
      </c>
      <c r="AA1272" t="s">
        <v>106</v>
      </c>
      <c r="AB1272">
        <v>0.2</v>
      </c>
      <c r="AG1272" t="s">
        <v>95</v>
      </c>
      <c r="AX1272" t="s">
        <v>1087</v>
      </c>
      <c r="AY1272" t="s">
        <v>1088</v>
      </c>
      <c r="AZ1272" t="s">
        <v>486</v>
      </c>
      <c r="BC1272">
        <v>28</v>
      </c>
      <c r="BH1272" t="s">
        <v>99</v>
      </c>
      <c r="BO1272" t="s">
        <v>111</v>
      </c>
      <c r="CD1272" t="s">
        <v>366</v>
      </c>
      <c r="CE1272">
        <v>344</v>
      </c>
      <c r="CF1272" t="s">
        <v>367</v>
      </c>
      <c r="CG1272" t="s">
        <v>368</v>
      </c>
      <c r="CH1272">
        <v>1992</v>
      </c>
    </row>
    <row r="1273" spans="1:86" hidden="1" x14ac:dyDescent="0.25">
      <c r="A1273">
        <v>330541</v>
      </c>
      <c r="B1273" t="s">
        <v>86</v>
      </c>
      <c r="C1273" t="s">
        <v>183</v>
      </c>
      <c r="D1273" t="s">
        <v>87</v>
      </c>
      <c r="F1273">
        <v>99.8</v>
      </c>
      <c r="K1273" t="s">
        <v>1068</v>
      </c>
      <c r="L1273" t="s">
        <v>999</v>
      </c>
      <c r="M1273" t="s">
        <v>1046</v>
      </c>
      <c r="O1273" t="s">
        <v>234</v>
      </c>
      <c r="P1273">
        <v>11</v>
      </c>
      <c r="U1273" t="s">
        <v>99</v>
      </c>
      <c r="V1273" t="s">
        <v>507</v>
      </c>
      <c r="W1273" t="s">
        <v>92</v>
      </c>
      <c r="X1273" t="s">
        <v>93</v>
      </c>
      <c r="Z1273" t="s">
        <v>94</v>
      </c>
      <c r="AB1273">
        <v>15.7</v>
      </c>
      <c r="AG1273" t="s">
        <v>95</v>
      </c>
      <c r="AX1273" t="s">
        <v>196</v>
      </c>
      <c r="AY1273" t="s">
        <v>928</v>
      </c>
      <c r="AZ1273" t="s">
        <v>486</v>
      </c>
      <c r="BC1273">
        <v>10</v>
      </c>
      <c r="BH1273" t="s">
        <v>99</v>
      </c>
      <c r="BO1273" t="s">
        <v>111</v>
      </c>
      <c r="CD1273" t="s">
        <v>1065</v>
      </c>
      <c r="CE1273">
        <v>20182</v>
      </c>
      <c r="CF1273" t="s">
        <v>1066</v>
      </c>
      <c r="CG1273" t="s">
        <v>1067</v>
      </c>
      <c r="CH1273">
        <v>1998</v>
      </c>
    </row>
    <row r="1274" spans="1:86" hidden="1" x14ac:dyDescent="0.25">
      <c r="A1274">
        <v>330541</v>
      </c>
      <c r="B1274" t="s">
        <v>86</v>
      </c>
      <c r="F1274">
        <v>96.8</v>
      </c>
      <c r="K1274" t="s">
        <v>1083</v>
      </c>
      <c r="L1274" t="s">
        <v>1084</v>
      </c>
      <c r="M1274" t="s">
        <v>1046</v>
      </c>
      <c r="V1274" t="s">
        <v>257</v>
      </c>
      <c r="W1274" t="s">
        <v>107</v>
      </c>
      <c r="X1274" t="s">
        <v>93</v>
      </c>
      <c r="Z1274" t="s">
        <v>94</v>
      </c>
      <c r="AB1274">
        <v>0.56000000000000005</v>
      </c>
      <c r="AG1274" t="s">
        <v>95</v>
      </c>
      <c r="AX1274" t="s">
        <v>196</v>
      </c>
      <c r="AY1274" t="s">
        <v>197</v>
      </c>
      <c r="AZ1274" t="s">
        <v>486</v>
      </c>
      <c r="BC1274">
        <v>28</v>
      </c>
      <c r="BH1274" t="s">
        <v>99</v>
      </c>
      <c r="BO1274" t="s">
        <v>111</v>
      </c>
      <c r="CD1274" t="s">
        <v>366</v>
      </c>
      <c r="CE1274">
        <v>344</v>
      </c>
      <c r="CF1274" t="s">
        <v>367</v>
      </c>
      <c r="CG1274" t="s">
        <v>368</v>
      </c>
      <c r="CH1274">
        <v>1992</v>
      </c>
    </row>
    <row r="1275" spans="1:86" hidden="1" x14ac:dyDescent="0.25">
      <c r="A1275">
        <v>330541</v>
      </c>
      <c r="B1275" t="s">
        <v>86</v>
      </c>
      <c r="D1275" t="s">
        <v>115</v>
      </c>
      <c r="K1275" t="s">
        <v>1089</v>
      </c>
      <c r="L1275" t="s">
        <v>1090</v>
      </c>
      <c r="M1275" t="s">
        <v>1046</v>
      </c>
      <c r="N1275" t="s">
        <v>1064</v>
      </c>
      <c r="V1275" t="s">
        <v>257</v>
      </c>
      <c r="W1275" t="s">
        <v>107</v>
      </c>
      <c r="X1275" t="s">
        <v>93</v>
      </c>
      <c r="Z1275" t="s">
        <v>137</v>
      </c>
      <c r="AB1275">
        <v>1</v>
      </c>
      <c r="AG1275" t="s">
        <v>95</v>
      </c>
      <c r="AX1275" t="s">
        <v>1022</v>
      </c>
      <c r="AY1275" t="s">
        <v>1091</v>
      </c>
      <c r="AZ1275" t="s">
        <v>586</v>
      </c>
      <c r="BC1275">
        <v>2</v>
      </c>
      <c r="BH1275" t="s">
        <v>99</v>
      </c>
      <c r="BO1275" t="s">
        <v>111</v>
      </c>
      <c r="CD1275" t="s">
        <v>682</v>
      </c>
      <c r="CE1275">
        <v>807</v>
      </c>
      <c r="CF1275" t="s">
        <v>1092</v>
      </c>
      <c r="CG1275" t="s">
        <v>1093</v>
      </c>
      <c r="CH1275">
        <v>1965</v>
      </c>
    </row>
    <row r="1276" spans="1:86" hidden="1" x14ac:dyDescent="0.25">
      <c r="A1276">
        <v>330541</v>
      </c>
      <c r="B1276" t="s">
        <v>86</v>
      </c>
      <c r="D1276" t="s">
        <v>115</v>
      </c>
      <c r="K1276" t="s">
        <v>1089</v>
      </c>
      <c r="L1276" t="s">
        <v>1090</v>
      </c>
      <c r="M1276" t="s">
        <v>1046</v>
      </c>
      <c r="V1276" t="s">
        <v>257</v>
      </c>
      <c r="W1276" t="s">
        <v>107</v>
      </c>
      <c r="X1276" t="s">
        <v>93</v>
      </c>
      <c r="Z1276" t="s">
        <v>137</v>
      </c>
      <c r="AB1276">
        <v>1</v>
      </c>
      <c r="AG1276" t="s">
        <v>95</v>
      </c>
      <c r="AX1276" t="s">
        <v>980</v>
      </c>
      <c r="AY1276" t="s">
        <v>981</v>
      </c>
      <c r="AZ1276" t="s">
        <v>586</v>
      </c>
      <c r="BC1276">
        <v>2</v>
      </c>
      <c r="BH1276" t="s">
        <v>99</v>
      </c>
      <c r="BO1276" t="s">
        <v>111</v>
      </c>
      <c r="CD1276" t="s">
        <v>682</v>
      </c>
      <c r="CE1276">
        <v>14134</v>
      </c>
      <c r="CF1276" t="s">
        <v>683</v>
      </c>
      <c r="CG1276" t="s">
        <v>684</v>
      </c>
      <c r="CH1276">
        <v>1965</v>
      </c>
    </row>
    <row r="1277" spans="1:86" hidden="1" x14ac:dyDescent="0.25">
      <c r="A1277">
        <v>330541</v>
      </c>
      <c r="B1277" t="s">
        <v>86</v>
      </c>
      <c r="C1277" t="s">
        <v>183</v>
      </c>
      <c r="D1277" t="s">
        <v>87</v>
      </c>
      <c r="F1277">
        <v>99.8</v>
      </c>
      <c r="K1277" t="s">
        <v>1068</v>
      </c>
      <c r="L1277" t="s">
        <v>999</v>
      </c>
      <c r="M1277" t="s">
        <v>1046</v>
      </c>
      <c r="O1277" t="s">
        <v>234</v>
      </c>
      <c r="P1277">
        <v>11</v>
      </c>
      <c r="U1277" t="s">
        <v>99</v>
      </c>
      <c r="V1277" t="s">
        <v>507</v>
      </c>
      <c r="W1277" t="s">
        <v>92</v>
      </c>
      <c r="X1277" t="s">
        <v>93</v>
      </c>
      <c r="Z1277" t="s">
        <v>94</v>
      </c>
      <c r="AB1277">
        <v>7.9</v>
      </c>
      <c r="AG1277" t="s">
        <v>95</v>
      </c>
      <c r="AX1277" t="s">
        <v>196</v>
      </c>
      <c r="AY1277" t="s">
        <v>928</v>
      </c>
      <c r="AZ1277" t="s">
        <v>586</v>
      </c>
      <c r="BC1277">
        <v>10</v>
      </c>
      <c r="BH1277" t="s">
        <v>99</v>
      </c>
      <c r="BO1277" t="s">
        <v>111</v>
      </c>
      <c r="CD1277" t="s">
        <v>1065</v>
      </c>
      <c r="CE1277">
        <v>20182</v>
      </c>
      <c r="CF1277" t="s">
        <v>1066</v>
      </c>
      <c r="CG1277" t="s">
        <v>1067</v>
      </c>
      <c r="CH1277">
        <v>1998</v>
      </c>
    </row>
    <row r="1278" spans="1:86" hidden="1" x14ac:dyDescent="0.25">
      <c r="A1278">
        <v>330541</v>
      </c>
      <c r="B1278" t="s">
        <v>86</v>
      </c>
      <c r="C1278" t="s">
        <v>183</v>
      </c>
      <c r="D1278" t="s">
        <v>87</v>
      </c>
      <c r="F1278">
        <v>99.8</v>
      </c>
      <c r="K1278" t="s">
        <v>1061</v>
      </c>
      <c r="L1278" t="s">
        <v>978</v>
      </c>
      <c r="M1278" t="s">
        <v>1046</v>
      </c>
      <c r="P1278">
        <v>5</v>
      </c>
      <c r="U1278" t="s">
        <v>99</v>
      </c>
      <c r="V1278" t="s">
        <v>91</v>
      </c>
      <c r="W1278" t="s">
        <v>92</v>
      </c>
      <c r="X1278" t="s">
        <v>93</v>
      </c>
      <c r="Z1278" t="s">
        <v>94</v>
      </c>
      <c r="AB1278">
        <v>4</v>
      </c>
      <c r="AG1278" t="s">
        <v>95</v>
      </c>
      <c r="AX1278" t="s">
        <v>523</v>
      </c>
      <c r="AY1278" t="s">
        <v>1013</v>
      </c>
      <c r="AZ1278" t="s">
        <v>586</v>
      </c>
      <c r="BC1278">
        <v>7</v>
      </c>
      <c r="BH1278" t="s">
        <v>99</v>
      </c>
      <c r="BO1278" t="s">
        <v>111</v>
      </c>
      <c r="CD1278" t="s">
        <v>1065</v>
      </c>
      <c r="CE1278">
        <v>20182</v>
      </c>
      <c r="CF1278" t="s">
        <v>1066</v>
      </c>
      <c r="CG1278" t="s">
        <v>1067</v>
      </c>
      <c r="CH1278">
        <v>1998</v>
      </c>
    </row>
    <row r="1279" spans="1:86" x14ac:dyDescent="0.25">
      <c r="A1279">
        <v>330541</v>
      </c>
      <c r="B1279" t="s">
        <v>86</v>
      </c>
      <c r="F1279">
        <v>98.2</v>
      </c>
      <c r="K1279" t="s">
        <v>1045</v>
      </c>
      <c r="L1279" t="s">
        <v>978</v>
      </c>
      <c r="M1279" t="s">
        <v>1046</v>
      </c>
      <c r="V1279" t="s">
        <v>91</v>
      </c>
      <c r="W1279" t="s">
        <v>92</v>
      </c>
      <c r="X1279" t="s">
        <v>93</v>
      </c>
      <c r="Z1279" t="s">
        <v>94</v>
      </c>
      <c r="AB1279">
        <v>0.2</v>
      </c>
      <c r="AG1279" t="s">
        <v>95</v>
      </c>
      <c r="AX1279" t="s">
        <v>1087</v>
      </c>
      <c r="AY1279" t="s">
        <v>1088</v>
      </c>
      <c r="AZ1279" t="s">
        <v>586</v>
      </c>
      <c r="BC1279">
        <v>28</v>
      </c>
      <c r="BH1279" t="s">
        <v>99</v>
      </c>
      <c r="BO1279" t="s">
        <v>111</v>
      </c>
      <c r="CD1279" t="s">
        <v>366</v>
      </c>
      <c r="CE1279">
        <v>344</v>
      </c>
      <c r="CF1279" t="s">
        <v>367</v>
      </c>
      <c r="CG1279" t="s">
        <v>368</v>
      </c>
      <c r="CH1279">
        <v>1992</v>
      </c>
    </row>
    <row r="1280" spans="1:86" hidden="1" x14ac:dyDescent="0.25">
      <c r="A1280">
        <v>330541</v>
      </c>
      <c r="B1280" t="s">
        <v>86</v>
      </c>
      <c r="C1280" t="s">
        <v>183</v>
      </c>
      <c r="D1280" t="s">
        <v>87</v>
      </c>
      <c r="F1280">
        <v>99.8</v>
      </c>
      <c r="K1280" t="s">
        <v>1061</v>
      </c>
      <c r="L1280" t="s">
        <v>978</v>
      </c>
      <c r="M1280" t="s">
        <v>1046</v>
      </c>
      <c r="P1280">
        <v>5</v>
      </c>
      <c r="U1280" t="s">
        <v>99</v>
      </c>
      <c r="V1280" t="s">
        <v>91</v>
      </c>
      <c r="W1280" t="s">
        <v>92</v>
      </c>
      <c r="X1280" t="s">
        <v>93</v>
      </c>
      <c r="Z1280" t="s">
        <v>94</v>
      </c>
      <c r="AB1280">
        <v>4</v>
      </c>
      <c r="AG1280" t="s">
        <v>95</v>
      </c>
      <c r="AX1280" t="s">
        <v>602</v>
      </c>
      <c r="AY1280" t="s">
        <v>1085</v>
      </c>
      <c r="AZ1280" t="s">
        <v>586</v>
      </c>
      <c r="BC1280">
        <v>7</v>
      </c>
      <c r="BH1280" t="s">
        <v>99</v>
      </c>
      <c r="BO1280" t="s">
        <v>111</v>
      </c>
      <c r="CD1280" t="s">
        <v>1065</v>
      </c>
      <c r="CE1280">
        <v>20182</v>
      </c>
      <c r="CF1280" t="s">
        <v>1066</v>
      </c>
      <c r="CG1280" t="s">
        <v>1067</v>
      </c>
      <c r="CH1280">
        <v>1998</v>
      </c>
    </row>
    <row r="1281" spans="1:86" hidden="1" x14ac:dyDescent="0.25">
      <c r="A1281">
        <v>330541</v>
      </c>
      <c r="B1281" t="s">
        <v>86</v>
      </c>
      <c r="D1281" t="s">
        <v>115</v>
      </c>
      <c r="E1281" t="s">
        <v>149</v>
      </c>
      <c r="F1281">
        <v>98</v>
      </c>
      <c r="K1281" t="s">
        <v>1047</v>
      </c>
      <c r="L1281" t="s">
        <v>978</v>
      </c>
      <c r="M1281" t="s">
        <v>1046</v>
      </c>
      <c r="O1281" t="s">
        <v>234</v>
      </c>
      <c r="P1281">
        <v>24</v>
      </c>
      <c r="U1281" t="s">
        <v>213</v>
      </c>
      <c r="V1281" t="s">
        <v>507</v>
      </c>
      <c r="W1281" t="s">
        <v>92</v>
      </c>
      <c r="X1281" t="s">
        <v>93</v>
      </c>
      <c r="Y1281">
        <v>3</v>
      </c>
      <c r="Z1281" t="s">
        <v>94</v>
      </c>
      <c r="AB1281">
        <v>0.01</v>
      </c>
      <c r="AG1281" t="s">
        <v>95</v>
      </c>
      <c r="AX1281" t="s">
        <v>523</v>
      </c>
      <c r="AY1281" t="s">
        <v>523</v>
      </c>
      <c r="AZ1281" t="s">
        <v>586</v>
      </c>
      <c r="BC1281">
        <v>8</v>
      </c>
      <c r="BH1281" t="s">
        <v>99</v>
      </c>
      <c r="BO1281" t="s">
        <v>111</v>
      </c>
      <c r="CD1281" t="s">
        <v>552</v>
      </c>
      <c r="CE1281">
        <v>94271</v>
      </c>
      <c r="CF1281" t="s">
        <v>553</v>
      </c>
      <c r="CG1281" t="s">
        <v>554</v>
      </c>
      <c r="CH1281">
        <v>2005</v>
      </c>
    </row>
    <row r="1282" spans="1:86" hidden="1" x14ac:dyDescent="0.25">
      <c r="A1282">
        <v>330541</v>
      </c>
      <c r="B1282" t="s">
        <v>86</v>
      </c>
      <c r="F1282">
        <v>96.8</v>
      </c>
      <c r="K1282" t="s">
        <v>1083</v>
      </c>
      <c r="L1282" t="s">
        <v>1084</v>
      </c>
      <c r="M1282" t="s">
        <v>1046</v>
      </c>
      <c r="V1282" t="s">
        <v>257</v>
      </c>
      <c r="W1282" t="s">
        <v>107</v>
      </c>
      <c r="X1282" t="s">
        <v>93</v>
      </c>
      <c r="Z1282" t="s">
        <v>94</v>
      </c>
      <c r="AB1282">
        <v>0.27</v>
      </c>
      <c r="AG1282" t="s">
        <v>95</v>
      </c>
      <c r="AX1282" t="s">
        <v>196</v>
      </c>
      <c r="AY1282" t="s">
        <v>197</v>
      </c>
      <c r="AZ1282" t="s">
        <v>586</v>
      </c>
      <c r="BC1282">
        <v>28</v>
      </c>
      <c r="BH1282" t="s">
        <v>99</v>
      </c>
      <c r="BO1282" t="s">
        <v>111</v>
      </c>
      <c r="CD1282" t="s">
        <v>366</v>
      </c>
      <c r="CE1282">
        <v>344</v>
      </c>
      <c r="CF1282" t="s">
        <v>367</v>
      </c>
      <c r="CG1282" t="s">
        <v>368</v>
      </c>
      <c r="CH1282">
        <v>1992</v>
      </c>
    </row>
    <row r="1283" spans="1:86" hidden="1" x14ac:dyDescent="0.25">
      <c r="A1283">
        <v>330541</v>
      </c>
      <c r="B1283" t="s">
        <v>86</v>
      </c>
      <c r="D1283" t="s">
        <v>115</v>
      </c>
      <c r="E1283" t="s">
        <v>149</v>
      </c>
      <c r="F1283">
        <v>98</v>
      </c>
      <c r="K1283" t="s">
        <v>1047</v>
      </c>
      <c r="L1283" t="s">
        <v>978</v>
      </c>
      <c r="M1283" t="s">
        <v>1046</v>
      </c>
      <c r="O1283" t="s">
        <v>234</v>
      </c>
      <c r="P1283">
        <v>24</v>
      </c>
      <c r="U1283" t="s">
        <v>213</v>
      </c>
      <c r="V1283" t="s">
        <v>507</v>
      </c>
      <c r="W1283" t="s">
        <v>92</v>
      </c>
      <c r="X1283" t="s">
        <v>93</v>
      </c>
      <c r="Y1283">
        <v>3</v>
      </c>
      <c r="Z1283" t="s">
        <v>94</v>
      </c>
      <c r="AB1283">
        <v>0.01</v>
      </c>
      <c r="AG1283" t="s">
        <v>95</v>
      </c>
      <c r="AX1283" t="s">
        <v>602</v>
      </c>
      <c r="AY1283" t="s">
        <v>1085</v>
      </c>
      <c r="AZ1283" t="s">
        <v>586</v>
      </c>
      <c r="BC1283">
        <v>8</v>
      </c>
      <c r="BH1283" t="s">
        <v>99</v>
      </c>
      <c r="BO1283" t="s">
        <v>111</v>
      </c>
      <c r="CD1283" t="s">
        <v>552</v>
      </c>
      <c r="CE1283">
        <v>94271</v>
      </c>
      <c r="CF1283" t="s">
        <v>553</v>
      </c>
      <c r="CG1283" t="s">
        <v>554</v>
      </c>
      <c r="CH1283">
        <v>2005</v>
      </c>
    </row>
    <row r="1284" spans="1:86" hidden="1" x14ac:dyDescent="0.25">
      <c r="A1284">
        <v>330541</v>
      </c>
      <c r="B1284" t="s">
        <v>86</v>
      </c>
      <c r="C1284" t="s">
        <v>183</v>
      </c>
      <c r="D1284" t="s">
        <v>87</v>
      </c>
      <c r="F1284">
        <v>99.8</v>
      </c>
      <c r="K1284" t="s">
        <v>1068</v>
      </c>
      <c r="L1284" t="s">
        <v>999</v>
      </c>
      <c r="M1284" t="s">
        <v>1046</v>
      </c>
      <c r="O1284" t="s">
        <v>234</v>
      </c>
      <c r="P1284">
        <v>11</v>
      </c>
      <c r="U1284" t="s">
        <v>99</v>
      </c>
      <c r="V1284" t="s">
        <v>507</v>
      </c>
      <c r="W1284" t="s">
        <v>92</v>
      </c>
      <c r="X1284" t="s">
        <v>93</v>
      </c>
      <c r="Z1284" t="s">
        <v>94</v>
      </c>
      <c r="AB1284">
        <v>7.9</v>
      </c>
      <c r="AG1284" t="s">
        <v>95</v>
      </c>
      <c r="AX1284" t="s">
        <v>523</v>
      </c>
      <c r="AY1284" t="s">
        <v>1013</v>
      </c>
      <c r="AZ1284" t="s">
        <v>586</v>
      </c>
      <c r="BC1284">
        <v>10</v>
      </c>
      <c r="BH1284" t="s">
        <v>99</v>
      </c>
      <c r="BO1284" t="s">
        <v>111</v>
      </c>
      <c r="CD1284" t="s">
        <v>1065</v>
      </c>
      <c r="CE1284">
        <v>20182</v>
      </c>
      <c r="CF1284" t="s">
        <v>1066</v>
      </c>
      <c r="CG1284" t="s">
        <v>1067</v>
      </c>
      <c r="CH1284">
        <v>1998</v>
      </c>
    </row>
    <row r="1285" spans="1:86" hidden="1" x14ac:dyDescent="0.25">
      <c r="A1285">
        <v>330541</v>
      </c>
      <c r="B1285" t="s">
        <v>86</v>
      </c>
      <c r="D1285" t="s">
        <v>115</v>
      </c>
      <c r="K1285" t="s">
        <v>1089</v>
      </c>
      <c r="L1285" t="s">
        <v>1090</v>
      </c>
      <c r="M1285" t="s">
        <v>1046</v>
      </c>
      <c r="N1285" t="s">
        <v>1064</v>
      </c>
      <c r="V1285" t="s">
        <v>257</v>
      </c>
      <c r="W1285" t="s">
        <v>107</v>
      </c>
      <c r="X1285" t="s">
        <v>93</v>
      </c>
      <c r="Z1285" t="s">
        <v>137</v>
      </c>
      <c r="AB1285">
        <v>1</v>
      </c>
      <c r="AG1285" t="s">
        <v>95</v>
      </c>
      <c r="AX1285" t="s">
        <v>1022</v>
      </c>
      <c r="AY1285" t="s">
        <v>1091</v>
      </c>
      <c r="AZ1285" t="s">
        <v>586</v>
      </c>
      <c r="BC1285">
        <v>1</v>
      </c>
      <c r="BH1285" t="s">
        <v>99</v>
      </c>
      <c r="BO1285" t="s">
        <v>111</v>
      </c>
      <c r="CD1285" t="s">
        <v>682</v>
      </c>
      <c r="CE1285">
        <v>807</v>
      </c>
      <c r="CF1285" t="s">
        <v>1092</v>
      </c>
      <c r="CG1285" t="s">
        <v>1093</v>
      </c>
      <c r="CH1285">
        <v>1965</v>
      </c>
    </row>
    <row r="1286" spans="1:86" x14ac:dyDescent="0.25">
      <c r="A1286">
        <v>330541</v>
      </c>
      <c r="B1286" t="s">
        <v>86</v>
      </c>
      <c r="F1286">
        <v>80</v>
      </c>
      <c r="K1286" t="s">
        <v>1045</v>
      </c>
      <c r="L1286" t="s">
        <v>978</v>
      </c>
      <c r="M1286" t="s">
        <v>1046</v>
      </c>
      <c r="O1286" t="s">
        <v>234</v>
      </c>
      <c r="P1286">
        <v>24</v>
      </c>
      <c r="U1286" t="s">
        <v>213</v>
      </c>
      <c r="V1286" t="s">
        <v>91</v>
      </c>
      <c r="W1286" t="s">
        <v>92</v>
      </c>
      <c r="X1286" t="s">
        <v>93</v>
      </c>
      <c r="Z1286" t="s">
        <v>137</v>
      </c>
      <c r="AA1286" t="s">
        <v>234</v>
      </c>
      <c r="AB1286">
        <v>5</v>
      </c>
      <c r="AG1286" t="s">
        <v>95</v>
      </c>
      <c r="AX1286" t="s">
        <v>980</v>
      </c>
      <c r="AY1286" t="s">
        <v>981</v>
      </c>
      <c r="AZ1286" t="s">
        <v>609</v>
      </c>
      <c r="BC1286">
        <v>2</v>
      </c>
      <c r="BH1286" t="s">
        <v>99</v>
      </c>
      <c r="BO1286" t="s">
        <v>111</v>
      </c>
      <c r="CD1286" t="s">
        <v>366</v>
      </c>
      <c r="CE1286">
        <v>344</v>
      </c>
      <c r="CF1286" t="s">
        <v>367</v>
      </c>
      <c r="CG1286" t="s">
        <v>368</v>
      </c>
      <c r="CH1286">
        <v>1992</v>
      </c>
    </row>
    <row r="1287" spans="1:86" hidden="1" x14ac:dyDescent="0.25">
      <c r="A1287">
        <v>330541</v>
      </c>
      <c r="B1287" t="s">
        <v>86</v>
      </c>
      <c r="F1287">
        <v>99</v>
      </c>
      <c r="K1287" t="s">
        <v>1083</v>
      </c>
      <c r="L1287" t="s">
        <v>1084</v>
      </c>
      <c r="M1287" t="s">
        <v>1046</v>
      </c>
      <c r="V1287" t="s">
        <v>91</v>
      </c>
      <c r="W1287" t="s">
        <v>107</v>
      </c>
      <c r="X1287" t="s">
        <v>93</v>
      </c>
      <c r="Z1287" t="s">
        <v>94</v>
      </c>
      <c r="AA1287" t="s">
        <v>234</v>
      </c>
      <c r="AB1287">
        <v>0.6</v>
      </c>
      <c r="AG1287" t="s">
        <v>95</v>
      </c>
      <c r="AX1287" t="s">
        <v>523</v>
      </c>
      <c r="AY1287" t="s">
        <v>523</v>
      </c>
      <c r="AZ1287" t="s">
        <v>609</v>
      </c>
      <c r="BC1287">
        <v>4</v>
      </c>
      <c r="BH1287" t="s">
        <v>99</v>
      </c>
      <c r="BO1287" t="s">
        <v>111</v>
      </c>
      <c r="CD1287" t="s">
        <v>366</v>
      </c>
      <c r="CE1287">
        <v>344</v>
      </c>
      <c r="CF1287" t="s">
        <v>367</v>
      </c>
      <c r="CG1287" t="s">
        <v>368</v>
      </c>
      <c r="CH1287">
        <v>1992</v>
      </c>
    </row>
    <row r="1288" spans="1:86" hidden="1" x14ac:dyDescent="0.25">
      <c r="A1288">
        <v>330541</v>
      </c>
      <c r="B1288" t="s">
        <v>86</v>
      </c>
      <c r="C1288" t="s">
        <v>183</v>
      </c>
      <c r="D1288" t="s">
        <v>87</v>
      </c>
      <c r="F1288">
        <v>99.8</v>
      </c>
      <c r="K1288" t="s">
        <v>1061</v>
      </c>
      <c r="L1288" t="s">
        <v>978</v>
      </c>
      <c r="M1288" t="s">
        <v>1046</v>
      </c>
      <c r="P1288">
        <v>5</v>
      </c>
      <c r="U1288" t="s">
        <v>99</v>
      </c>
      <c r="V1288" t="s">
        <v>91</v>
      </c>
      <c r="W1288" t="s">
        <v>92</v>
      </c>
      <c r="X1288" t="s">
        <v>93</v>
      </c>
      <c r="Z1288" t="s">
        <v>94</v>
      </c>
      <c r="AB1288">
        <v>17.8</v>
      </c>
      <c r="AG1288" t="s">
        <v>95</v>
      </c>
      <c r="AX1288" t="s">
        <v>523</v>
      </c>
      <c r="AY1288" t="s">
        <v>523</v>
      </c>
      <c r="AZ1288" t="s">
        <v>626</v>
      </c>
      <c r="BC1288">
        <v>7</v>
      </c>
      <c r="BH1288" t="s">
        <v>99</v>
      </c>
      <c r="BO1288" t="s">
        <v>111</v>
      </c>
      <c r="CD1288" t="s">
        <v>1065</v>
      </c>
      <c r="CE1288">
        <v>20182</v>
      </c>
      <c r="CF1288" t="s">
        <v>1066</v>
      </c>
      <c r="CG1288" t="s">
        <v>1067</v>
      </c>
      <c r="CH1288">
        <v>1998</v>
      </c>
    </row>
    <row r="1289" spans="1:86" hidden="1" x14ac:dyDescent="0.25">
      <c r="A1289">
        <v>330541</v>
      </c>
      <c r="B1289" t="s">
        <v>86</v>
      </c>
      <c r="C1289" t="s">
        <v>183</v>
      </c>
      <c r="D1289" t="s">
        <v>87</v>
      </c>
      <c r="F1289">
        <v>99.8</v>
      </c>
      <c r="K1289" t="s">
        <v>1068</v>
      </c>
      <c r="L1289" t="s">
        <v>999</v>
      </c>
      <c r="M1289" t="s">
        <v>1046</v>
      </c>
      <c r="O1289" t="s">
        <v>234</v>
      </c>
      <c r="P1289">
        <v>11</v>
      </c>
      <c r="U1289" t="s">
        <v>99</v>
      </c>
      <c r="V1289" t="s">
        <v>507</v>
      </c>
      <c r="W1289" t="s">
        <v>92</v>
      </c>
      <c r="X1289" t="s">
        <v>93</v>
      </c>
      <c r="Z1289" t="s">
        <v>94</v>
      </c>
      <c r="AB1289">
        <v>28.5</v>
      </c>
      <c r="AG1289" t="s">
        <v>95</v>
      </c>
      <c r="AX1289" t="s">
        <v>523</v>
      </c>
      <c r="AY1289" t="s">
        <v>523</v>
      </c>
      <c r="AZ1289" t="s">
        <v>626</v>
      </c>
      <c r="BC1289">
        <v>10</v>
      </c>
      <c r="BH1289" t="s">
        <v>99</v>
      </c>
      <c r="BO1289" t="s">
        <v>111</v>
      </c>
      <c r="CD1289" t="s">
        <v>1065</v>
      </c>
      <c r="CE1289">
        <v>20182</v>
      </c>
      <c r="CF1289" t="s">
        <v>1066</v>
      </c>
      <c r="CG1289" t="s">
        <v>1067</v>
      </c>
      <c r="CH1289">
        <v>1998</v>
      </c>
    </row>
    <row r="1290" spans="1:86" hidden="1" x14ac:dyDescent="0.25">
      <c r="A1290">
        <v>330541</v>
      </c>
      <c r="B1290" t="s">
        <v>86</v>
      </c>
      <c r="D1290" t="s">
        <v>115</v>
      </c>
      <c r="E1290" t="s">
        <v>149</v>
      </c>
      <c r="F1290">
        <v>98</v>
      </c>
      <c r="K1290" t="s">
        <v>1047</v>
      </c>
      <c r="L1290" t="s">
        <v>978</v>
      </c>
      <c r="M1290" t="s">
        <v>1046</v>
      </c>
      <c r="O1290" t="s">
        <v>234</v>
      </c>
      <c r="P1290">
        <v>24</v>
      </c>
      <c r="U1290" t="s">
        <v>213</v>
      </c>
      <c r="V1290" t="s">
        <v>507</v>
      </c>
      <c r="W1290" t="s">
        <v>92</v>
      </c>
      <c r="X1290" t="s">
        <v>93</v>
      </c>
      <c r="Y1290">
        <v>3</v>
      </c>
      <c r="Z1290" t="s">
        <v>94</v>
      </c>
      <c r="AB1290">
        <v>0.01</v>
      </c>
      <c r="AG1290" t="s">
        <v>95</v>
      </c>
      <c r="AX1290" t="s">
        <v>523</v>
      </c>
      <c r="AY1290" t="s">
        <v>523</v>
      </c>
      <c r="AZ1290" t="s">
        <v>1094</v>
      </c>
      <c r="BC1290">
        <v>8</v>
      </c>
      <c r="BH1290" t="s">
        <v>99</v>
      </c>
      <c r="BO1290" t="s">
        <v>111</v>
      </c>
      <c r="CD1290" t="s">
        <v>552</v>
      </c>
      <c r="CE1290">
        <v>94271</v>
      </c>
      <c r="CF1290" t="s">
        <v>553</v>
      </c>
      <c r="CG1290" t="s">
        <v>554</v>
      </c>
      <c r="CH1290">
        <v>2005</v>
      </c>
    </row>
    <row r="1291" spans="1:86" hidden="1" x14ac:dyDescent="0.25">
      <c r="A1291">
        <v>330541</v>
      </c>
      <c r="B1291" t="s">
        <v>86</v>
      </c>
      <c r="C1291" t="s">
        <v>183</v>
      </c>
      <c r="D1291" t="s">
        <v>87</v>
      </c>
      <c r="F1291">
        <v>99.8</v>
      </c>
      <c r="K1291" t="s">
        <v>1068</v>
      </c>
      <c r="L1291" t="s">
        <v>999</v>
      </c>
      <c r="M1291" t="s">
        <v>1046</v>
      </c>
      <c r="O1291" t="s">
        <v>234</v>
      </c>
      <c r="P1291">
        <v>11</v>
      </c>
      <c r="U1291" t="s">
        <v>99</v>
      </c>
      <c r="V1291" t="s">
        <v>507</v>
      </c>
      <c r="W1291" t="s">
        <v>92</v>
      </c>
      <c r="X1291" t="s">
        <v>93</v>
      </c>
      <c r="Z1291" t="s">
        <v>94</v>
      </c>
      <c r="AB1291">
        <v>22.9</v>
      </c>
      <c r="AG1291" t="s">
        <v>95</v>
      </c>
      <c r="AX1291" t="s">
        <v>196</v>
      </c>
      <c r="AY1291" t="s">
        <v>817</v>
      </c>
      <c r="BA1291" t="s">
        <v>179</v>
      </c>
      <c r="BC1291">
        <v>10</v>
      </c>
      <c r="BH1291" t="s">
        <v>99</v>
      </c>
      <c r="BO1291" t="s">
        <v>111</v>
      </c>
      <c r="CD1291" t="s">
        <v>1065</v>
      </c>
      <c r="CE1291">
        <v>20182</v>
      </c>
      <c r="CF1291" t="s">
        <v>1066</v>
      </c>
      <c r="CG1291" t="s">
        <v>1067</v>
      </c>
      <c r="CH1291">
        <v>1998</v>
      </c>
    </row>
    <row r="1292" spans="1:86" x14ac:dyDescent="0.25">
      <c r="A1292">
        <v>330541</v>
      </c>
      <c r="B1292" t="s">
        <v>86</v>
      </c>
      <c r="D1292" t="s">
        <v>115</v>
      </c>
      <c r="K1292" t="s">
        <v>1045</v>
      </c>
      <c r="L1292" t="s">
        <v>978</v>
      </c>
      <c r="M1292" t="s">
        <v>1046</v>
      </c>
      <c r="V1292" t="s">
        <v>507</v>
      </c>
      <c r="W1292" t="s">
        <v>92</v>
      </c>
      <c r="X1292" t="s">
        <v>93</v>
      </c>
      <c r="Z1292" t="s">
        <v>137</v>
      </c>
      <c r="AB1292"/>
      <c r="AD1292">
        <v>0.05</v>
      </c>
      <c r="AF1292">
        <v>0.25</v>
      </c>
      <c r="AG1292" t="s">
        <v>95</v>
      </c>
      <c r="AX1292" t="s">
        <v>602</v>
      </c>
      <c r="AY1292" t="s">
        <v>843</v>
      </c>
      <c r="BE1292">
        <v>30</v>
      </c>
      <c r="BG1292">
        <v>50</v>
      </c>
      <c r="BH1292" t="s">
        <v>99</v>
      </c>
      <c r="BO1292" t="s">
        <v>111</v>
      </c>
      <c r="CD1292" t="s">
        <v>1028</v>
      </c>
      <c r="CE1292">
        <v>9260</v>
      </c>
      <c r="CF1292" t="s">
        <v>1029</v>
      </c>
      <c r="CG1292" t="s">
        <v>1030</v>
      </c>
      <c r="CH1292">
        <v>1972</v>
      </c>
    </row>
    <row r="1293" spans="1:86" x14ac:dyDescent="0.25">
      <c r="A1293">
        <v>330541</v>
      </c>
      <c r="B1293" t="s">
        <v>86</v>
      </c>
      <c r="D1293" t="s">
        <v>115</v>
      </c>
      <c r="F1293">
        <v>8</v>
      </c>
      <c r="K1293" t="s">
        <v>1045</v>
      </c>
      <c r="L1293" t="s">
        <v>978</v>
      </c>
      <c r="M1293" t="s">
        <v>1046</v>
      </c>
      <c r="N1293" t="s">
        <v>1064</v>
      </c>
      <c r="V1293" t="s">
        <v>91</v>
      </c>
      <c r="W1293" t="s">
        <v>92</v>
      </c>
      <c r="X1293" t="s">
        <v>93</v>
      </c>
      <c r="Z1293" t="s">
        <v>94</v>
      </c>
      <c r="AA1293" t="s">
        <v>499</v>
      </c>
      <c r="AB1293">
        <v>4</v>
      </c>
      <c r="AG1293" t="s">
        <v>95</v>
      </c>
      <c r="AX1293" t="s">
        <v>108</v>
      </c>
      <c r="AY1293" t="s">
        <v>174</v>
      </c>
      <c r="BB1293" t="s">
        <v>434</v>
      </c>
      <c r="BC1293">
        <v>21</v>
      </c>
      <c r="BH1293" t="s">
        <v>99</v>
      </c>
      <c r="BO1293" t="s">
        <v>111</v>
      </c>
      <c r="CD1293" t="s">
        <v>1095</v>
      </c>
      <c r="CE1293">
        <v>7960</v>
      </c>
      <c r="CF1293" t="s">
        <v>1096</v>
      </c>
      <c r="CG1293" t="s">
        <v>1097</v>
      </c>
      <c r="CH1293">
        <v>1975</v>
      </c>
    </row>
    <row r="1294" spans="1:86" x14ac:dyDescent="0.25">
      <c r="A1294">
        <v>330541</v>
      </c>
      <c r="B1294" t="s">
        <v>86</v>
      </c>
      <c r="D1294" t="s">
        <v>115</v>
      </c>
      <c r="F1294">
        <v>8</v>
      </c>
      <c r="K1294" t="s">
        <v>1045</v>
      </c>
      <c r="L1294" t="s">
        <v>978</v>
      </c>
      <c r="M1294" t="s">
        <v>1046</v>
      </c>
      <c r="N1294" t="s">
        <v>1064</v>
      </c>
      <c r="V1294" t="s">
        <v>91</v>
      </c>
      <c r="W1294" t="s">
        <v>92</v>
      </c>
      <c r="X1294" t="s">
        <v>93</v>
      </c>
      <c r="Z1294" t="s">
        <v>94</v>
      </c>
      <c r="AA1294" t="s">
        <v>499</v>
      </c>
      <c r="AB1294">
        <v>4</v>
      </c>
      <c r="AG1294" t="s">
        <v>95</v>
      </c>
      <c r="AX1294" t="s">
        <v>523</v>
      </c>
      <c r="AY1294" t="s">
        <v>523</v>
      </c>
      <c r="BB1294" t="s">
        <v>434</v>
      </c>
      <c r="BC1294">
        <v>21</v>
      </c>
      <c r="BH1294" t="s">
        <v>99</v>
      </c>
      <c r="BO1294" t="s">
        <v>111</v>
      </c>
      <c r="CD1294" t="s">
        <v>1095</v>
      </c>
      <c r="CE1294">
        <v>7960</v>
      </c>
      <c r="CF1294" t="s">
        <v>1096</v>
      </c>
      <c r="CG1294" t="s">
        <v>1097</v>
      </c>
      <c r="CH1294">
        <v>1975</v>
      </c>
    </row>
    <row r="1295" spans="1:86" x14ac:dyDescent="0.25">
      <c r="A1295">
        <v>330541</v>
      </c>
      <c r="B1295" t="s">
        <v>86</v>
      </c>
      <c r="D1295" t="s">
        <v>115</v>
      </c>
      <c r="K1295" t="s">
        <v>1045</v>
      </c>
      <c r="L1295" t="s">
        <v>978</v>
      </c>
      <c r="M1295" t="s">
        <v>1046</v>
      </c>
      <c r="V1295" t="s">
        <v>507</v>
      </c>
      <c r="W1295" t="s">
        <v>92</v>
      </c>
      <c r="X1295" t="s">
        <v>93</v>
      </c>
      <c r="Z1295" t="s">
        <v>137</v>
      </c>
      <c r="AB1295"/>
      <c r="AD1295">
        <v>0.05</v>
      </c>
      <c r="AF1295">
        <v>0.25</v>
      </c>
      <c r="AG1295" t="s">
        <v>95</v>
      </c>
      <c r="AX1295" t="s">
        <v>196</v>
      </c>
      <c r="AY1295" t="s">
        <v>197</v>
      </c>
      <c r="BE1295">
        <v>30</v>
      </c>
      <c r="BG1295">
        <v>50</v>
      </c>
      <c r="BH1295" t="s">
        <v>99</v>
      </c>
      <c r="BO1295" t="s">
        <v>111</v>
      </c>
      <c r="CD1295" t="s">
        <v>1028</v>
      </c>
      <c r="CE1295">
        <v>9260</v>
      </c>
      <c r="CF1295" t="s">
        <v>1029</v>
      </c>
      <c r="CG1295" t="s">
        <v>1030</v>
      </c>
      <c r="CH1295">
        <v>1972</v>
      </c>
    </row>
    <row r="1296" spans="1:86" hidden="1" x14ac:dyDescent="0.25">
      <c r="A1296">
        <v>330541</v>
      </c>
      <c r="B1296" t="s">
        <v>86</v>
      </c>
      <c r="C1296" t="s">
        <v>183</v>
      </c>
      <c r="D1296" t="s">
        <v>87</v>
      </c>
      <c r="F1296">
        <v>99.8</v>
      </c>
      <c r="K1296" t="s">
        <v>1068</v>
      </c>
      <c r="L1296" t="s">
        <v>999</v>
      </c>
      <c r="M1296" t="s">
        <v>1046</v>
      </c>
      <c r="O1296" t="s">
        <v>234</v>
      </c>
      <c r="P1296">
        <v>11</v>
      </c>
      <c r="U1296" t="s">
        <v>99</v>
      </c>
      <c r="V1296" t="s">
        <v>507</v>
      </c>
      <c r="W1296" t="s">
        <v>92</v>
      </c>
      <c r="X1296" t="s">
        <v>93</v>
      </c>
      <c r="Z1296" t="s">
        <v>94</v>
      </c>
      <c r="AB1296">
        <v>15.7</v>
      </c>
      <c r="AG1296" t="s">
        <v>95</v>
      </c>
      <c r="AX1296" t="s">
        <v>196</v>
      </c>
      <c r="AY1296" t="s">
        <v>817</v>
      </c>
      <c r="BA1296" t="s">
        <v>179</v>
      </c>
      <c r="BC1296">
        <v>10</v>
      </c>
      <c r="BH1296" t="s">
        <v>99</v>
      </c>
      <c r="BO1296" t="s">
        <v>111</v>
      </c>
      <c r="CD1296" t="s">
        <v>1065</v>
      </c>
      <c r="CE1296">
        <v>20182</v>
      </c>
      <c r="CF1296" t="s">
        <v>1066</v>
      </c>
      <c r="CG1296" t="s">
        <v>1067</v>
      </c>
      <c r="CH1296">
        <v>1998</v>
      </c>
    </row>
    <row r="1297" spans="1:86" hidden="1" x14ac:dyDescent="0.25">
      <c r="A1297">
        <v>330541</v>
      </c>
      <c r="B1297" t="s">
        <v>86</v>
      </c>
      <c r="D1297" t="s">
        <v>87</v>
      </c>
      <c r="K1297" t="s">
        <v>1098</v>
      </c>
      <c r="L1297" t="s">
        <v>1099</v>
      </c>
      <c r="M1297" t="s">
        <v>1100</v>
      </c>
      <c r="V1297" t="s">
        <v>91</v>
      </c>
      <c r="W1297" t="s">
        <v>92</v>
      </c>
      <c r="X1297" t="s">
        <v>93</v>
      </c>
      <c r="Z1297" t="s">
        <v>94</v>
      </c>
      <c r="AB1297">
        <v>0.159</v>
      </c>
      <c r="AG1297" t="s">
        <v>95</v>
      </c>
      <c r="AX1297" t="s">
        <v>96</v>
      </c>
      <c r="AY1297" t="s">
        <v>97</v>
      </c>
      <c r="AZ1297" t="s">
        <v>98</v>
      </c>
      <c r="BC1297">
        <v>3</v>
      </c>
      <c r="BH1297" t="s">
        <v>99</v>
      </c>
      <c r="BJ1297">
        <v>290</v>
      </c>
      <c r="BO1297" t="s">
        <v>100</v>
      </c>
      <c r="CD1297" t="s">
        <v>101</v>
      </c>
      <c r="CE1297">
        <v>682</v>
      </c>
      <c r="CF1297" t="s">
        <v>102</v>
      </c>
      <c r="CG1297" t="s">
        <v>103</v>
      </c>
      <c r="CH1297">
        <v>1976</v>
      </c>
    </row>
    <row r="1298" spans="1:86" hidden="1" x14ac:dyDescent="0.25">
      <c r="A1298">
        <v>330541</v>
      </c>
      <c r="B1298" t="s">
        <v>86</v>
      </c>
      <c r="D1298" t="s">
        <v>115</v>
      </c>
      <c r="F1298">
        <v>80</v>
      </c>
      <c r="K1298" t="s">
        <v>1101</v>
      </c>
      <c r="L1298" t="s">
        <v>1102</v>
      </c>
      <c r="M1298" t="s">
        <v>1100</v>
      </c>
      <c r="N1298" t="s">
        <v>1103</v>
      </c>
      <c r="P1298">
        <v>1</v>
      </c>
      <c r="U1298" t="s">
        <v>934</v>
      </c>
      <c r="V1298" t="s">
        <v>91</v>
      </c>
      <c r="W1298" t="s">
        <v>92</v>
      </c>
      <c r="X1298" t="s">
        <v>93</v>
      </c>
      <c r="Y1298">
        <v>11</v>
      </c>
      <c r="Z1298" t="s">
        <v>137</v>
      </c>
      <c r="AB1298">
        <v>1</v>
      </c>
      <c r="AG1298" t="s">
        <v>95</v>
      </c>
      <c r="AX1298" t="s">
        <v>523</v>
      </c>
      <c r="AY1298" t="s">
        <v>523</v>
      </c>
      <c r="AZ1298" t="s">
        <v>1104</v>
      </c>
      <c r="BC1298">
        <v>3</v>
      </c>
      <c r="BH1298" t="s">
        <v>99</v>
      </c>
      <c r="BO1298" t="s">
        <v>111</v>
      </c>
      <c r="CD1298" t="s">
        <v>1105</v>
      </c>
      <c r="CE1298">
        <v>2012</v>
      </c>
      <c r="CF1298" t="s">
        <v>1106</v>
      </c>
      <c r="CG1298" t="s">
        <v>1107</v>
      </c>
      <c r="CH1298">
        <v>1973</v>
      </c>
    </row>
    <row r="1299" spans="1:86" hidden="1" x14ac:dyDescent="0.25">
      <c r="A1299">
        <v>330541</v>
      </c>
      <c r="B1299" t="s">
        <v>86</v>
      </c>
      <c r="D1299" t="s">
        <v>115</v>
      </c>
      <c r="F1299">
        <v>80</v>
      </c>
      <c r="K1299" t="s">
        <v>1101</v>
      </c>
      <c r="L1299" t="s">
        <v>1102</v>
      </c>
      <c r="M1299" t="s">
        <v>1100</v>
      </c>
      <c r="N1299" t="s">
        <v>1103</v>
      </c>
      <c r="P1299">
        <v>1</v>
      </c>
      <c r="U1299" t="s">
        <v>934</v>
      </c>
      <c r="V1299" t="s">
        <v>91</v>
      </c>
      <c r="W1299" t="s">
        <v>92</v>
      </c>
      <c r="X1299" t="s">
        <v>93</v>
      </c>
      <c r="Y1299">
        <v>11</v>
      </c>
      <c r="Z1299" t="s">
        <v>137</v>
      </c>
      <c r="AB1299">
        <v>1</v>
      </c>
      <c r="AG1299" t="s">
        <v>95</v>
      </c>
      <c r="AX1299" t="s">
        <v>523</v>
      </c>
      <c r="AY1299" t="s">
        <v>523</v>
      </c>
      <c r="AZ1299" t="s">
        <v>1104</v>
      </c>
      <c r="BC1299">
        <v>4</v>
      </c>
      <c r="BH1299" t="s">
        <v>99</v>
      </c>
      <c r="BO1299" t="s">
        <v>111</v>
      </c>
      <c r="CD1299" t="s">
        <v>1105</v>
      </c>
      <c r="CE1299">
        <v>2012</v>
      </c>
      <c r="CF1299" t="s">
        <v>1106</v>
      </c>
      <c r="CG1299" t="s">
        <v>1107</v>
      </c>
      <c r="CH1299">
        <v>1973</v>
      </c>
    </row>
    <row r="1300" spans="1:86" hidden="1" x14ac:dyDescent="0.25">
      <c r="A1300">
        <v>330541</v>
      </c>
      <c r="B1300" t="s">
        <v>86</v>
      </c>
      <c r="D1300" t="s">
        <v>115</v>
      </c>
      <c r="F1300">
        <v>80</v>
      </c>
      <c r="K1300" t="s">
        <v>1101</v>
      </c>
      <c r="L1300" t="s">
        <v>1102</v>
      </c>
      <c r="M1300" t="s">
        <v>1100</v>
      </c>
      <c r="N1300" t="s">
        <v>1103</v>
      </c>
      <c r="P1300">
        <v>1</v>
      </c>
      <c r="U1300" t="s">
        <v>934</v>
      </c>
      <c r="V1300" t="s">
        <v>91</v>
      </c>
      <c r="W1300" t="s">
        <v>92</v>
      </c>
      <c r="X1300" t="s">
        <v>93</v>
      </c>
      <c r="Y1300">
        <v>11</v>
      </c>
      <c r="Z1300" t="s">
        <v>137</v>
      </c>
      <c r="AB1300">
        <v>12</v>
      </c>
      <c r="AG1300" t="s">
        <v>95</v>
      </c>
      <c r="AX1300" t="s">
        <v>523</v>
      </c>
      <c r="AY1300" t="s">
        <v>523</v>
      </c>
      <c r="AZ1300" t="s">
        <v>1104</v>
      </c>
      <c r="BC1300">
        <v>1</v>
      </c>
      <c r="BH1300" t="s">
        <v>99</v>
      </c>
      <c r="BO1300" t="s">
        <v>111</v>
      </c>
      <c r="CD1300" t="s">
        <v>1105</v>
      </c>
      <c r="CE1300">
        <v>2012</v>
      </c>
      <c r="CF1300" t="s">
        <v>1106</v>
      </c>
      <c r="CG1300" t="s">
        <v>1107</v>
      </c>
      <c r="CH1300">
        <v>1973</v>
      </c>
    </row>
    <row r="1301" spans="1:86" hidden="1" x14ac:dyDescent="0.25">
      <c r="A1301">
        <v>330541</v>
      </c>
      <c r="B1301" t="s">
        <v>86</v>
      </c>
      <c r="D1301" t="s">
        <v>115</v>
      </c>
      <c r="F1301">
        <v>80</v>
      </c>
      <c r="K1301" t="s">
        <v>1101</v>
      </c>
      <c r="L1301" t="s">
        <v>1102</v>
      </c>
      <c r="M1301" t="s">
        <v>1100</v>
      </c>
      <c r="N1301" t="s">
        <v>1103</v>
      </c>
      <c r="P1301">
        <v>1</v>
      </c>
      <c r="U1301" t="s">
        <v>934</v>
      </c>
      <c r="V1301" t="s">
        <v>91</v>
      </c>
      <c r="W1301" t="s">
        <v>92</v>
      </c>
      <c r="X1301" t="s">
        <v>93</v>
      </c>
      <c r="Y1301">
        <v>11</v>
      </c>
      <c r="Z1301" t="s">
        <v>137</v>
      </c>
      <c r="AB1301">
        <v>6</v>
      </c>
      <c r="AG1301" t="s">
        <v>95</v>
      </c>
      <c r="AX1301" t="s">
        <v>523</v>
      </c>
      <c r="AY1301" t="s">
        <v>523</v>
      </c>
      <c r="AZ1301" t="s">
        <v>1104</v>
      </c>
      <c r="BC1301">
        <v>2</v>
      </c>
      <c r="BH1301" t="s">
        <v>99</v>
      </c>
      <c r="BO1301" t="s">
        <v>111</v>
      </c>
      <c r="CD1301" t="s">
        <v>1105</v>
      </c>
      <c r="CE1301">
        <v>2012</v>
      </c>
      <c r="CF1301" t="s">
        <v>1106</v>
      </c>
      <c r="CG1301" t="s">
        <v>1107</v>
      </c>
      <c r="CH1301">
        <v>1973</v>
      </c>
    </row>
    <row r="1302" spans="1:86" hidden="1" x14ac:dyDescent="0.25">
      <c r="A1302">
        <v>330541</v>
      </c>
      <c r="B1302" t="s">
        <v>86</v>
      </c>
      <c r="D1302" t="s">
        <v>115</v>
      </c>
      <c r="F1302">
        <v>80</v>
      </c>
      <c r="K1302" t="s">
        <v>1101</v>
      </c>
      <c r="L1302" t="s">
        <v>1102</v>
      </c>
      <c r="M1302" t="s">
        <v>1100</v>
      </c>
      <c r="N1302" t="s">
        <v>945</v>
      </c>
      <c r="P1302">
        <v>1</v>
      </c>
      <c r="U1302" t="s">
        <v>219</v>
      </c>
      <c r="V1302" t="s">
        <v>91</v>
      </c>
      <c r="W1302" t="s">
        <v>92</v>
      </c>
      <c r="X1302" t="s">
        <v>93</v>
      </c>
      <c r="Y1302">
        <v>11</v>
      </c>
      <c r="Z1302" t="s">
        <v>137</v>
      </c>
      <c r="AB1302">
        <v>2</v>
      </c>
      <c r="AG1302" t="s">
        <v>95</v>
      </c>
      <c r="AX1302" t="s">
        <v>523</v>
      </c>
      <c r="AY1302" t="s">
        <v>523</v>
      </c>
      <c r="AZ1302" t="s">
        <v>1104</v>
      </c>
      <c r="BC1302">
        <v>1</v>
      </c>
      <c r="BH1302" t="s">
        <v>99</v>
      </c>
      <c r="BO1302" t="s">
        <v>111</v>
      </c>
      <c r="CD1302" t="s">
        <v>1105</v>
      </c>
      <c r="CE1302">
        <v>2012</v>
      </c>
      <c r="CF1302" t="s">
        <v>1106</v>
      </c>
      <c r="CG1302" t="s">
        <v>1107</v>
      </c>
      <c r="CH1302">
        <v>1973</v>
      </c>
    </row>
    <row r="1303" spans="1:86" hidden="1" x14ac:dyDescent="0.25">
      <c r="A1303">
        <v>330541</v>
      </c>
      <c r="B1303" t="s">
        <v>86</v>
      </c>
      <c r="D1303" t="s">
        <v>115</v>
      </c>
      <c r="F1303">
        <v>80</v>
      </c>
      <c r="K1303" t="s">
        <v>1101</v>
      </c>
      <c r="L1303" t="s">
        <v>1102</v>
      </c>
      <c r="M1303" t="s">
        <v>1100</v>
      </c>
      <c r="N1303" t="s">
        <v>945</v>
      </c>
      <c r="P1303">
        <v>1</v>
      </c>
      <c r="U1303" t="s">
        <v>219</v>
      </c>
      <c r="V1303" t="s">
        <v>91</v>
      </c>
      <c r="W1303" t="s">
        <v>92</v>
      </c>
      <c r="X1303" t="s">
        <v>93</v>
      </c>
      <c r="Y1303">
        <v>11</v>
      </c>
      <c r="Z1303" t="s">
        <v>137</v>
      </c>
      <c r="AB1303">
        <v>0.1</v>
      </c>
      <c r="AG1303" t="s">
        <v>95</v>
      </c>
      <c r="AX1303" t="s">
        <v>523</v>
      </c>
      <c r="AY1303" t="s">
        <v>523</v>
      </c>
      <c r="AZ1303" t="s">
        <v>1104</v>
      </c>
      <c r="BC1303">
        <v>3</v>
      </c>
      <c r="BH1303" t="s">
        <v>99</v>
      </c>
      <c r="BO1303" t="s">
        <v>111</v>
      </c>
      <c r="CD1303" t="s">
        <v>1105</v>
      </c>
      <c r="CE1303">
        <v>2012</v>
      </c>
      <c r="CF1303" t="s">
        <v>1106</v>
      </c>
      <c r="CG1303" t="s">
        <v>1107</v>
      </c>
      <c r="CH1303">
        <v>1973</v>
      </c>
    </row>
    <row r="1304" spans="1:86" hidden="1" x14ac:dyDescent="0.25">
      <c r="A1304">
        <v>330541</v>
      </c>
      <c r="B1304" t="s">
        <v>86</v>
      </c>
      <c r="D1304" t="s">
        <v>115</v>
      </c>
      <c r="F1304">
        <v>80</v>
      </c>
      <c r="K1304" t="s">
        <v>1101</v>
      </c>
      <c r="L1304" t="s">
        <v>1102</v>
      </c>
      <c r="M1304" t="s">
        <v>1100</v>
      </c>
      <c r="N1304" t="s">
        <v>945</v>
      </c>
      <c r="P1304">
        <v>1</v>
      </c>
      <c r="U1304" t="s">
        <v>219</v>
      </c>
      <c r="V1304" t="s">
        <v>91</v>
      </c>
      <c r="W1304" t="s">
        <v>92</v>
      </c>
      <c r="X1304" t="s">
        <v>93</v>
      </c>
      <c r="Y1304">
        <v>11</v>
      </c>
      <c r="Z1304" t="s">
        <v>137</v>
      </c>
      <c r="AB1304">
        <v>0.1</v>
      </c>
      <c r="AG1304" t="s">
        <v>95</v>
      </c>
      <c r="AX1304" t="s">
        <v>523</v>
      </c>
      <c r="AY1304" t="s">
        <v>523</v>
      </c>
      <c r="AZ1304" t="s">
        <v>1104</v>
      </c>
      <c r="BC1304">
        <v>4</v>
      </c>
      <c r="BH1304" t="s">
        <v>99</v>
      </c>
      <c r="BO1304" t="s">
        <v>111</v>
      </c>
      <c r="CD1304" t="s">
        <v>1105</v>
      </c>
      <c r="CE1304">
        <v>2012</v>
      </c>
      <c r="CF1304" t="s">
        <v>1106</v>
      </c>
      <c r="CG1304" t="s">
        <v>1107</v>
      </c>
      <c r="CH1304">
        <v>1973</v>
      </c>
    </row>
    <row r="1305" spans="1:86" hidden="1" x14ac:dyDescent="0.25">
      <c r="A1305">
        <v>330541</v>
      </c>
      <c r="B1305" t="s">
        <v>86</v>
      </c>
      <c r="D1305" t="s">
        <v>115</v>
      </c>
      <c r="F1305">
        <v>80</v>
      </c>
      <c r="K1305" t="s">
        <v>1101</v>
      </c>
      <c r="L1305" t="s">
        <v>1102</v>
      </c>
      <c r="M1305" t="s">
        <v>1100</v>
      </c>
      <c r="N1305" t="s">
        <v>945</v>
      </c>
      <c r="P1305">
        <v>1</v>
      </c>
      <c r="U1305" t="s">
        <v>219</v>
      </c>
      <c r="V1305" t="s">
        <v>91</v>
      </c>
      <c r="W1305" t="s">
        <v>92</v>
      </c>
      <c r="X1305" t="s">
        <v>93</v>
      </c>
      <c r="Y1305">
        <v>11</v>
      </c>
      <c r="Z1305" t="s">
        <v>137</v>
      </c>
      <c r="AB1305">
        <v>0.1</v>
      </c>
      <c r="AG1305" t="s">
        <v>95</v>
      </c>
      <c r="AX1305" t="s">
        <v>523</v>
      </c>
      <c r="AY1305" t="s">
        <v>523</v>
      </c>
      <c r="AZ1305" t="s">
        <v>1104</v>
      </c>
      <c r="BC1305">
        <v>2</v>
      </c>
      <c r="BH1305" t="s">
        <v>99</v>
      </c>
      <c r="BO1305" t="s">
        <v>111</v>
      </c>
      <c r="CD1305" t="s">
        <v>1105</v>
      </c>
      <c r="CE1305">
        <v>2012</v>
      </c>
      <c r="CF1305" t="s">
        <v>1106</v>
      </c>
      <c r="CG1305" t="s">
        <v>1107</v>
      </c>
      <c r="CH1305">
        <v>1973</v>
      </c>
    </row>
    <row r="1306" spans="1:86" hidden="1" x14ac:dyDescent="0.25">
      <c r="A1306">
        <v>330541</v>
      </c>
      <c r="B1306" t="s">
        <v>86</v>
      </c>
      <c r="C1306" t="s">
        <v>183</v>
      </c>
      <c r="D1306" t="s">
        <v>115</v>
      </c>
      <c r="F1306">
        <v>98</v>
      </c>
      <c r="K1306" t="s">
        <v>1108</v>
      </c>
      <c r="L1306" t="s">
        <v>1109</v>
      </c>
      <c r="M1306" t="s">
        <v>1100</v>
      </c>
      <c r="N1306" t="s">
        <v>1110</v>
      </c>
      <c r="O1306" t="s">
        <v>499</v>
      </c>
      <c r="P1306">
        <v>72</v>
      </c>
      <c r="U1306" t="s">
        <v>1111</v>
      </c>
      <c r="V1306" t="s">
        <v>507</v>
      </c>
      <c r="W1306" t="s">
        <v>107</v>
      </c>
      <c r="X1306" t="s">
        <v>93</v>
      </c>
      <c r="Y1306">
        <v>8</v>
      </c>
      <c r="Z1306" t="s">
        <v>94</v>
      </c>
      <c r="AB1306">
        <v>1.3959999999999999</v>
      </c>
      <c r="AD1306">
        <v>0.93100000000000005</v>
      </c>
      <c r="AF1306">
        <v>1.833</v>
      </c>
      <c r="AG1306" t="s">
        <v>95</v>
      </c>
      <c r="AX1306" t="s">
        <v>523</v>
      </c>
      <c r="AY1306" t="s">
        <v>523</v>
      </c>
      <c r="AZ1306" t="s">
        <v>987</v>
      </c>
      <c r="BC1306">
        <v>2</v>
      </c>
      <c r="BH1306" t="s">
        <v>99</v>
      </c>
      <c r="BO1306" t="s">
        <v>111</v>
      </c>
      <c r="CD1306" t="s">
        <v>1112</v>
      </c>
      <c r="CE1306">
        <v>160499</v>
      </c>
      <c r="CF1306" t="s">
        <v>1113</v>
      </c>
      <c r="CG1306" t="s">
        <v>1114</v>
      </c>
      <c r="CH1306">
        <v>2012</v>
      </c>
    </row>
    <row r="1307" spans="1:86" hidden="1" x14ac:dyDescent="0.25">
      <c r="A1307">
        <v>330541</v>
      </c>
      <c r="B1307" t="s">
        <v>86</v>
      </c>
      <c r="D1307" t="s">
        <v>115</v>
      </c>
      <c r="F1307">
        <v>98</v>
      </c>
      <c r="K1307" t="s">
        <v>1115</v>
      </c>
      <c r="L1307" t="s">
        <v>1116</v>
      </c>
      <c r="M1307" t="s">
        <v>1100</v>
      </c>
      <c r="N1307" t="s">
        <v>945</v>
      </c>
      <c r="O1307" t="s">
        <v>234</v>
      </c>
      <c r="P1307">
        <v>24</v>
      </c>
      <c r="U1307" t="s">
        <v>213</v>
      </c>
      <c r="V1307" t="s">
        <v>507</v>
      </c>
      <c r="W1307" t="s">
        <v>107</v>
      </c>
      <c r="X1307" t="s">
        <v>93</v>
      </c>
      <c r="Z1307" t="s">
        <v>94</v>
      </c>
      <c r="AB1307">
        <v>6.6</v>
      </c>
      <c r="AD1307">
        <v>6</v>
      </c>
      <c r="AF1307">
        <v>7.2</v>
      </c>
      <c r="AG1307" t="s">
        <v>95</v>
      </c>
      <c r="AX1307" t="s">
        <v>523</v>
      </c>
      <c r="AY1307" t="s">
        <v>523</v>
      </c>
      <c r="AZ1307" t="s">
        <v>987</v>
      </c>
      <c r="BC1307">
        <v>4</v>
      </c>
      <c r="BH1307" t="s">
        <v>99</v>
      </c>
      <c r="BO1307" t="s">
        <v>111</v>
      </c>
      <c r="CD1307" t="s">
        <v>169</v>
      </c>
      <c r="CE1307">
        <v>156339</v>
      </c>
      <c r="CF1307" t="s">
        <v>170</v>
      </c>
      <c r="CG1307" t="s">
        <v>171</v>
      </c>
      <c r="CH1307">
        <v>2011</v>
      </c>
    </row>
    <row r="1308" spans="1:86" hidden="1" x14ac:dyDescent="0.25">
      <c r="A1308">
        <v>330541</v>
      </c>
      <c r="B1308" t="s">
        <v>86</v>
      </c>
      <c r="C1308" t="s">
        <v>183</v>
      </c>
      <c r="D1308" t="s">
        <v>115</v>
      </c>
      <c r="F1308">
        <v>98</v>
      </c>
      <c r="K1308" t="s">
        <v>1108</v>
      </c>
      <c r="L1308" t="s">
        <v>1109</v>
      </c>
      <c r="M1308" t="s">
        <v>1100</v>
      </c>
      <c r="N1308" t="s">
        <v>1110</v>
      </c>
      <c r="O1308" t="s">
        <v>499</v>
      </c>
      <c r="P1308">
        <v>72</v>
      </c>
      <c r="U1308" t="s">
        <v>1111</v>
      </c>
      <c r="V1308" t="s">
        <v>507</v>
      </c>
      <c r="W1308" t="s">
        <v>107</v>
      </c>
      <c r="X1308" t="s">
        <v>93</v>
      </c>
      <c r="Y1308">
        <v>8</v>
      </c>
      <c r="Z1308" t="s">
        <v>94</v>
      </c>
      <c r="AB1308">
        <v>1.617</v>
      </c>
      <c r="AD1308">
        <v>1.395</v>
      </c>
      <c r="AF1308">
        <v>1.9870000000000001</v>
      </c>
      <c r="AG1308" t="s">
        <v>95</v>
      </c>
      <c r="AX1308" t="s">
        <v>523</v>
      </c>
      <c r="AY1308" t="s">
        <v>523</v>
      </c>
      <c r="AZ1308" t="s">
        <v>987</v>
      </c>
      <c r="BC1308">
        <v>4</v>
      </c>
      <c r="BH1308" t="s">
        <v>99</v>
      </c>
      <c r="BO1308" t="s">
        <v>111</v>
      </c>
      <c r="CD1308" t="s">
        <v>1112</v>
      </c>
      <c r="CE1308">
        <v>160499</v>
      </c>
      <c r="CF1308" t="s">
        <v>1113</v>
      </c>
      <c r="CG1308" t="s">
        <v>1114</v>
      </c>
      <c r="CH1308">
        <v>2012</v>
      </c>
    </row>
    <row r="1309" spans="1:86" hidden="1" x14ac:dyDescent="0.25">
      <c r="A1309">
        <v>330541</v>
      </c>
      <c r="B1309" t="s">
        <v>86</v>
      </c>
      <c r="D1309" t="s">
        <v>115</v>
      </c>
      <c r="F1309">
        <v>80</v>
      </c>
      <c r="K1309" t="s">
        <v>1117</v>
      </c>
      <c r="L1309" t="s">
        <v>1118</v>
      </c>
      <c r="M1309" t="s">
        <v>1100</v>
      </c>
      <c r="V1309" t="s">
        <v>257</v>
      </c>
      <c r="W1309" t="s">
        <v>92</v>
      </c>
      <c r="X1309" t="s">
        <v>93</v>
      </c>
      <c r="Z1309" t="s">
        <v>137</v>
      </c>
      <c r="AB1309">
        <v>150</v>
      </c>
      <c r="AG1309" t="s">
        <v>95</v>
      </c>
      <c r="AX1309" t="s">
        <v>523</v>
      </c>
      <c r="AY1309" t="s">
        <v>523</v>
      </c>
      <c r="AZ1309" t="s">
        <v>987</v>
      </c>
      <c r="BC1309">
        <v>2</v>
      </c>
      <c r="BH1309" t="s">
        <v>99</v>
      </c>
      <c r="BO1309" t="s">
        <v>111</v>
      </c>
      <c r="CD1309" t="s">
        <v>1119</v>
      </c>
      <c r="CE1309">
        <v>848</v>
      </c>
      <c r="CF1309" t="s">
        <v>1120</v>
      </c>
      <c r="CG1309" t="s">
        <v>1121</v>
      </c>
      <c r="CH1309">
        <v>1975</v>
      </c>
    </row>
    <row r="1310" spans="1:86" hidden="1" x14ac:dyDescent="0.25">
      <c r="A1310">
        <v>330541</v>
      </c>
      <c r="B1310" t="s">
        <v>86</v>
      </c>
      <c r="D1310" t="s">
        <v>115</v>
      </c>
      <c r="F1310">
        <v>80</v>
      </c>
      <c r="K1310" t="s">
        <v>1117</v>
      </c>
      <c r="L1310" t="s">
        <v>1118</v>
      </c>
      <c r="M1310" t="s">
        <v>1100</v>
      </c>
      <c r="V1310" t="s">
        <v>257</v>
      </c>
      <c r="W1310" t="s">
        <v>92</v>
      </c>
      <c r="X1310" t="s">
        <v>93</v>
      </c>
      <c r="Z1310" t="s">
        <v>137</v>
      </c>
      <c r="AB1310">
        <v>110</v>
      </c>
      <c r="AG1310" t="s">
        <v>95</v>
      </c>
      <c r="AX1310" t="s">
        <v>523</v>
      </c>
      <c r="AY1310" t="s">
        <v>523</v>
      </c>
      <c r="AZ1310" t="s">
        <v>987</v>
      </c>
      <c r="BC1310">
        <v>1</v>
      </c>
      <c r="BH1310" t="s">
        <v>99</v>
      </c>
      <c r="BO1310" t="s">
        <v>111</v>
      </c>
      <c r="CD1310" t="s">
        <v>1119</v>
      </c>
      <c r="CE1310">
        <v>848</v>
      </c>
      <c r="CF1310" t="s">
        <v>1120</v>
      </c>
      <c r="CG1310" t="s">
        <v>1121</v>
      </c>
      <c r="CH1310">
        <v>1975</v>
      </c>
    </row>
    <row r="1311" spans="1:86" hidden="1" x14ac:dyDescent="0.25">
      <c r="A1311">
        <v>330541</v>
      </c>
      <c r="B1311" t="s">
        <v>86</v>
      </c>
      <c r="D1311" t="s">
        <v>115</v>
      </c>
      <c r="F1311">
        <v>80</v>
      </c>
      <c r="K1311" t="s">
        <v>1101</v>
      </c>
      <c r="L1311" t="s">
        <v>1102</v>
      </c>
      <c r="M1311" t="s">
        <v>1100</v>
      </c>
      <c r="N1311" t="s">
        <v>1103</v>
      </c>
      <c r="P1311">
        <v>1</v>
      </c>
      <c r="U1311" t="s">
        <v>934</v>
      </c>
      <c r="V1311" t="s">
        <v>91</v>
      </c>
      <c r="W1311" t="s">
        <v>92</v>
      </c>
      <c r="X1311" t="s">
        <v>93</v>
      </c>
      <c r="Y1311">
        <v>11</v>
      </c>
      <c r="Z1311" t="s">
        <v>137</v>
      </c>
      <c r="AB1311">
        <v>12</v>
      </c>
      <c r="AG1311" t="s">
        <v>95</v>
      </c>
      <c r="AX1311" t="s">
        <v>523</v>
      </c>
      <c r="AY1311" t="s">
        <v>523</v>
      </c>
      <c r="AZ1311" t="s">
        <v>1122</v>
      </c>
      <c r="BC1311">
        <v>2</v>
      </c>
      <c r="BH1311" t="s">
        <v>99</v>
      </c>
      <c r="BO1311" t="s">
        <v>111</v>
      </c>
      <c r="CD1311" t="s">
        <v>1105</v>
      </c>
      <c r="CE1311">
        <v>2012</v>
      </c>
      <c r="CF1311" t="s">
        <v>1106</v>
      </c>
      <c r="CG1311" t="s">
        <v>1107</v>
      </c>
      <c r="CH1311">
        <v>1973</v>
      </c>
    </row>
    <row r="1312" spans="1:86" hidden="1" x14ac:dyDescent="0.25">
      <c r="A1312">
        <v>330541</v>
      </c>
      <c r="B1312" t="s">
        <v>86</v>
      </c>
      <c r="D1312" t="s">
        <v>115</v>
      </c>
      <c r="F1312">
        <v>80</v>
      </c>
      <c r="K1312" t="s">
        <v>1101</v>
      </c>
      <c r="L1312" t="s">
        <v>1102</v>
      </c>
      <c r="M1312" t="s">
        <v>1100</v>
      </c>
      <c r="N1312" t="s">
        <v>1103</v>
      </c>
      <c r="P1312">
        <v>1</v>
      </c>
      <c r="U1312" t="s">
        <v>934</v>
      </c>
      <c r="V1312" t="s">
        <v>91</v>
      </c>
      <c r="W1312" t="s">
        <v>92</v>
      </c>
      <c r="X1312" t="s">
        <v>93</v>
      </c>
      <c r="Y1312">
        <v>11</v>
      </c>
      <c r="Z1312" t="s">
        <v>137</v>
      </c>
      <c r="AB1312">
        <v>12</v>
      </c>
      <c r="AG1312" t="s">
        <v>95</v>
      </c>
      <c r="AX1312" t="s">
        <v>523</v>
      </c>
      <c r="AY1312" t="s">
        <v>523</v>
      </c>
      <c r="AZ1312" t="s">
        <v>1122</v>
      </c>
      <c r="BC1312">
        <v>4</v>
      </c>
      <c r="BH1312" t="s">
        <v>99</v>
      </c>
      <c r="BO1312" t="s">
        <v>111</v>
      </c>
      <c r="CD1312" t="s">
        <v>1105</v>
      </c>
      <c r="CE1312">
        <v>2012</v>
      </c>
      <c r="CF1312" t="s">
        <v>1106</v>
      </c>
      <c r="CG1312" t="s">
        <v>1107</v>
      </c>
      <c r="CH1312">
        <v>1973</v>
      </c>
    </row>
    <row r="1313" spans="1:86" hidden="1" x14ac:dyDescent="0.25">
      <c r="A1313">
        <v>330541</v>
      </c>
      <c r="B1313" t="s">
        <v>86</v>
      </c>
      <c r="D1313" t="s">
        <v>115</v>
      </c>
      <c r="F1313">
        <v>80</v>
      </c>
      <c r="K1313" t="s">
        <v>1101</v>
      </c>
      <c r="L1313" t="s">
        <v>1102</v>
      </c>
      <c r="M1313" t="s">
        <v>1100</v>
      </c>
      <c r="N1313" t="s">
        <v>945</v>
      </c>
      <c r="P1313">
        <v>1</v>
      </c>
      <c r="U1313" t="s">
        <v>219</v>
      </c>
      <c r="V1313" t="s">
        <v>91</v>
      </c>
      <c r="W1313" t="s">
        <v>92</v>
      </c>
      <c r="X1313" t="s">
        <v>93</v>
      </c>
      <c r="Y1313">
        <v>11</v>
      </c>
      <c r="Z1313" t="s">
        <v>137</v>
      </c>
      <c r="AB1313">
        <v>2</v>
      </c>
      <c r="AG1313" t="s">
        <v>95</v>
      </c>
      <c r="AX1313" t="s">
        <v>523</v>
      </c>
      <c r="AY1313" t="s">
        <v>523</v>
      </c>
      <c r="AZ1313" t="s">
        <v>1122</v>
      </c>
      <c r="BC1313">
        <v>3</v>
      </c>
      <c r="BH1313" t="s">
        <v>99</v>
      </c>
      <c r="BO1313" t="s">
        <v>111</v>
      </c>
      <c r="CD1313" t="s">
        <v>1105</v>
      </c>
      <c r="CE1313">
        <v>2012</v>
      </c>
      <c r="CF1313" t="s">
        <v>1106</v>
      </c>
      <c r="CG1313" t="s">
        <v>1107</v>
      </c>
      <c r="CH1313">
        <v>1973</v>
      </c>
    </row>
    <row r="1314" spans="1:86" hidden="1" x14ac:dyDescent="0.25">
      <c r="A1314">
        <v>330541</v>
      </c>
      <c r="B1314" t="s">
        <v>86</v>
      </c>
      <c r="D1314" t="s">
        <v>115</v>
      </c>
      <c r="F1314">
        <v>80</v>
      </c>
      <c r="K1314" t="s">
        <v>1101</v>
      </c>
      <c r="L1314" t="s">
        <v>1102</v>
      </c>
      <c r="M1314" t="s">
        <v>1100</v>
      </c>
      <c r="N1314" t="s">
        <v>1103</v>
      </c>
      <c r="P1314">
        <v>1</v>
      </c>
      <c r="U1314" t="s">
        <v>934</v>
      </c>
      <c r="V1314" t="s">
        <v>91</v>
      </c>
      <c r="W1314" t="s">
        <v>92</v>
      </c>
      <c r="X1314" t="s">
        <v>93</v>
      </c>
      <c r="Y1314">
        <v>11</v>
      </c>
      <c r="Z1314" t="s">
        <v>137</v>
      </c>
      <c r="AB1314">
        <v>16</v>
      </c>
      <c r="AG1314" t="s">
        <v>95</v>
      </c>
      <c r="AX1314" t="s">
        <v>523</v>
      </c>
      <c r="AY1314" t="s">
        <v>523</v>
      </c>
      <c r="AZ1314" t="s">
        <v>1122</v>
      </c>
      <c r="BC1314">
        <v>1</v>
      </c>
      <c r="BH1314" t="s">
        <v>99</v>
      </c>
      <c r="BO1314" t="s">
        <v>111</v>
      </c>
      <c r="CD1314" t="s">
        <v>1105</v>
      </c>
      <c r="CE1314">
        <v>2012</v>
      </c>
      <c r="CF1314" t="s">
        <v>1106</v>
      </c>
      <c r="CG1314" t="s">
        <v>1107</v>
      </c>
      <c r="CH1314">
        <v>1973</v>
      </c>
    </row>
    <row r="1315" spans="1:86" hidden="1" x14ac:dyDescent="0.25">
      <c r="A1315">
        <v>330541</v>
      </c>
      <c r="B1315" t="s">
        <v>86</v>
      </c>
      <c r="D1315" t="s">
        <v>115</v>
      </c>
      <c r="F1315">
        <v>80</v>
      </c>
      <c r="K1315" t="s">
        <v>1101</v>
      </c>
      <c r="L1315" t="s">
        <v>1102</v>
      </c>
      <c r="M1315" t="s">
        <v>1100</v>
      </c>
      <c r="N1315" t="s">
        <v>945</v>
      </c>
      <c r="P1315">
        <v>1</v>
      </c>
      <c r="U1315" t="s">
        <v>219</v>
      </c>
      <c r="V1315" t="s">
        <v>91</v>
      </c>
      <c r="W1315" t="s">
        <v>92</v>
      </c>
      <c r="X1315" t="s">
        <v>93</v>
      </c>
      <c r="Y1315">
        <v>11</v>
      </c>
      <c r="Z1315" t="s">
        <v>137</v>
      </c>
      <c r="AB1315">
        <v>3</v>
      </c>
      <c r="AG1315" t="s">
        <v>95</v>
      </c>
      <c r="AX1315" t="s">
        <v>523</v>
      </c>
      <c r="AY1315" t="s">
        <v>523</v>
      </c>
      <c r="AZ1315" t="s">
        <v>1122</v>
      </c>
      <c r="BC1315">
        <v>2</v>
      </c>
      <c r="BH1315" t="s">
        <v>99</v>
      </c>
      <c r="BO1315" t="s">
        <v>111</v>
      </c>
      <c r="CD1315" t="s">
        <v>1105</v>
      </c>
      <c r="CE1315">
        <v>2012</v>
      </c>
      <c r="CF1315" t="s">
        <v>1106</v>
      </c>
      <c r="CG1315" t="s">
        <v>1107</v>
      </c>
      <c r="CH1315">
        <v>1973</v>
      </c>
    </row>
    <row r="1316" spans="1:86" hidden="1" x14ac:dyDescent="0.25">
      <c r="A1316">
        <v>330541</v>
      </c>
      <c r="B1316" t="s">
        <v>86</v>
      </c>
      <c r="D1316" t="s">
        <v>115</v>
      </c>
      <c r="F1316">
        <v>80</v>
      </c>
      <c r="K1316" t="s">
        <v>1101</v>
      </c>
      <c r="L1316" t="s">
        <v>1102</v>
      </c>
      <c r="M1316" t="s">
        <v>1100</v>
      </c>
      <c r="N1316" t="s">
        <v>945</v>
      </c>
      <c r="P1316">
        <v>1</v>
      </c>
      <c r="U1316" t="s">
        <v>219</v>
      </c>
      <c r="V1316" t="s">
        <v>91</v>
      </c>
      <c r="W1316" t="s">
        <v>92</v>
      </c>
      <c r="X1316" t="s">
        <v>93</v>
      </c>
      <c r="Y1316">
        <v>11</v>
      </c>
      <c r="Z1316" t="s">
        <v>137</v>
      </c>
      <c r="AB1316">
        <v>1</v>
      </c>
      <c r="AG1316" t="s">
        <v>95</v>
      </c>
      <c r="AX1316" t="s">
        <v>523</v>
      </c>
      <c r="AY1316" t="s">
        <v>523</v>
      </c>
      <c r="AZ1316" t="s">
        <v>1122</v>
      </c>
      <c r="BC1316">
        <v>4</v>
      </c>
      <c r="BH1316" t="s">
        <v>99</v>
      </c>
      <c r="BO1316" t="s">
        <v>111</v>
      </c>
      <c r="CD1316" t="s">
        <v>1105</v>
      </c>
      <c r="CE1316">
        <v>2012</v>
      </c>
      <c r="CF1316" t="s">
        <v>1106</v>
      </c>
      <c r="CG1316" t="s">
        <v>1107</v>
      </c>
      <c r="CH1316">
        <v>1973</v>
      </c>
    </row>
    <row r="1317" spans="1:86" hidden="1" x14ac:dyDescent="0.25">
      <c r="A1317">
        <v>330541</v>
      </c>
      <c r="B1317" t="s">
        <v>86</v>
      </c>
      <c r="D1317" t="s">
        <v>115</v>
      </c>
      <c r="F1317">
        <v>80</v>
      </c>
      <c r="K1317" t="s">
        <v>1101</v>
      </c>
      <c r="L1317" t="s">
        <v>1102</v>
      </c>
      <c r="M1317" t="s">
        <v>1100</v>
      </c>
      <c r="N1317" t="s">
        <v>1103</v>
      </c>
      <c r="P1317">
        <v>1</v>
      </c>
      <c r="U1317" t="s">
        <v>934</v>
      </c>
      <c r="V1317" t="s">
        <v>91</v>
      </c>
      <c r="W1317" t="s">
        <v>92</v>
      </c>
      <c r="X1317" t="s">
        <v>93</v>
      </c>
      <c r="Y1317">
        <v>11</v>
      </c>
      <c r="Z1317" t="s">
        <v>137</v>
      </c>
      <c r="AB1317">
        <v>12</v>
      </c>
      <c r="AG1317" t="s">
        <v>95</v>
      </c>
      <c r="AX1317" t="s">
        <v>523</v>
      </c>
      <c r="AY1317" t="s">
        <v>523</v>
      </c>
      <c r="AZ1317" t="s">
        <v>1122</v>
      </c>
      <c r="BC1317">
        <v>3</v>
      </c>
      <c r="BH1317" t="s">
        <v>99</v>
      </c>
      <c r="BO1317" t="s">
        <v>111</v>
      </c>
      <c r="CD1317" t="s">
        <v>1105</v>
      </c>
      <c r="CE1317">
        <v>2012</v>
      </c>
      <c r="CF1317" t="s">
        <v>1106</v>
      </c>
      <c r="CG1317" t="s">
        <v>1107</v>
      </c>
      <c r="CH1317">
        <v>1973</v>
      </c>
    </row>
    <row r="1318" spans="1:86" hidden="1" x14ac:dyDescent="0.25">
      <c r="A1318">
        <v>330541</v>
      </c>
      <c r="B1318" t="s">
        <v>86</v>
      </c>
      <c r="D1318" t="s">
        <v>115</v>
      </c>
      <c r="F1318">
        <v>80</v>
      </c>
      <c r="K1318" t="s">
        <v>1101</v>
      </c>
      <c r="L1318" t="s">
        <v>1102</v>
      </c>
      <c r="M1318" t="s">
        <v>1100</v>
      </c>
      <c r="N1318" t="s">
        <v>945</v>
      </c>
      <c r="P1318">
        <v>1</v>
      </c>
      <c r="U1318" t="s">
        <v>219</v>
      </c>
      <c r="V1318" t="s">
        <v>91</v>
      </c>
      <c r="W1318" t="s">
        <v>92</v>
      </c>
      <c r="X1318" t="s">
        <v>93</v>
      </c>
      <c r="Y1318">
        <v>11</v>
      </c>
      <c r="Z1318" t="s">
        <v>137</v>
      </c>
      <c r="AB1318">
        <v>5</v>
      </c>
      <c r="AG1318" t="s">
        <v>95</v>
      </c>
      <c r="AX1318" t="s">
        <v>523</v>
      </c>
      <c r="AY1318" t="s">
        <v>523</v>
      </c>
      <c r="AZ1318" t="s">
        <v>1122</v>
      </c>
      <c r="BC1318">
        <v>1</v>
      </c>
      <c r="BH1318" t="s">
        <v>99</v>
      </c>
      <c r="BO1318" t="s">
        <v>111</v>
      </c>
      <c r="CD1318" t="s">
        <v>1105</v>
      </c>
      <c r="CE1318">
        <v>2012</v>
      </c>
      <c r="CF1318" t="s">
        <v>1106</v>
      </c>
      <c r="CG1318" t="s">
        <v>1107</v>
      </c>
      <c r="CH1318">
        <v>1973</v>
      </c>
    </row>
    <row r="1319" spans="1:86" hidden="1" x14ac:dyDescent="0.25">
      <c r="A1319">
        <v>330541</v>
      </c>
      <c r="B1319" t="s">
        <v>86</v>
      </c>
      <c r="D1319" t="s">
        <v>115</v>
      </c>
      <c r="F1319">
        <v>80</v>
      </c>
      <c r="K1319" t="s">
        <v>1101</v>
      </c>
      <c r="L1319" t="s">
        <v>1102</v>
      </c>
      <c r="M1319" t="s">
        <v>1100</v>
      </c>
      <c r="N1319" t="s">
        <v>945</v>
      </c>
      <c r="V1319" t="s">
        <v>91</v>
      </c>
      <c r="W1319" t="s">
        <v>92</v>
      </c>
      <c r="X1319" t="s">
        <v>93</v>
      </c>
      <c r="Z1319" t="s">
        <v>137</v>
      </c>
      <c r="AB1319">
        <v>3</v>
      </c>
      <c r="AG1319" t="s">
        <v>95</v>
      </c>
      <c r="AX1319" t="s">
        <v>523</v>
      </c>
      <c r="AY1319" t="s">
        <v>523</v>
      </c>
      <c r="AZ1319" t="s">
        <v>475</v>
      </c>
      <c r="BC1319">
        <v>1</v>
      </c>
      <c r="BH1319" t="s">
        <v>99</v>
      </c>
      <c r="BO1319" t="s">
        <v>111</v>
      </c>
      <c r="CD1319" t="s">
        <v>1105</v>
      </c>
      <c r="CE1319">
        <v>2012</v>
      </c>
      <c r="CF1319" t="s">
        <v>1106</v>
      </c>
      <c r="CG1319" t="s">
        <v>1107</v>
      </c>
      <c r="CH1319">
        <v>1973</v>
      </c>
    </row>
    <row r="1320" spans="1:86" hidden="1" x14ac:dyDescent="0.25">
      <c r="A1320">
        <v>330541</v>
      </c>
      <c r="B1320" t="s">
        <v>86</v>
      </c>
      <c r="F1320">
        <v>95</v>
      </c>
      <c r="K1320" t="s">
        <v>1123</v>
      </c>
      <c r="L1320" t="s">
        <v>1124</v>
      </c>
      <c r="M1320" t="s">
        <v>1100</v>
      </c>
      <c r="V1320" t="s">
        <v>91</v>
      </c>
      <c r="W1320" t="s">
        <v>92</v>
      </c>
      <c r="X1320" t="s">
        <v>93</v>
      </c>
      <c r="Z1320" t="s">
        <v>94</v>
      </c>
      <c r="AB1320">
        <v>2.8</v>
      </c>
      <c r="AD1320">
        <v>1.9</v>
      </c>
      <c r="AF1320">
        <v>4.2</v>
      </c>
      <c r="AG1320" t="s">
        <v>95</v>
      </c>
      <c r="AX1320" t="s">
        <v>523</v>
      </c>
      <c r="AY1320" t="s">
        <v>523</v>
      </c>
      <c r="AZ1320" t="s">
        <v>475</v>
      </c>
      <c r="BC1320">
        <v>1</v>
      </c>
      <c r="BH1320" t="s">
        <v>99</v>
      </c>
      <c r="BO1320" t="s">
        <v>111</v>
      </c>
      <c r="CD1320" t="s">
        <v>982</v>
      </c>
      <c r="CE1320">
        <v>6797</v>
      </c>
      <c r="CF1320" t="s">
        <v>983</v>
      </c>
      <c r="CG1320" t="s">
        <v>984</v>
      </c>
      <c r="CH1320">
        <v>1986</v>
      </c>
    </row>
    <row r="1321" spans="1:86" hidden="1" x14ac:dyDescent="0.25">
      <c r="A1321">
        <v>330541</v>
      </c>
      <c r="B1321" t="s">
        <v>86</v>
      </c>
      <c r="F1321">
        <v>95</v>
      </c>
      <c r="K1321" t="s">
        <v>1123</v>
      </c>
      <c r="L1321" t="s">
        <v>1124</v>
      </c>
      <c r="M1321" t="s">
        <v>1100</v>
      </c>
      <c r="V1321" t="s">
        <v>91</v>
      </c>
      <c r="W1321" t="s">
        <v>92</v>
      </c>
      <c r="X1321" t="s">
        <v>93</v>
      </c>
      <c r="Z1321" t="s">
        <v>94</v>
      </c>
      <c r="AA1321" t="s">
        <v>106</v>
      </c>
      <c r="AB1321">
        <v>4</v>
      </c>
      <c r="AG1321" t="s">
        <v>95</v>
      </c>
      <c r="AX1321" t="s">
        <v>523</v>
      </c>
      <c r="AY1321" t="s">
        <v>523</v>
      </c>
      <c r="AZ1321" t="s">
        <v>475</v>
      </c>
      <c r="BC1321">
        <v>1</v>
      </c>
      <c r="BH1321" t="s">
        <v>99</v>
      </c>
      <c r="BO1321" t="s">
        <v>111</v>
      </c>
      <c r="CD1321" t="s">
        <v>982</v>
      </c>
      <c r="CE1321">
        <v>6797</v>
      </c>
      <c r="CF1321" t="s">
        <v>983</v>
      </c>
      <c r="CG1321" t="s">
        <v>984</v>
      </c>
      <c r="CH1321">
        <v>1986</v>
      </c>
    </row>
    <row r="1322" spans="1:86" hidden="1" x14ac:dyDescent="0.25">
      <c r="A1322">
        <v>330541</v>
      </c>
      <c r="B1322" t="s">
        <v>86</v>
      </c>
      <c r="F1322">
        <v>95</v>
      </c>
      <c r="K1322" t="s">
        <v>1123</v>
      </c>
      <c r="L1322" t="s">
        <v>1124</v>
      </c>
      <c r="M1322" t="s">
        <v>1100</v>
      </c>
      <c r="V1322" t="s">
        <v>91</v>
      </c>
      <c r="W1322" t="s">
        <v>92</v>
      </c>
      <c r="X1322" t="s">
        <v>93</v>
      </c>
      <c r="Z1322" t="s">
        <v>94</v>
      </c>
      <c r="AA1322" t="s">
        <v>106</v>
      </c>
      <c r="AB1322">
        <v>5</v>
      </c>
      <c r="AG1322" t="s">
        <v>95</v>
      </c>
      <c r="AX1322" t="s">
        <v>523</v>
      </c>
      <c r="AY1322" t="s">
        <v>523</v>
      </c>
      <c r="AZ1322" t="s">
        <v>475</v>
      </c>
      <c r="BC1322">
        <v>1</v>
      </c>
      <c r="BH1322" t="s">
        <v>99</v>
      </c>
      <c r="BO1322" t="s">
        <v>111</v>
      </c>
      <c r="CD1322" t="s">
        <v>982</v>
      </c>
      <c r="CE1322">
        <v>6797</v>
      </c>
      <c r="CF1322" t="s">
        <v>983</v>
      </c>
      <c r="CG1322" t="s">
        <v>984</v>
      </c>
      <c r="CH1322">
        <v>1986</v>
      </c>
    </row>
    <row r="1323" spans="1:86" hidden="1" x14ac:dyDescent="0.25">
      <c r="A1323">
        <v>330541</v>
      </c>
      <c r="B1323" t="s">
        <v>86</v>
      </c>
      <c r="D1323" t="s">
        <v>115</v>
      </c>
      <c r="K1323" t="s">
        <v>1125</v>
      </c>
      <c r="L1323" t="s">
        <v>1126</v>
      </c>
      <c r="M1323" t="s">
        <v>1100</v>
      </c>
      <c r="N1323" t="s">
        <v>1000</v>
      </c>
      <c r="V1323" t="s">
        <v>91</v>
      </c>
      <c r="W1323" t="s">
        <v>107</v>
      </c>
      <c r="X1323" t="s">
        <v>93</v>
      </c>
      <c r="Z1323" t="s">
        <v>137</v>
      </c>
      <c r="AB1323">
        <v>6.3</v>
      </c>
      <c r="AG1323" t="s">
        <v>95</v>
      </c>
      <c r="AX1323" t="s">
        <v>523</v>
      </c>
      <c r="AY1323" t="s">
        <v>523</v>
      </c>
      <c r="AZ1323" t="s">
        <v>475</v>
      </c>
      <c r="BC1323">
        <v>2</v>
      </c>
      <c r="BH1323" t="s">
        <v>99</v>
      </c>
      <c r="BO1323" t="s">
        <v>111</v>
      </c>
      <c r="CD1323" t="s">
        <v>682</v>
      </c>
      <c r="CE1323">
        <v>2188</v>
      </c>
      <c r="CF1323" t="s">
        <v>752</v>
      </c>
      <c r="CG1323" t="s">
        <v>753</v>
      </c>
      <c r="CH1323">
        <v>1963</v>
      </c>
    </row>
    <row r="1324" spans="1:86" hidden="1" x14ac:dyDescent="0.25">
      <c r="A1324">
        <v>330541</v>
      </c>
      <c r="B1324" t="s">
        <v>86</v>
      </c>
      <c r="F1324">
        <v>95</v>
      </c>
      <c r="K1324" t="s">
        <v>1123</v>
      </c>
      <c r="L1324" t="s">
        <v>1124</v>
      </c>
      <c r="M1324" t="s">
        <v>1100</v>
      </c>
      <c r="V1324" t="s">
        <v>91</v>
      </c>
      <c r="W1324" t="s">
        <v>92</v>
      </c>
      <c r="X1324" t="s">
        <v>93</v>
      </c>
      <c r="Z1324" t="s">
        <v>94</v>
      </c>
      <c r="AB1324">
        <v>12.3</v>
      </c>
      <c r="AD1324">
        <v>9.5</v>
      </c>
      <c r="AF1324">
        <v>15.8</v>
      </c>
      <c r="AG1324" t="s">
        <v>95</v>
      </c>
      <c r="AX1324" t="s">
        <v>523</v>
      </c>
      <c r="AY1324" t="s">
        <v>523</v>
      </c>
      <c r="AZ1324" t="s">
        <v>475</v>
      </c>
      <c r="BC1324">
        <v>4</v>
      </c>
      <c r="BH1324" t="s">
        <v>99</v>
      </c>
      <c r="BO1324" t="s">
        <v>111</v>
      </c>
      <c r="CD1324" t="s">
        <v>982</v>
      </c>
      <c r="CE1324">
        <v>6797</v>
      </c>
      <c r="CF1324" t="s">
        <v>983</v>
      </c>
      <c r="CG1324" t="s">
        <v>984</v>
      </c>
      <c r="CH1324">
        <v>1986</v>
      </c>
    </row>
    <row r="1325" spans="1:86" hidden="1" x14ac:dyDescent="0.25">
      <c r="A1325">
        <v>330541</v>
      </c>
      <c r="B1325" t="s">
        <v>86</v>
      </c>
      <c r="F1325">
        <v>95</v>
      </c>
      <c r="K1325" t="s">
        <v>1123</v>
      </c>
      <c r="L1325" t="s">
        <v>1124</v>
      </c>
      <c r="M1325" t="s">
        <v>1100</v>
      </c>
      <c r="V1325" t="s">
        <v>257</v>
      </c>
      <c r="W1325" t="s">
        <v>92</v>
      </c>
      <c r="X1325" t="s">
        <v>93</v>
      </c>
      <c r="Z1325" t="s">
        <v>94</v>
      </c>
      <c r="AA1325" t="s">
        <v>106</v>
      </c>
      <c r="AB1325">
        <v>4</v>
      </c>
      <c r="AG1325" t="s">
        <v>95</v>
      </c>
      <c r="AX1325" t="s">
        <v>523</v>
      </c>
      <c r="AY1325" t="s">
        <v>523</v>
      </c>
      <c r="AZ1325" t="s">
        <v>475</v>
      </c>
      <c r="BC1325">
        <v>1</v>
      </c>
      <c r="BH1325" t="s">
        <v>99</v>
      </c>
      <c r="BO1325" t="s">
        <v>111</v>
      </c>
      <c r="CD1325" t="s">
        <v>982</v>
      </c>
      <c r="CE1325">
        <v>6797</v>
      </c>
      <c r="CF1325" t="s">
        <v>983</v>
      </c>
      <c r="CG1325" t="s">
        <v>984</v>
      </c>
      <c r="CH1325">
        <v>1986</v>
      </c>
    </row>
    <row r="1326" spans="1:86" hidden="1" x14ac:dyDescent="0.25">
      <c r="A1326">
        <v>330541</v>
      </c>
      <c r="B1326" t="s">
        <v>86</v>
      </c>
      <c r="F1326">
        <v>95</v>
      </c>
      <c r="K1326" t="s">
        <v>1123</v>
      </c>
      <c r="L1326" t="s">
        <v>1124</v>
      </c>
      <c r="M1326" t="s">
        <v>1100</v>
      </c>
      <c r="V1326" t="s">
        <v>91</v>
      </c>
      <c r="W1326" t="s">
        <v>92</v>
      </c>
      <c r="X1326" t="s">
        <v>93</v>
      </c>
      <c r="Z1326" t="s">
        <v>94</v>
      </c>
      <c r="AB1326">
        <v>4.2</v>
      </c>
      <c r="AD1326">
        <v>3.1</v>
      </c>
      <c r="AF1326">
        <v>5.7</v>
      </c>
      <c r="AG1326" t="s">
        <v>95</v>
      </c>
      <c r="AX1326" t="s">
        <v>523</v>
      </c>
      <c r="AY1326" t="s">
        <v>523</v>
      </c>
      <c r="AZ1326" t="s">
        <v>475</v>
      </c>
      <c r="BC1326">
        <v>1</v>
      </c>
      <c r="BH1326" t="s">
        <v>99</v>
      </c>
      <c r="BO1326" t="s">
        <v>111</v>
      </c>
      <c r="CD1326" t="s">
        <v>982</v>
      </c>
      <c r="CE1326">
        <v>6797</v>
      </c>
      <c r="CF1326" t="s">
        <v>983</v>
      </c>
      <c r="CG1326" t="s">
        <v>984</v>
      </c>
      <c r="CH1326">
        <v>1986</v>
      </c>
    </row>
    <row r="1327" spans="1:86" hidden="1" x14ac:dyDescent="0.25">
      <c r="A1327">
        <v>330541</v>
      </c>
      <c r="B1327" t="s">
        <v>86</v>
      </c>
      <c r="F1327">
        <v>95</v>
      </c>
      <c r="K1327" t="s">
        <v>1123</v>
      </c>
      <c r="L1327" t="s">
        <v>1124</v>
      </c>
      <c r="M1327" t="s">
        <v>1100</v>
      </c>
      <c r="V1327" t="s">
        <v>91</v>
      </c>
      <c r="W1327" t="s">
        <v>92</v>
      </c>
      <c r="X1327" t="s">
        <v>93</v>
      </c>
      <c r="Z1327" t="s">
        <v>94</v>
      </c>
      <c r="AB1327">
        <v>2.1</v>
      </c>
      <c r="AD1327">
        <v>1.7</v>
      </c>
      <c r="AF1327">
        <v>2.6</v>
      </c>
      <c r="AG1327" t="s">
        <v>95</v>
      </c>
      <c r="AX1327" t="s">
        <v>523</v>
      </c>
      <c r="AY1327" t="s">
        <v>523</v>
      </c>
      <c r="AZ1327" t="s">
        <v>475</v>
      </c>
      <c r="BC1327">
        <v>4</v>
      </c>
      <c r="BH1327" t="s">
        <v>99</v>
      </c>
      <c r="BO1327" t="s">
        <v>111</v>
      </c>
      <c r="CD1327" t="s">
        <v>982</v>
      </c>
      <c r="CE1327">
        <v>6797</v>
      </c>
      <c r="CF1327" t="s">
        <v>983</v>
      </c>
      <c r="CG1327" t="s">
        <v>984</v>
      </c>
      <c r="CH1327">
        <v>1986</v>
      </c>
    </row>
    <row r="1328" spans="1:86" hidden="1" x14ac:dyDescent="0.25">
      <c r="A1328">
        <v>330541</v>
      </c>
      <c r="B1328" t="s">
        <v>86</v>
      </c>
      <c r="D1328" t="s">
        <v>115</v>
      </c>
      <c r="K1328" t="s">
        <v>1127</v>
      </c>
      <c r="L1328" t="s">
        <v>1128</v>
      </c>
      <c r="M1328" t="s">
        <v>1100</v>
      </c>
      <c r="N1328" t="s">
        <v>1129</v>
      </c>
      <c r="V1328" t="s">
        <v>168</v>
      </c>
      <c r="W1328" t="s">
        <v>92</v>
      </c>
      <c r="X1328" t="s">
        <v>93</v>
      </c>
      <c r="Z1328" t="s">
        <v>137</v>
      </c>
      <c r="AB1328">
        <v>63</v>
      </c>
      <c r="AG1328" t="s">
        <v>95</v>
      </c>
      <c r="AX1328" t="s">
        <v>523</v>
      </c>
      <c r="AY1328" t="s">
        <v>523</v>
      </c>
      <c r="AZ1328" t="s">
        <v>475</v>
      </c>
      <c r="BC1328">
        <v>4</v>
      </c>
      <c r="BH1328" t="s">
        <v>99</v>
      </c>
      <c r="BO1328" t="s">
        <v>111</v>
      </c>
      <c r="CD1328" t="s">
        <v>1077</v>
      </c>
      <c r="CE1328">
        <v>6270</v>
      </c>
      <c r="CF1328" t="s">
        <v>1078</v>
      </c>
      <c r="CG1328" t="s">
        <v>1079</v>
      </c>
      <c r="CH1328">
        <v>1974</v>
      </c>
    </row>
    <row r="1329" spans="1:86" hidden="1" x14ac:dyDescent="0.25">
      <c r="A1329">
        <v>330541</v>
      </c>
      <c r="B1329" t="s">
        <v>86</v>
      </c>
      <c r="D1329" t="s">
        <v>115</v>
      </c>
      <c r="F1329">
        <v>80</v>
      </c>
      <c r="K1329" t="s">
        <v>1101</v>
      </c>
      <c r="L1329" t="s">
        <v>1102</v>
      </c>
      <c r="M1329" t="s">
        <v>1100</v>
      </c>
      <c r="N1329" t="s">
        <v>1103</v>
      </c>
      <c r="V1329" t="s">
        <v>91</v>
      </c>
      <c r="W1329" t="s">
        <v>92</v>
      </c>
      <c r="X1329" t="s">
        <v>93</v>
      </c>
      <c r="Z1329" t="s">
        <v>137</v>
      </c>
      <c r="AB1329">
        <v>14</v>
      </c>
      <c r="AG1329" t="s">
        <v>95</v>
      </c>
      <c r="AX1329" t="s">
        <v>523</v>
      </c>
      <c r="AY1329" t="s">
        <v>523</v>
      </c>
      <c r="AZ1329" t="s">
        <v>475</v>
      </c>
      <c r="BC1329">
        <v>1</v>
      </c>
      <c r="BH1329" t="s">
        <v>99</v>
      </c>
      <c r="BO1329" t="s">
        <v>111</v>
      </c>
      <c r="CD1329" t="s">
        <v>1105</v>
      </c>
      <c r="CE1329">
        <v>2012</v>
      </c>
      <c r="CF1329" t="s">
        <v>1106</v>
      </c>
      <c r="CG1329" t="s">
        <v>1107</v>
      </c>
      <c r="CH1329">
        <v>1973</v>
      </c>
    </row>
    <row r="1330" spans="1:86" hidden="1" x14ac:dyDescent="0.25">
      <c r="A1330">
        <v>330541</v>
      </c>
      <c r="B1330" t="s">
        <v>86</v>
      </c>
      <c r="F1330">
        <v>95</v>
      </c>
      <c r="K1330" t="s">
        <v>1123</v>
      </c>
      <c r="L1330" t="s">
        <v>1124</v>
      </c>
      <c r="M1330" t="s">
        <v>1100</v>
      </c>
      <c r="V1330" t="s">
        <v>91</v>
      </c>
      <c r="W1330" t="s">
        <v>92</v>
      </c>
      <c r="X1330" t="s">
        <v>93</v>
      </c>
      <c r="Z1330" t="s">
        <v>94</v>
      </c>
      <c r="AB1330">
        <v>1.9</v>
      </c>
      <c r="AD1330">
        <v>1.5</v>
      </c>
      <c r="AF1330">
        <v>2.5</v>
      </c>
      <c r="AG1330" t="s">
        <v>95</v>
      </c>
      <c r="AX1330" t="s">
        <v>523</v>
      </c>
      <c r="AY1330" t="s">
        <v>523</v>
      </c>
      <c r="AZ1330" t="s">
        <v>475</v>
      </c>
      <c r="BC1330">
        <v>4</v>
      </c>
      <c r="BH1330" t="s">
        <v>99</v>
      </c>
      <c r="BO1330" t="s">
        <v>111</v>
      </c>
      <c r="CD1330" t="s">
        <v>982</v>
      </c>
      <c r="CE1330">
        <v>6797</v>
      </c>
      <c r="CF1330" t="s">
        <v>983</v>
      </c>
      <c r="CG1330" t="s">
        <v>984</v>
      </c>
      <c r="CH1330">
        <v>1986</v>
      </c>
    </row>
    <row r="1331" spans="1:86" hidden="1" x14ac:dyDescent="0.25">
      <c r="A1331">
        <v>330541</v>
      </c>
      <c r="B1331" t="s">
        <v>86</v>
      </c>
      <c r="D1331" t="s">
        <v>115</v>
      </c>
      <c r="K1331" t="s">
        <v>1101</v>
      </c>
      <c r="L1331" t="s">
        <v>1102</v>
      </c>
      <c r="M1331" t="s">
        <v>1100</v>
      </c>
      <c r="V1331" t="s">
        <v>91</v>
      </c>
      <c r="W1331" t="s">
        <v>92</v>
      </c>
      <c r="X1331" t="s">
        <v>93</v>
      </c>
      <c r="Z1331" t="s">
        <v>137</v>
      </c>
      <c r="AB1331">
        <v>3.1</v>
      </c>
      <c r="AD1331">
        <v>2.5</v>
      </c>
      <c r="AF1331">
        <v>3.9</v>
      </c>
      <c r="AG1331" t="s">
        <v>95</v>
      </c>
      <c r="AX1331" t="s">
        <v>523</v>
      </c>
      <c r="AY1331" t="s">
        <v>523</v>
      </c>
      <c r="AZ1331" t="s">
        <v>475</v>
      </c>
      <c r="BC1331">
        <v>4</v>
      </c>
      <c r="BH1331" t="s">
        <v>99</v>
      </c>
      <c r="BO1331" t="s">
        <v>111</v>
      </c>
      <c r="CD1331" t="s">
        <v>1130</v>
      </c>
      <c r="CE1331">
        <v>909</v>
      </c>
      <c r="CF1331" t="s">
        <v>1131</v>
      </c>
      <c r="CG1331" t="s">
        <v>1132</v>
      </c>
      <c r="CH1331">
        <v>1969</v>
      </c>
    </row>
    <row r="1332" spans="1:86" hidden="1" x14ac:dyDescent="0.25">
      <c r="A1332">
        <v>330541</v>
      </c>
      <c r="B1332" t="s">
        <v>86</v>
      </c>
      <c r="F1332">
        <v>95</v>
      </c>
      <c r="K1332" t="s">
        <v>1123</v>
      </c>
      <c r="L1332" t="s">
        <v>1124</v>
      </c>
      <c r="M1332" t="s">
        <v>1100</v>
      </c>
      <c r="V1332" t="s">
        <v>91</v>
      </c>
      <c r="W1332" t="s">
        <v>92</v>
      </c>
      <c r="X1332" t="s">
        <v>93</v>
      </c>
      <c r="Z1332" t="s">
        <v>94</v>
      </c>
      <c r="AB1332">
        <v>1.4</v>
      </c>
      <c r="AD1332">
        <v>1</v>
      </c>
      <c r="AF1332">
        <v>1.9</v>
      </c>
      <c r="AG1332" t="s">
        <v>95</v>
      </c>
      <c r="AX1332" t="s">
        <v>523</v>
      </c>
      <c r="AY1332" t="s">
        <v>523</v>
      </c>
      <c r="AZ1332" t="s">
        <v>475</v>
      </c>
      <c r="BC1332">
        <v>4</v>
      </c>
      <c r="BH1332" t="s">
        <v>99</v>
      </c>
      <c r="BO1332" t="s">
        <v>111</v>
      </c>
      <c r="CD1332" t="s">
        <v>982</v>
      </c>
      <c r="CE1332">
        <v>6797</v>
      </c>
      <c r="CF1332" t="s">
        <v>983</v>
      </c>
      <c r="CG1332" t="s">
        <v>984</v>
      </c>
      <c r="CH1332">
        <v>1986</v>
      </c>
    </row>
    <row r="1333" spans="1:86" hidden="1" x14ac:dyDescent="0.25">
      <c r="A1333">
        <v>330541</v>
      </c>
      <c r="B1333" t="s">
        <v>86</v>
      </c>
      <c r="F1333">
        <v>95</v>
      </c>
      <c r="K1333" t="s">
        <v>1123</v>
      </c>
      <c r="L1333" t="s">
        <v>1124</v>
      </c>
      <c r="M1333" t="s">
        <v>1100</v>
      </c>
      <c r="V1333" t="s">
        <v>91</v>
      </c>
      <c r="W1333" t="s">
        <v>92</v>
      </c>
      <c r="X1333" t="s">
        <v>93</v>
      </c>
      <c r="Z1333" t="s">
        <v>94</v>
      </c>
      <c r="AA1333" t="s">
        <v>106</v>
      </c>
      <c r="AB1333">
        <v>10</v>
      </c>
      <c r="AG1333" t="s">
        <v>95</v>
      </c>
      <c r="AX1333" t="s">
        <v>523</v>
      </c>
      <c r="AY1333" t="s">
        <v>523</v>
      </c>
      <c r="AZ1333" t="s">
        <v>475</v>
      </c>
      <c r="BC1333">
        <v>1</v>
      </c>
      <c r="BH1333" t="s">
        <v>99</v>
      </c>
      <c r="BO1333" t="s">
        <v>111</v>
      </c>
      <c r="CD1333" t="s">
        <v>982</v>
      </c>
      <c r="CE1333">
        <v>6797</v>
      </c>
      <c r="CF1333" t="s">
        <v>983</v>
      </c>
      <c r="CG1333" t="s">
        <v>984</v>
      </c>
      <c r="CH1333">
        <v>1986</v>
      </c>
    </row>
    <row r="1334" spans="1:86" hidden="1" x14ac:dyDescent="0.25">
      <c r="A1334">
        <v>330541</v>
      </c>
      <c r="B1334" t="s">
        <v>86</v>
      </c>
      <c r="F1334">
        <v>95</v>
      </c>
      <c r="K1334" t="s">
        <v>1123</v>
      </c>
      <c r="L1334" t="s">
        <v>1124</v>
      </c>
      <c r="M1334" t="s">
        <v>1100</v>
      </c>
      <c r="V1334" t="s">
        <v>91</v>
      </c>
      <c r="W1334" t="s">
        <v>92</v>
      </c>
      <c r="X1334" t="s">
        <v>93</v>
      </c>
      <c r="Z1334" t="s">
        <v>94</v>
      </c>
      <c r="AA1334" t="s">
        <v>106</v>
      </c>
      <c r="AB1334">
        <v>5</v>
      </c>
      <c r="AG1334" t="s">
        <v>95</v>
      </c>
      <c r="AX1334" t="s">
        <v>523</v>
      </c>
      <c r="AY1334" t="s">
        <v>523</v>
      </c>
      <c r="AZ1334" t="s">
        <v>475</v>
      </c>
      <c r="BC1334">
        <v>1</v>
      </c>
      <c r="BH1334" t="s">
        <v>99</v>
      </c>
      <c r="BO1334" t="s">
        <v>111</v>
      </c>
      <c r="CD1334" t="s">
        <v>982</v>
      </c>
      <c r="CE1334">
        <v>6797</v>
      </c>
      <c r="CF1334" t="s">
        <v>983</v>
      </c>
      <c r="CG1334" t="s">
        <v>984</v>
      </c>
      <c r="CH1334">
        <v>1986</v>
      </c>
    </row>
    <row r="1335" spans="1:86" hidden="1" x14ac:dyDescent="0.25">
      <c r="A1335">
        <v>330541</v>
      </c>
      <c r="B1335" t="s">
        <v>86</v>
      </c>
      <c r="F1335">
        <v>95</v>
      </c>
      <c r="K1335" t="s">
        <v>1123</v>
      </c>
      <c r="L1335" t="s">
        <v>1124</v>
      </c>
      <c r="M1335" t="s">
        <v>1100</v>
      </c>
      <c r="V1335" t="s">
        <v>91</v>
      </c>
      <c r="W1335" t="s">
        <v>92</v>
      </c>
      <c r="X1335" t="s">
        <v>93</v>
      </c>
      <c r="Z1335" t="s">
        <v>94</v>
      </c>
      <c r="AB1335">
        <v>2.2000000000000002</v>
      </c>
      <c r="AD1335">
        <v>1.8</v>
      </c>
      <c r="AF1335">
        <v>2.7</v>
      </c>
      <c r="AG1335" t="s">
        <v>95</v>
      </c>
      <c r="AX1335" t="s">
        <v>523</v>
      </c>
      <c r="AY1335" t="s">
        <v>523</v>
      </c>
      <c r="AZ1335" t="s">
        <v>475</v>
      </c>
      <c r="BC1335">
        <v>4</v>
      </c>
      <c r="BH1335" t="s">
        <v>99</v>
      </c>
      <c r="BO1335" t="s">
        <v>111</v>
      </c>
      <c r="CD1335" t="s">
        <v>982</v>
      </c>
      <c r="CE1335">
        <v>6797</v>
      </c>
      <c r="CF1335" t="s">
        <v>983</v>
      </c>
      <c r="CG1335" t="s">
        <v>984</v>
      </c>
      <c r="CH1335">
        <v>1986</v>
      </c>
    </row>
    <row r="1336" spans="1:86" hidden="1" x14ac:dyDescent="0.25">
      <c r="A1336">
        <v>330541</v>
      </c>
      <c r="B1336" t="s">
        <v>86</v>
      </c>
      <c r="D1336" t="s">
        <v>115</v>
      </c>
      <c r="F1336">
        <v>80</v>
      </c>
      <c r="K1336" t="s">
        <v>1101</v>
      </c>
      <c r="L1336" t="s">
        <v>1102</v>
      </c>
      <c r="M1336" t="s">
        <v>1100</v>
      </c>
      <c r="N1336" t="s">
        <v>1103</v>
      </c>
      <c r="V1336" t="s">
        <v>91</v>
      </c>
      <c r="W1336" t="s">
        <v>92</v>
      </c>
      <c r="X1336" t="s">
        <v>93</v>
      </c>
      <c r="Z1336" t="s">
        <v>137</v>
      </c>
      <c r="AB1336">
        <v>6</v>
      </c>
      <c r="AG1336" t="s">
        <v>95</v>
      </c>
      <c r="AX1336" t="s">
        <v>523</v>
      </c>
      <c r="AY1336" t="s">
        <v>523</v>
      </c>
      <c r="AZ1336" t="s">
        <v>475</v>
      </c>
      <c r="BC1336">
        <v>3</v>
      </c>
      <c r="BH1336" t="s">
        <v>99</v>
      </c>
      <c r="BO1336" t="s">
        <v>111</v>
      </c>
      <c r="CD1336" t="s">
        <v>1105</v>
      </c>
      <c r="CE1336">
        <v>2012</v>
      </c>
      <c r="CF1336" t="s">
        <v>1106</v>
      </c>
      <c r="CG1336" t="s">
        <v>1107</v>
      </c>
      <c r="CH1336">
        <v>1973</v>
      </c>
    </row>
    <row r="1337" spans="1:86" hidden="1" x14ac:dyDescent="0.25">
      <c r="A1337">
        <v>330541</v>
      </c>
      <c r="B1337" t="s">
        <v>86</v>
      </c>
      <c r="D1337" t="s">
        <v>115</v>
      </c>
      <c r="K1337" t="s">
        <v>1133</v>
      </c>
      <c r="L1337" t="s">
        <v>1134</v>
      </c>
      <c r="M1337" t="s">
        <v>1100</v>
      </c>
      <c r="N1337" t="s">
        <v>1129</v>
      </c>
      <c r="V1337" t="s">
        <v>168</v>
      </c>
      <c r="W1337" t="s">
        <v>92</v>
      </c>
      <c r="X1337" t="s">
        <v>93</v>
      </c>
      <c r="Z1337" t="s">
        <v>137</v>
      </c>
      <c r="AB1337">
        <v>1.1000000000000001</v>
      </c>
      <c r="AG1337" t="s">
        <v>95</v>
      </c>
      <c r="AX1337" t="s">
        <v>523</v>
      </c>
      <c r="AY1337" t="s">
        <v>523</v>
      </c>
      <c r="AZ1337" t="s">
        <v>475</v>
      </c>
      <c r="BC1337">
        <v>4</v>
      </c>
      <c r="BH1337" t="s">
        <v>99</v>
      </c>
      <c r="BO1337" t="s">
        <v>111</v>
      </c>
      <c r="CD1337" t="s">
        <v>1077</v>
      </c>
      <c r="CE1337">
        <v>6270</v>
      </c>
      <c r="CF1337" t="s">
        <v>1078</v>
      </c>
      <c r="CG1337" t="s">
        <v>1079</v>
      </c>
      <c r="CH1337">
        <v>1974</v>
      </c>
    </row>
    <row r="1338" spans="1:86" hidden="1" x14ac:dyDescent="0.25">
      <c r="A1338">
        <v>330541</v>
      </c>
      <c r="B1338" t="s">
        <v>86</v>
      </c>
      <c r="F1338">
        <v>95</v>
      </c>
      <c r="K1338" t="s">
        <v>1123</v>
      </c>
      <c r="L1338" t="s">
        <v>1124</v>
      </c>
      <c r="M1338" t="s">
        <v>1100</v>
      </c>
      <c r="V1338" t="s">
        <v>91</v>
      </c>
      <c r="W1338" t="s">
        <v>92</v>
      </c>
      <c r="X1338" t="s">
        <v>93</v>
      </c>
      <c r="Z1338" t="s">
        <v>94</v>
      </c>
      <c r="AA1338" t="s">
        <v>106</v>
      </c>
      <c r="AB1338">
        <v>4.5</v>
      </c>
      <c r="AG1338" t="s">
        <v>95</v>
      </c>
      <c r="AX1338" t="s">
        <v>523</v>
      </c>
      <c r="AY1338" t="s">
        <v>523</v>
      </c>
      <c r="AZ1338" t="s">
        <v>475</v>
      </c>
      <c r="BC1338">
        <v>1</v>
      </c>
      <c r="BH1338" t="s">
        <v>99</v>
      </c>
      <c r="BO1338" t="s">
        <v>111</v>
      </c>
      <c r="CD1338" t="s">
        <v>982</v>
      </c>
      <c r="CE1338">
        <v>6797</v>
      </c>
      <c r="CF1338" t="s">
        <v>983</v>
      </c>
      <c r="CG1338" t="s">
        <v>984</v>
      </c>
      <c r="CH1338">
        <v>1986</v>
      </c>
    </row>
    <row r="1339" spans="1:86" hidden="1" x14ac:dyDescent="0.25">
      <c r="A1339">
        <v>330541</v>
      </c>
      <c r="B1339" t="s">
        <v>86</v>
      </c>
      <c r="D1339" t="s">
        <v>115</v>
      </c>
      <c r="F1339">
        <v>98</v>
      </c>
      <c r="K1339" t="s">
        <v>1115</v>
      </c>
      <c r="L1339" t="s">
        <v>1116</v>
      </c>
      <c r="M1339" t="s">
        <v>1100</v>
      </c>
      <c r="N1339" t="s">
        <v>945</v>
      </c>
      <c r="O1339" t="s">
        <v>234</v>
      </c>
      <c r="P1339">
        <v>24</v>
      </c>
      <c r="U1339" t="s">
        <v>213</v>
      </c>
      <c r="V1339" t="s">
        <v>507</v>
      </c>
      <c r="W1339" t="s">
        <v>107</v>
      </c>
      <c r="X1339" t="s">
        <v>93</v>
      </c>
      <c r="Z1339" t="s">
        <v>94</v>
      </c>
      <c r="AB1339">
        <v>7.8</v>
      </c>
      <c r="AD1339">
        <v>7.6</v>
      </c>
      <c r="AF1339">
        <v>7.9</v>
      </c>
      <c r="AG1339" t="s">
        <v>95</v>
      </c>
      <c r="AX1339" t="s">
        <v>523</v>
      </c>
      <c r="AY1339" t="s">
        <v>523</v>
      </c>
      <c r="AZ1339" t="s">
        <v>475</v>
      </c>
      <c r="BC1339">
        <v>4</v>
      </c>
      <c r="BH1339" t="s">
        <v>99</v>
      </c>
      <c r="BO1339" t="s">
        <v>111</v>
      </c>
      <c r="CD1339" t="s">
        <v>169</v>
      </c>
      <c r="CE1339">
        <v>156339</v>
      </c>
      <c r="CF1339" t="s">
        <v>170</v>
      </c>
      <c r="CG1339" t="s">
        <v>171</v>
      </c>
      <c r="CH1339">
        <v>2011</v>
      </c>
    </row>
    <row r="1340" spans="1:86" hidden="1" x14ac:dyDescent="0.25">
      <c r="A1340">
        <v>330541</v>
      </c>
      <c r="B1340" t="s">
        <v>86</v>
      </c>
      <c r="C1340" t="s">
        <v>183</v>
      </c>
      <c r="D1340" t="s">
        <v>115</v>
      </c>
      <c r="F1340">
        <v>99.4</v>
      </c>
      <c r="K1340" t="s">
        <v>1135</v>
      </c>
      <c r="L1340" t="s">
        <v>1136</v>
      </c>
      <c r="M1340" t="s">
        <v>1100</v>
      </c>
      <c r="V1340" t="s">
        <v>168</v>
      </c>
      <c r="W1340" t="s">
        <v>92</v>
      </c>
      <c r="X1340" t="s">
        <v>93</v>
      </c>
      <c r="Y1340">
        <v>8</v>
      </c>
      <c r="Z1340" t="s">
        <v>94</v>
      </c>
      <c r="AB1340">
        <v>10.135066256</v>
      </c>
      <c r="AG1340" t="s">
        <v>95</v>
      </c>
      <c r="AX1340" t="s">
        <v>523</v>
      </c>
      <c r="AY1340" t="s">
        <v>523</v>
      </c>
      <c r="AZ1340" t="s">
        <v>475</v>
      </c>
      <c r="BC1340">
        <v>4</v>
      </c>
      <c r="BH1340" t="s">
        <v>99</v>
      </c>
      <c r="BO1340" t="s">
        <v>111</v>
      </c>
      <c r="CD1340" t="s">
        <v>1080</v>
      </c>
      <c r="CE1340">
        <v>183330</v>
      </c>
      <c r="CF1340" t="s">
        <v>1081</v>
      </c>
      <c r="CG1340" t="s">
        <v>1082</v>
      </c>
      <c r="CH1340">
        <v>2015</v>
      </c>
    </row>
    <row r="1341" spans="1:86" hidden="1" x14ac:dyDescent="0.25">
      <c r="A1341">
        <v>330541</v>
      </c>
      <c r="B1341" t="s">
        <v>86</v>
      </c>
      <c r="D1341" t="s">
        <v>115</v>
      </c>
      <c r="F1341">
        <v>80</v>
      </c>
      <c r="K1341" t="s">
        <v>1101</v>
      </c>
      <c r="L1341" t="s">
        <v>1102</v>
      </c>
      <c r="M1341" t="s">
        <v>1100</v>
      </c>
      <c r="N1341" t="s">
        <v>945</v>
      </c>
      <c r="V1341" t="s">
        <v>91</v>
      </c>
      <c r="W1341" t="s">
        <v>92</v>
      </c>
      <c r="X1341" t="s">
        <v>93</v>
      </c>
      <c r="Z1341" t="s">
        <v>137</v>
      </c>
      <c r="AB1341">
        <v>0.5</v>
      </c>
      <c r="AG1341" t="s">
        <v>95</v>
      </c>
      <c r="AX1341" t="s">
        <v>523</v>
      </c>
      <c r="AY1341" t="s">
        <v>523</v>
      </c>
      <c r="AZ1341" t="s">
        <v>475</v>
      </c>
      <c r="BC1341">
        <v>3</v>
      </c>
      <c r="BH1341" t="s">
        <v>99</v>
      </c>
      <c r="BO1341" t="s">
        <v>111</v>
      </c>
      <c r="CD1341" t="s">
        <v>1105</v>
      </c>
      <c r="CE1341">
        <v>2012</v>
      </c>
      <c r="CF1341" t="s">
        <v>1106</v>
      </c>
      <c r="CG1341" t="s">
        <v>1107</v>
      </c>
      <c r="CH1341">
        <v>1973</v>
      </c>
    </row>
    <row r="1342" spans="1:86" hidden="1" x14ac:dyDescent="0.25">
      <c r="A1342">
        <v>330541</v>
      </c>
      <c r="B1342" t="s">
        <v>86</v>
      </c>
      <c r="C1342" t="s">
        <v>183</v>
      </c>
      <c r="D1342" t="s">
        <v>115</v>
      </c>
      <c r="F1342">
        <v>98</v>
      </c>
      <c r="K1342" t="s">
        <v>1108</v>
      </c>
      <c r="L1342" t="s">
        <v>1109</v>
      </c>
      <c r="M1342" t="s">
        <v>1100</v>
      </c>
      <c r="N1342" t="s">
        <v>1110</v>
      </c>
      <c r="O1342" t="s">
        <v>499</v>
      </c>
      <c r="P1342">
        <v>72</v>
      </c>
      <c r="U1342" t="s">
        <v>1111</v>
      </c>
      <c r="V1342" t="s">
        <v>507</v>
      </c>
      <c r="W1342" t="s">
        <v>107</v>
      </c>
      <c r="X1342" t="s">
        <v>93</v>
      </c>
      <c r="Y1342">
        <v>8</v>
      </c>
      <c r="Z1342" t="s">
        <v>94</v>
      </c>
      <c r="AB1342">
        <v>7.8259999999999996</v>
      </c>
      <c r="AD1342">
        <v>6.8019999999999996</v>
      </c>
      <c r="AF1342">
        <v>8.73</v>
      </c>
      <c r="AG1342" t="s">
        <v>95</v>
      </c>
      <c r="AX1342" t="s">
        <v>523</v>
      </c>
      <c r="AY1342" t="s">
        <v>523</v>
      </c>
      <c r="AZ1342" t="s">
        <v>475</v>
      </c>
      <c r="BC1342">
        <v>4</v>
      </c>
      <c r="BH1342" t="s">
        <v>99</v>
      </c>
      <c r="BO1342" t="s">
        <v>111</v>
      </c>
      <c r="CD1342" t="s">
        <v>1112</v>
      </c>
      <c r="CE1342">
        <v>160499</v>
      </c>
      <c r="CF1342" t="s">
        <v>1113</v>
      </c>
      <c r="CG1342" t="s">
        <v>1114</v>
      </c>
      <c r="CH1342">
        <v>2012</v>
      </c>
    </row>
    <row r="1343" spans="1:86" hidden="1" x14ac:dyDescent="0.25">
      <c r="A1343">
        <v>330541</v>
      </c>
      <c r="B1343" t="s">
        <v>86</v>
      </c>
      <c r="C1343" t="s">
        <v>183</v>
      </c>
      <c r="D1343" t="s">
        <v>115</v>
      </c>
      <c r="F1343">
        <v>98</v>
      </c>
      <c r="K1343" t="s">
        <v>1108</v>
      </c>
      <c r="L1343" t="s">
        <v>1109</v>
      </c>
      <c r="M1343" t="s">
        <v>1100</v>
      </c>
      <c r="N1343" t="s">
        <v>1110</v>
      </c>
      <c r="O1343" t="s">
        <v>499</v>
      </c>
      <c r="P1343">
        <v>72</v>
      </c>
      <c r="U1343" t="s">
        <v>1111</v>
      </c>
      <c r="V1343" t="s">
        <v>507</v>
      </c>
      <c r="W1343" t="s">
        <v>107</v>
      </c>
      <c r="X1343" t="s">
        <v>93</v>
      </c>
      <c r="Y1343">
        <v>8</v>
      </c>
      <c r="Z1343" t="s">
        <v>94</v>
      </c>
      <c r="AB1343">
        <v>10.076000000000001</v>
      </c>
      <c r="AD1343">
        <v>8.8870000000000005</v>
      </c>
      <c r="AF1343">
        <v>11.276999999999999</v>
      </c>
      <c r="AG1343" t="s">
        <v>95</v>
      </c>
      <c r="AX1343" t="s">
        <v>523</v>
      </c>
      <c r="AY1343" t="s">
        <v>523</v>
      </c>
      <c r="AZ1343" t="s">
        <v>475</v>
      </c>
      <c r="BC1343">
        <v>2</v>
      </c>
      <c r="BH1343" t="s">
        <v>99</v>
      </c>
      <c r="BO1343" t="s">
        <v>111</v>
      </c>
      <c r="CD1343" t="s">
        <v>1112</v>
      </c>
      <c r="CE1343">
        <v>160499</v>
      </c>
      <c r="CF1343" t="s">
        <v>1113</v>
      </c>
      <c r="CG1343" t="s">
        <v>1114</v>
      </c>
      <c r="CH1343">
        <v>2012</v>
      </c>
    </row>
    <row r="1344" spans="1:86" hidden="1" x14ac:dyDescent="0.25">
      <c r="A1344">
        <v>330541</v>
      </c>
      <c r="B1344" t="s">
        <v>86</v>
      </c>
      <c r="F1344">
        <v>95</v>
      </c>
      <c r="K1344" t="s">
        <v>1123</v>
      </c>
      <c r="L1344" t="s">
        <v>1124</v>
      </c>
      <c r="M1344" t="s">
        <v>1100</v>
      </c>
      <c r="V1344" t="s">
        <v>91</v>
      </c>
      <c r="W1344" t="s">
        <v>92</v>
      </c>
      <c r="X1344" t="s">
        <v>93</v>
      </c>
      <c r="Z1344" t="s">
        <v>94</v>
      </c>
      <c r="AB1344">
        <v>13.8</v>
      </c>
      <c r="AD1344">
        <v>6.3</v>
      </c>
      <c r="AF1344">
        <v>29.9</v>
      </c>
      <c r="AG1344" t="s">
        <v>95</v>
      </c>
      <c r="AX1344" t="s">
        <v>523</v>
      </c>
      <c r="AY1344" t="s">
        <v>523</v>
      </c>
      <c r="AZ1344" t="s">
        <v>475</v>
      </c>
      <c r="BC1344">
        <v>4</v>
      </c>
      <c r="BH1344" t="s">
        <v>99</v>
      </c>
      <c r="BO1344" t="s">
        <v>111</v>
      </c>
      <c r="CD1344" t="s">
        <v>982</v>
      </c>
      <c r="CE1344">
        <v>6797</v>
      </c>
      <c r="CF1344" t="s">
        <v>983</v>
      </c>
      <c r="CG1344" t="s">
        <v>984</v>
      </c>
      <c r="CH1344">
        <v>1986</v>
      </c>
    </row>
    <row r="1345" spans="1:86" hidden="1" x14ac:dyDescent="0.25">
      <c r="A1345">
        <v>330541</v>
      </c>
      <c r="B1345" t="s">
        <v>86</v>
      </c>
      <c r="F1345">
        <v>95</v>
      </c>
      <c r="K1345" t="s">
        <v>1123</v>
      </c>
      <c r="L1345" t="s">
        <v>1124</v>
      </c>
      <c r="M1345" t="s">
        <v>1100</v>
      </c>
      <c r="V1345" t="s">
        <v>91</v>
      </c>
      <c r="W1345" t="s">
        <v>92</v>
      </c>
      <c r="X1345" t="s">
        <v>93</v>
      </c>
      <c r="Z1345" t="s">
        <v>94</v>
      </c>
      <c r="AB1345">
        <v>30</v>
      </c>
      <c r="AG1345" t="s">
        <v>95</v>
      </c>
      <c r="AX1345" t="s">
        <v>523</v>
      </c>
      <c r="AY1345" t="s">
        <v>523</v>
      </c>
      <c r="AZ1345" t="s">
        <v>475</v>
      </c>
      <c r="BC1345">
        <v>1</v>
      </c>
      <c r="BH1345" t="s">
        <v>99</v>
      </c>
      <c r="BO1345" t="s">
        <v>111</v>
      </c>
      <c r="CD1345" t="s">
        <v>982</v>
      </c>
      <c r="CE1345">
        <v>6797</v>
      </c>
      <c r="CF1345" t="s">
        <v>983</v>
      </c>
      <c r="CG1345" t="s">
        <v>984</v>
      </c>
      <c r="CH1345">
        <v>1986</v>
      </c>
    </row>
    <row r="1346" spans="1:86" hidden="1" x14ac:dyDescent="0.25">
      <c r="A1346">
        <v>330541</v>
      </c>
      <c r="B1346" t="s">
        <v>86</v>
      </c>
      <c r="D1346" t="s">
        <v>115</v>
      </c>
      <c r="F1346">
        <v>80</v>
      </c>
      <c r="K1346" t="s">
        <v>1101</v>
      </c>
      <c r="L1346" t="s">
        <v>1102</v>
      </c>
      <c r="M1346" t="s">
        <v>1100</v>
      </c>
      <c r="N1346" t="s">
        <v>945</v>
      </c>
      <c r="V1346" t="s">
        <v>91</v>
      </c>
      <c r="W1346" t="s">
        <v>92</v>
      </c>
      <c r="X1346" t="s">
        <v>93</v>
      </c>
      <c r="Z1346" t="s">
        <v>137</v>
      </c>
      <c r="AB1346">
        <v>0.5</v>
      </c>
      <c r="AG1346" t="s">
        <v>95</v>
      </c>
      <c r="AX1346" t="s">
        <v>523</v>
      </c>
      <c r="AY1346" t="s">
        <v>523</v>
      </c>
      <c r="AZ1346" t="s">
        <v>475</v>
      </c>
      <c r="BC1346">
        <v>4</v>
      </c>
      <c r="BH1346" t="s">
        <v>99</v>
      </c>
      <c r="BO1346" t="s">
        <v>111</v>
      </c>
      <c r="CD1346" t="s">
        <v>1105</v>
      </c>
      <c r="CE1346">
        <v>2012</v>
      </c>
      <c r="CF1346" t="s">
        <v>1106</v>
      </c>
      <c r="CG1346" t="s">
        <v>1107</v>
      </c>
      <c r="CH1346">
        <v>1973</v>
      </c>
    </row>
    <row r="1347" spans="1:86" hidden="1" x14ac:dyDescent="0.25">
      <c r="A1347">
        <v>330541</v>
      </c>
      <c r="B1347" t="s">
        <v>86</v>
      </c>
      <c r="F1347">
        <v>95</v>
      </c>
      <c r="K1347" t="s">
        <v>1123</v>
      </c>
      <c r="L1347" t="s">
        <v>1124</v>
      </c>
      <c r="M1347" t="s">
        <v>1100</v>
      </c>
      <c r="V1347" t="s">
        <v>91</v>
      </c>
      <c r="W1347" t="s">
        <v>92</v>
      </c>
      <c r="X1347" t="s">
        <v>93</v>
      </c>
      <c r="Z1347" t="s">
        <v>94</v>
      </c>
      <c r="AB1347">
        <v>11.5</v>
      </c>
      <c r="AD1347">
        <v>6.3</v>
      </c>
      <c r="AF1347">
        <v>20.9</v>
      </c>
      <c r="AG1347" t="s">
        <v>95</v>
      </c>
      <c r="AX1347" t="s">
        <v>523</v>
      </c>
      <c r="AY1347" t="s">
        <v>523</v>
      </c>
      <c r="AZ1347" t="s">
        <v>475</v>
      </c>
      <c r="BC1347">
        <v>4</v>
      </c>
      <c r="BH1347" t="s">
        <v>99</v>
      </c>
      <c r="BO1347" t="s">
        <v>111</v>
      </c>
      <c r="CD1347" t="s">
        <v>982</v>
      </c>
      <c r="CE1347">
        <v>6797</v>
      </c>
      <c r="CF1347" t="s">
        <v>983</v>
      </c>
      <c r="CG1347" t="s">
        <v>984</v>
      </c>
      <c r="CH1347">
        <v>1986</v>
      </c>
    </row>
    <row r="1348" spans="1:86" hidden="1" x14ac:dyDescent="0.25">
      <c r="A1348">
        <v>330541</v>
      </c>
      <c r="B1348" t="s">
        <v>86</v>
      </c>
      <c r="F1348">
        <v>95</v>
      </c>
      <c r="K1348" t="s">
        <v>1123</v>
      </c>
      <c r="L1348" t="s">
        <v>1124</v>
      </c>
      <c r="M1348" t="s">
        <v>1100</v>
      </c>
      <c r="V1348" t="s">
        <v>257</v>
      </c>
      <c r="W1348" t="s">
        <v>92</v>
      </c>
      <c r="X1348" t="s">
        <v>93</v>
      </c>
      <c r="Z1348" t="s">
        <v>94</v>
      </c>
      <c r="AB1348">
        <v>1.9</v>
      </c>
      <c r="AD1348">
        <v>1.6</v>
      </c>
      <c r="AF1348">
        <v>2.1</v>
      </c>
      <c r="AG1348" t="s">
        <v>95</v>
      </c>
      <c r="AX1348" t="s">
        <v>523</v>
      </c>
      <c r="AY1348" t="s">
        <v>523</v>
      </c>
      <c r="AZ1348" t="s">
        <v>475</v>
      </c>
      <c r="BC1348">
        <v>4</v>
      </c>
      <c r="BH1348" t="s">
        <v>99</v>
      </c>
      <c r="BO1348" t="s">
        <v>111</v>
      </c>
      <c r="CD1348" t="s">
        <v>982</v>
      </c>
      <c r="CE1348">
        <v>6797</v>
      </c>
      <c r="CF1348" t="s">
        <v>983</v>
      </c>
      <c r="CG1348" t="s">
        <v>984</v>
      </c>
      <c r="CH1348">
        <v>1986</v>
      </c>
    </row>
    <row r="1349" spans="1:86" hidden="1" x14ac:dyDescent="0.25">
      <c r="A1349">
        <v>330541</v>
      </c>
      <c r="B1349" t="s">
        <v>86</v>
      </c>
      <c r="F1349">
        <v>95</v>
      </c>
      <c r="K1349" t="s">
        <v>1123</v>
      </c>
      <c r="L1349" t="s">
        <v>1124</v>
      </c>
      <c r="M1349" t="s">
        <v>1100</v>
      </c>
      <c r="V1349" t="s">
        <v>91</v>
      </c>
      <c r="W1349" t="s">
        <v>92</v>
      </c>
      <c r="X1349" t="s">
        <v>93</v>
      </c>
      <c r="Z1349" t="s">
        <v>94</v>
      </c>
      <c r="AA1349" t="s">
        <v>106</v>
      </c>
      <c r="AB1349">
        <v>4.5</v>
      </c>
      <c r="AG1349" t="s">
        <v>95</v>
      </c>
      <c r="AX1349" t="s">
        <v>523</v>
      </c>
      <c r="AY1349" t="s">
        <v>523</v>
      </c>
      <c r="AZ1349" t="s">
        <v>475</v>
      </c>
      <c r="BC1349">
        <v>1</v>
      </c>
      <c r="BH1349" t="s">
        <v>99</v>
      </c>
      <c r="BO1349" t="s">
        <v>111</v>
      </c>
      <c r="CD1349" t="s">
        <v>982</v>
      </c>
      <c r="CE1349">
        <v>6797</v>
      </c>
      <c r="CF1349" t="s">
        <v>983</v>
      </c>
      <c r="CG1349" t="s">
        <v>984</v>
      </c>
      <c r="CH1349">
        <v>1986</v>
      </c>
    </row>
    <row r="1350" spans="1:86" hidden="1" x14ac:dyDescent="0.25">
      <c r="A1350">
        <v>330541</v>
      </c>
      <c r="B1350" t="s">
        <v>86</v>
      </c>
      <c r="F1350">
        <v>95</v>
      </c>
      <c r="K1350" t="s">
        <v>1123</v>
      </c>
      <c r="L1350" t="s">
        <v>1124</v>
      </c>
      <c r="M1350" t="s">
        <v>1100</v>
      </c>
      <c r="V1350" t="s">
        <v>91</v>
      </c>
      <c r="W1350" t="s">
        <v>92</v>
      </c>
      <c r="X1350" t="s">
        <v>93</v>
      </c>
      <c r="Z1350" t="s">
        <v>94</v>
      </c>
      <c r="AB1350">
        <v>1.4</v>
      </c>
      <c r="AD1350">
        <v>1.1000000000000001</v>
      </c>
      <c r="AF1350">
        <v>1.9</v>
      </c>
      <c r="AG1350" t="s">
        <v>95</v>
      </c>
      <c r="AX1350" t="s">
        <v>523</v>
      </c>
      <c r="AY1350" t="s">
        <v>523</v>
      </c>
      <c r="AZ1350" t="s">
        <v>475</v>
      </c>
      <c r="BC1350">
        <v>4</v>
      </c>
      <c r="BH1350" t="s">
        <v>99</v>
      </c>
      <c r="BO1350" t="s">
        <v>111</v>
      </c>
      <c r="CD1350" t="s">
        <v>982</v>
      </c>
      <c r="CE1350">
        <v>6797</v>
      </c>
      <c r="CF1350" t="s">
        <v>983</v>
      </c>
      <c r="CG1350" t="s">
        <v>984</v>
      </c>
      <c r="CH1350">
        <v>1986</v>
      </c>
    </row>
    <row r="1351" spans="1:86" hidden="1" x14ac:dyDescent="0.25">
      <c r="A1351">
        <v>330541</v>
      </c>
      <c r="B1351" t="s">
        <v>86</v>
      </c>
      <c r="D1351" t="s">
        <v>115</v>
      </c>
      <c r="F1351">
        <v>80</v>
      </c>
      <c r="K1351" t="s">
        <v>1101</v>
      </c>
      <c r="L1351" t="s">
        <v>1102</v>
      </c>
      <c r="M1351" t="s">
        <v>1100</v>
      </c>
      <c r="N1351" t="s">
        <v>1103</v>
      </c>
      <c r="V1351" t="s">
        <v>91</v>
      </c>
      <c r="W1351" t="s">
        <v>92</v>
      </c>
      <c r="X1351" t="s">
        <v>93</v>
      </c>
      <c r="Z1351" t="s">
        <v>137</v>
      </c>
      <c r="AB1351">
        <v>8</v>
      </c>
      <c r="AG1351" t="s">
        <v>95</v>
      </c>
      <c r="AX1351" t="s">
        <v>523</v>
      </c>
      <c r="AY1351" t="s">
        <v>523</v>
      </c>
      <c r="AZ1351" t="s">
        <v>475</v>
      </c>
      <c r="BC1351">
        <v>2</v>
      </c>
      <c r="BH1351" t="s">
        <v>99</v>
      </c>
      <c r="BO1351" t="s">
        <v>111</v>
      </c>
      <c r="CD1351" t="s">
        <v>1105</v>
      </c>
      <c r="CE1351">
        <v>2012</v>
      </c>
      <c r="CF1351" t="s">
        <v>1106</v>
      </c>
      <c r="CG1351" t="s">
        <v>1107</v>
      </c>
      <c r="CH1351">
        <v>1973</v>
      </c>
    </row>
    <row r="1352" spans="1:86" hidden="1" x14ac:dyDescent="0.25">
      <c r="A1352">
        <v>330541</v>
      </c>
      <c r="B1352" t="s">
        <v>86</v>
      </c>
      <c r="F1352">
        <v>95</v>
      </c>
      <c r="K1352" t="s">
        <v>1123</v>
      </c>
      <c r="L1352" t="s">
        <v>1124</v>
      </c>
      <c r="M1352" t="s">
        <v>1100</v>
      </c>
      <c r="V1352" t="s">
        <v>91</v>
      </c>
      <c r="W1352" t="s">
        <v>92</v>
      </c>
      <c r="X1352" t="s">
        <v>93</v>
      </c>
      <c r="Z1352" t="s">
        <v>94</v>
      </c>
      <c r="AB1352">
        <v>1.9</v>
      </c>
      <c r="AD1352">
        <v>1.5</v>
      </c>
      <c r="AF1352">
        <v>2.5</v>
      </c>
      <c r="AG1352" t="s">
        <v>95</v>
      </c>
      <c r="AX1352" t="s">
        <v>523</v>
      </c>
      <c r="AY1352" t="s">
        <v>523</v>
      </c>
      <c r="AZ1352" t="s">
        <v>475</v>
      </c>
      <c r="BC1352">
        <v>4</v>
      </c>
      <c r="BH1352" t="s">
        <v>99</v>
      </c>
      <c r="BO1352" t="s">
        <v>111</v>
      </c>
      <c r="CD1352" t="s">
        <v>982</v>
      </c>
      <c r="CE1352">
        <v>6797</v>
      </c>
      <c r="CF1352" t="s">
        <v>983</v>
      </c>
      <c r="CG1352" t="s">
        <v>984</v>
      </c>
      <c r="CH1352">
        <v>1986</v>
      </c>
    </row>
    <row r="1353" spans="1:86" hidden="1" x14ac:dyDescent="0.25">
      <c r="A1353">
        <v>330541</v>
      </c>
      <c r="B1353" t="s">
        <v>86</v>
      </c>
      <c r="D1353" t="s">
        <v>115</v>
      </c>
      <c r="K1353" t="s">
        <v>1137</v>
      </c>
      <c r="L1353" t="s">
        <v>1138</v>
      </c>
      <c r="M1353" t="s">
        <v>1100</v>
      </c>
      <c r="N1353" t="s">
        <v>1129</v>
      </c>
      <c r="V1353" t="s">
        <v>168</v>
      </c>
      <c r="W1353" t="s">
        <v>92</v>
      </c>
      <c r="X1353" t="s">
        <v>93</v>
      </c>
      <c r="Z1353" t="s">
        <v>137</v>
      </c>
      <c r="AB1353">
        <v>15.5</v>
      </c>
      <c r="AG1353" t="s">
        <v>95</v>
      </c>
      <c r="AX1353" t="s">
        <v>523</v>
      </c>
      <c r="AY1353" t="s">
        <v>523</v>
      </c>
      <c r="AZ1353" t="s">
        <v>475</v>
      </c>
      <c r="BC1353">
        <v>4</v>
      </c>
      <c r="BH1353" t="s">
        <v>99</v>
      </c>
      <c r="BO1353" t="s">
        <v>111</v>
      </c>
      <c r="CD1353" t="s">
        <v>1077</v>
      </c>
      <c r="CE1353">
        <v>6270</v>
      </c>
      <c r="CF1353" t="s">
        <v>1078</v>
      </c>
      <c r="CG1353" t="s">
        <v>1079</v>
      </c>
      <c r="CH1353">
        <v>1974</v>
      </c>
    </row>
    <row r="1354" spans="1:86" hidden="1" x14ac:dyDescent="0.25">
      <c r="A1354">
        <v>330541</v>
      </c>
      <c r="B1354" t="s">
        <v>86</v>
      </c>
      <c r="D1354" t="s">
        <v>115</v>
      </c>
      <c r="F1354">
        <v>80</v>
      </c>
      <c r="K1354" t="s">
        <v>1117</v>
      </c>
      <c r="L1354" t="s">
        <v>1118</v>
      </c>
      <c r="M1354" t="s">
        <v>1100</v>
      </c>
      <c r="V1354" t="s">
        <v>257</v>
      </c>
      <c r="W1354" t="s">
        <v>92</v>
      </c>
      <c r="X1354" t="s">
        <v>93</v>
      </c>
      <c r="Z1354" t="s">
        <v>137</v>
      </c>
      <c r="AB1354">
        <v>200</v>
      </c>
      <c r="AG1354" t="s">
        <v>95</v>
      </c>
      <c r="AX1354" t="s">
        <v>523</v>
      </c>
      <c r="AY1354" t="s">
        <v>523</v>
      </c>
      <c r="AZ1354" t="s">
        <v>475</v>
      </c>
      <c r="BC1354">
        <v>1</v>
      </c>
      <c r="BH1354" t="s">
        <v>99</v>
      </c>
      <c r="BO1354" t="s">
        <v>111</v>
      </c>
      <c r="CD1354" t="s">
        <v>1119</v>
      </c>
      <c r="CE1354">
        <v>848</v>
      </c>
      <c r="CF1354" t="s">
        <v>1120</v>
      </c>
      <c r="CG1354" t="s">
        <v>1121</v>
      </c>
      <c r="CH1354">
        <v>1975</v>
      </c>
    </row>
    <row r="1355" spans="1:86" hidden="1" x14ac:dyDescent="0.25">
      <c r="A1355">
        <v>330541</v>
      </c>
      <c r="B1355" t="s">
        <v>86</v>
      </c>
      <c r="F1355">
        <v>95</v>
      </c>
      <c r="K1355" t="s">
        <v>1123</v>
      </c>
      <c r="L1355" t="s">
        <v>1124</v>
      </c>
      <c r="M1355" t="s">
        <v>1100</v>
      </c>
      <c r="V1355" t="s">
        <v>91</v>
      </c>
      <c r="W1355" t="s">
        <v>92</v>
      </c>
      <c r="X1355" t="s">
        <v>93</v>
      </c>
      <c r="Z1355" t="s">
        <v>94</v>
      </c>
      <c r="AB1355">
        <v>0.71</v>
      </c>
      <c r="AD1355">
        <v>0.53</v>
      </c>
      <c r="AF1355">
        <v>0.96</v>
      </c>
      <c r="AG1355" t="s">
        <v>95</v>
      </c>
      <c r="AX1355" t="s">
        <v>523</v>
      </c>
      <c r="AY1355" t="s">
        <v>523</v>
      </c>
      <c r="AZ1355" t="s">
        <v>475</v>
      </c>
      <c r="BC1355">
        <v>4</v>
      </c>
      <c r="BH1355" t="s">
        <v>99</v>
      </c>
      <c r="BO1355" t="s">
        <v>111</v>
      </c>
      <c r="CD1355" t="s">
        <v>982</v>
      </c>
      <c r="CE1355">
        <v>6797</v>
      </c>
      <c r="CF1355" t="s">
        <v>983</v>
      </c>
      <c r="CG1355" t="s">
        <v>984</v>
      </c>
      <c r="CH1355">
        <v>1986</v>
      </c>
    </row>
    <row r="1356" spans="1:86" hidden="1" x14ac:dyDescent="0.25">
      <c r="A1356">
        <v>330541</v>
      </c>
      <c r="B1356" t="s">
        <v>86</v>
      </c>
      <c r="D1356" t="s">
        <v>115</v>
      </c>
      <c r="F1356">
        <v>80</v>
      </c>
      <c r="K1356" t="s">
        <v>1117</v>
      </c>
      <c r="L1356" t="s">
        <v>1118</v>
      </c>
      <c r="M1356" t="s">
        <v>1100</v>
      </c>
      <c r="V1356" t="s">
        <v>257</v>
      </c>
      <c r="W1356" t="s">
        <v>92</v>
      </c>
      <c r="X1356" t="s">
        <v>93</v>
      </c>
      <c r="Z1356" t="s">
        <v>137</v>
      </c>
      <c r="AB1356">
        <v>190</v>
      </c>
      <c r="AG1356" t="s">
        <v>95</v>
      </c>
      <c r="AX1356" t="s">
        <v>523</v>
      </c>
      <c r="AY1356" t="s">
        <v>523</v>
      </c>
      <c r="AZ1356" t="s">
        <v>475</v>
      </c>
      <c r="BC1356">
        <v>2</v>
      </c>
      <c r="BH1356" t="s">
        <v>99</v>
      </c>
      <c r="BO1356" t="s">
        <v>111</v>
      </c>
      <c r="CD1356" t="s">
        <v>1119</v>
      </c>
      <c r="CE1356">
        <v>848</v>
      </c>
      <c r="CF1356" t="s">
        <v>1120</v>
      </c>
      <c r="CG1356" t="s">
        <v>1121</v>
      </c>
      <c r="CH1356">
        <v>1975</v>
      </c>
    </row>
    <row r="1357" spans="1:86" hidden="1" x14ac:dyDescent="0.25">
      <c r="A1357">
        <v>330541</v>
      </c>
      <c r="B1357" t="s">
        <v>86</v>
      </c>
      <c r="F1357">
        <v>95</v>
      </c>
      <c r="K1357" t="s">
        <v>1123</v>
      </c>
      <c r="L1357" t="s">
        <v>1124</v>
      </c>
      <c r="M1357" t="s">
        <v>1100</v>
      </c>
      <c r="V1357" t="s">
        <v>91</v>
      </c>
      <c r="W1357" t="s">
        <v>92</v>
      </c>
      <c r="X1357" t="s">
        <v>93</v>
      </c>
      <c r="Z1357" t="s">
        <v>94</v>
      </c>
      <c r="AB1357">
        <v>12.8</v>
      </c>
      <c r="AD1357">
        <v>9</v>
      </c>
      <c r="AF1357">
        <v>18</v>
      </c>
      <c r="AG1357" t="s">
        <v>95</v>
      </c>
      <c r="AX1357" t="s">
        <v>523</v>
      </c>
      <c r="AY1357" t="s">
        <v>523</v>
      </c>
      <c r="AZ1357" t="s">
        <v>475</v>
      </c>
      <c r="BC1357">
        <v>4</v>
      </c>
      <c r="BH1357" t="s">
        <v>99</v>
      </c>
      <c r="BO1357" t="s">
        <v>111</v>
      </c>
      <c r="CD1357" t="s">
        <v>982</v>
      </c>
      <c r="CE1357">
        <v>6797</v>
      </c>
      <c r="CF1357" t="s">
        <v>983</v>
      </c>
      <c r="CG1357" t="s">
        <v>984</v>
      </c>
      <c r="CH1357">
        <v>1986</v>
      </c>
    </row>
    <row r="1358" spans="1:86" hidden="1" x14ac:dyDescent="0.25">
      <c r="A1358">
        <v>330541</v>
      </c>
      <c r="B1358" t="s">
        <v>86</v>
      </c>
      <c r="F1358">
        <v>95</v>
      </c>
      <c r="K1358" t="s">
        <v>1123</v>
      </c>
      <c r="L1358" t="s">
        <v>1124</v>
      </c>
      <c r="M1358" t="s">
        <v>1100</v>
      </c>
      <c r="V1358" t="s">
        <v>91</v>
      </c>
      <c r="W1358" t="s">
        <v>92</v>
      </c>
      <c r="X1358" t="s">
        <v>93</v>
      </c>
      <c r="Z1358" t="s">
        <v>94</v>
      </c>
      <c r="AB1358">
        <v>1.5</v>
      </c>
      <c r="AD1358">
        <v>1.1000000000000001</v>
      </c>
      <c r="AF1358">
        <v>2</v>
      </c>
      <c r="AG1358" t="s">
        <v>95</v>
      </c>
      <c r="AX1358" t="s">
        <v>523</v>
      </c>
      <c r="AY1358" t="s">
        <v>523</v>
      </c>
      <c r="AZ1358" t="s">
        <v>475</v>
      </c>
      <c r="BC1358">
        <v>4</v>
      </c>
      <c r="BH1358" t="s">
        <v>99</v>
      </c>
      <c r="BO1358" t="s">
        <v>111</v>
      </c>
      <c r="CD1358" t="s">
        <v>982</v>
      </c>
      <c r="CE1358">
        <v>6797</v>
      </c>
      <c r="CF1358" t="s">
        <v>983</v>
      </c>
      <c r="CG1358" t="s">
        <v>984</v>
      </c>
      <c r="CH1358">
        <v>1986</v>
      </c>
    </row>
    <row r="1359" spans="1:86" hidden="1" x14ac:dyDescent="0.25">
      <c r="A1359">
        <v>330541</v>
      </c>
      <c r="B1359" t="s">
        <v>86</v>
      </c>
      <c r="D1359" t="s">
        <v>115</v>
      </c>
      <c r="F1359">
        <v>80</v>
      </c>
      <c r="K1359" t="s">
        <v>1101</v>
      </c>
      <c r="L1359" t="s">
        <v>1102</v>
      </c>
      <c r="M1359" t="s">
        <v>1100</v>
      </c>
      <c r="N1359" t="s">
        <v>1103</v>
      </c>
      <c r="V1359" t="s">
        <v>91</v>
      </c>
      <c r="W1359" t="s">
        <v>92</v>
      </c>
      <c r="X1359" t="s">
        <v>93</v>
      </c>
      <c r="Z1359" t="s">
        <v>137</v>
      </c>
      <c r="AB1359">
        <v>6</v>
      </c>
      <c r="AG1359" t="s">
        <v>95</v>
      </c>
      <c r="AX1359" t="s">
        <v>523</v>
      </c>
      <c r="AY1359" t="s">
        <v>523</v>
      </c>
      <c r="AZ1359" t="s">
        <v>475</v>
      </c>
      <c r="BC1359">
        <v>4</v>
      </c>
      <c r="BH1359" t="s">
        <v>99</v>
      </c>
      <c r="BO1359" t="s">
        <v>111</v>
      </c>
      <c r="CD1359" t="s">
        <v>1105</v>
      </c>
      <c r="CE1359">
        <v>2012</v>
      </c>
      <c r="CF1359" t="s">
        <v>1106</v>
      </c>
      <c r="CG1359" t="s">
        <v>1107</v>
      </c>
      <c r="CH1359">
        <v>1973</v>
      </c>
    </row>
    <row r="1360" spans="1:86" hidden="1" x14ac:dyDescent="0.25">
      <c r="A1360">
        <v>330541</v>
      </c>
      <c r="B1360" t="s">
        <v>86</v>
      </c>
      <c r="F1360">
        <v>95</v>
      </c>
      <c r="K1360" t="s">
        <v>1123</v>
      </c>
      <c r="L1360" t="s">
        <v>1124</v>
      </c>
      <c r="M1360" t="s">
        <v>1100</v>
      </c>
      <c r="V1360" t="s">
        <v>91</v>
      </c>
      <c r="W1360" t="s">
        <v>92</v>
      </c>
      <c r="X1360" t="s">
        <v>93</v>
      </c>
      <c r="Z1360" t="s">
        <v>94</v>
      </c>
      <c r="AA1360" t="s">
        <v>106</v>
      </c>
      <c r="AB1360">
        <v>30</v>
      </c>
      <c r="AG1360" t="s">
        <v>95</v>
      </c>
      <c r="AX1360" t="s">
        <v>523</v>
      </c>
      <c r="AY1360" t="s">
        <v>523</v>
      </c>
      <c r="AZ1360" t="s">
        <v>475</v>
      </c>
      <c r="BC1360">
        <v>1</v>
      </c>
      <c r="BH1360" t="s">
        <v>99</v>
      </c>
      <c r="BO1360" t="s">
        <v>111</v>
      </c>
      <c r="CD1360" t="s">
        <v>982</v>
      </c>
      <c r="CE1360">
        <v>6797</v>
      </c>
      <c r="CF1360" t="s">
        <v>983</v>
      </c>
      <c r="CG1360" t="s">
        <v>984</v>
      </c>
      <c r="CH1360">
        <v>1986</v>
      </c>
    </row>
    <row r="1361" spans="1:86" hidden="1" x14ac:dyDescent="0.25">
      <c r="A1361">
        <v>330541</v>
      </c>
      <c r="B1361" t="s">
        <v>86</v>
      </c>
      <c r="D1361" t="s">
        <v>115</v>
      </c>
      <c r="F1361">
        <v>80</v>
      </c>
      <c r="K1361" t="s">
        <v>1101</v>
      </c>
      <c r="L1361" t="s">
        <v>1102</v>
      </c>
      <c r="M1361" t="s">
        <v>1100</v>
      </c>
      <c r="N1361" t="s">
        <v>945</v>
      </c>
      <c r="V1361" t="s">
        <v>91</v>
      </c>
      <c r="W1361" t="s">
        <v>92</v>
      </c>
      <c r="X1361" t="s">
        <v>93</v>
      </c>
      <c r="Z1361" t="s">
        <v>137</v>
      </c>
      <c r="AB1361">
        <v>0.5</v>
      </c>
      <c r="AG1361" t="s">
        <v>95</v>
      </c>
      <c r="AX1361" t="s">
        <v>523</v>
      </c>
      <c r="AY1361" t="s">
        <v>523</v>
      </c>
      <c r="AZ1361" t="s">
        <v>475</v>
      </c>
      <c r="BC1361">
        <v>2</v>
      </c>
      <c r="BH1361" t="s">
        <v>99</v>
      </c>
      <c r="BO1361" t="s">
        <v>111</v>
      </c>
      <c r="CD1361" t="s">
        <v>1105</v>
      </c>
      <c r="CE1361">
        <v>2012</v>
      </c>
      <c r="CF1361" t="s">
        <v>1106</v>
      </c>
      <c r="CG1361" t="s">
        <v>1107</v>
      </c>
      <c r="CH1361">
        <v>1973</v>
      </c>
    </row>
    <row r="1362" spans="1:86" hidden="1" x14ac:dyDescent="0.25">
      <c r="A1362">
        <v>330541</v>
      </c>
      <c r="B1362" t="s">
        <v>86</v>
      </c>
      <c r="F1362">
        <v>95</v>
      </c>
      <c r="K1362" t="s">
        <v>1123</v>
      </c>
      <c r="L1362" t="s">
        <v>1124</v>
      </c>
      <c r="M1362" t="s">
        <v>1100</v>
      </c>
      <c r="V1362" t="s">
        <v>91</v>
      </c>
      <c r="W1362" t="s">
        <v>92</v>
      </c>
      <c r="X1362" t="s">
        <v>93</v>
      </c>
      <c r="Z1362" t="s">
        <v>94</v>
      </c>
      <c r="AB1362">
        <v>1.4</v>
      </c>
      <c r="AD1362">
        <v>1.1000000000000001</v>
      </c>
      <c r="AF1362">
        <v>1.7</v>
      </c>
      <c r="AG1362" t="s">
        <v>95</v>
      </c>
      <c r="AX1362" t="s">
        <v>523</v>
      </c>
      <c r="AY1362" t="s">
        <v>523</v>
      </c>
      <c r="AZ1362" t="s">
        <v>475</v>
      </c>
      <c r="BC1362">
        <v>4</v>
      </c>
      <c r="BH1362" t="s">
        <v>99</v>
      </c>
      <c r="BO1362" t="s">
        <v>111</v>
      </c>
      <c r="CD1362" t="s">
        <v>982</v>
      </c>
      <c r="CE1362">
        <v>6797</v>
      </c>
      <c r="CF1362" t="s">
        <v>983</v>
      </c>
      <c r="CG1362" t="s">
        <v>984</v>
      </c>
      <c r="CH1362">
        <v>1986</v>
      </c>
    </row>
    <row r="1363" spans="1:86" hidden="1" x14ac:dyDescent="0.25">
      <c r="A1363">
        <v>330541</v>
      </c>
      <c r="B1363" t="s">
        <v>86</v>
      </c>
      <c r="F1363">
        <v>95</v>
      </c>
      <c r="K1363" t="s">
        <v>1123</v>
      </c>
      <c r="L1363" t="s">
        <v>1124</v>
      </c>
      <c r="M1363" t="s">
        <v>1100</v>
      </c>
      <c r="V1363" t="s">
        <v>91</v>
      </c>
      <c r="W1363" t="s">
        <v>92</v>
      </c>
      <c r="X1363" t="s">
        <v>93</v>
      </c>
      <c r="Z1363" t="s">
        <v>94</v>
      </c>
      <c r="AA1363" t="s">
        <v>106</v>
      </c>
      <c r="AB1363">
        <v>5</v>
      </c>
      <c r="AG1363" t="s">
        <v>95</v>
      </c>
      <c r="AX1363" t="s">
        <v>523</v>
      </c>
      <c r="AY1363" t="s">
        <v>523</v>
      </c>
      <c r="AZ1363" t="s">
        <v>475</v>
      </c>
      <c r="BC1363">
        <v>1</v>
      </c>
      <c r="BH1363" t="s">
        <v>99</v>
      </c>
      <c r="BO1363" t="s">
        <v>111</v>
      </c>
      <c r="CD1363" t="s">
        <v>982</v>
      </c>
      <c r="CE1363">
        <v>6797</v>
      </c>
      <c r="CF1363" t="s">
        <v>983</v>
      </c>
      <c r="CG1363" t="s">
        <v>984</v>
      </c>
      <c r="CH1363">
        <v>1986</v>
      </c>
    </row>
    <row r="1364" spans="1:86" hidden="1" x14ac:dyDescent="0.25">
      <c r="A1364">
        <v>330541</v>
      </c>
      <c r="B1364" t="s">
        <v>86</v>
      </c>
      <c r="C1364" t="s">
        <v>183</v>
      </c>
      <c r="D1364" t="s">
        <v>115</v>
      </c>
      <c r="K1364" t="s">
        <v>1098</v>
      </c>
      <c r="L1364" t="s">
        <v>1099</v>
      </c>
      <c r="M1364" t="s">
        <v>1100</v>
      </c>
      <c r="V1364" t="s">
        <v>91</v>
      </c>
      <c r="W1364" t="s">
        <v>92</v>
      </c>
      <c r="X1364" t="s">
        <v>93</v>
      </c>
      <c r="Z1364" t="s">
        <v>94</v>
      </c>
      <c r="AA1364" t="s">
        <v>106</v>
      </c>
      <c r="AB1364">
        <v>10</v>
      </c>
      <c r="AG1364" t="s">
        <v>95</v>
      </c>
      <c r="AX1364" t="s">
        <v>523</v>
      </c>
      <c r="AY1364" t="s">
        <v>523</v>
      </c>
      <c r="AZ1364" t="s">
        <v>475</v>
      </c>
      <c r="BC1364">
        <v>1</v>
      </c>
      <c r="BH1364" t="s">
        <v>99</v>
      </c>
      <c r="BO1364" t="s">
        <v>111</v>
      </c>
      <c r="CD1364" t="s">
        <v>1139</v>
      </c>
      <c r="CE1364">
        <v>60691</v>
      </c>
      <c r="CF1364" t="s">
        <v>1140</v>
      </c>
      <c r="CG1364" t="s">
        <v>1141</v>
      </c>
      <c r="CH1364">
        <v>1976</v>
      </c>
    </row>
    <row r="1365" spans="1:86" hidden="1" x14ac:dyDescent="0.25">
      <c r="A1365">
        <v>330541</v>
      </c>
      <c r="B1365" t="s">
        <v>86</v>
      </c>
      <c r="F1365">
        <v>95</v>
      </c>
      <c r="K1365" t="s">
        <v>1123</v>
      </c>
      <c r="L1365" t="s">
        <v>1124</v>
      </c>
      <c r="M1365" t="s">
        <v>1100</v>
      </c>
      <c r="V1365" t="s">
        <v>91</v>
      </c>
      <c r="W1365" t="s">
        <v>92</v>
      </c>
      <c r="X1365" t="s">
        <v>93</v>
      </c>
      <c r="Z1365" t="s">
        <v>94</v>
      </c>
      <c r="AB1365">
        <v>3.4</v>
      </c>
      <c r="AD1365">
        <v>2.9</v>
      </c>
      <c r="AF1365">
        <v>3.8</v>
      </c>
      <c r="AG1365" t="s">
        <v>95</v>
      </c>
      <c r="AX1365" t="s">
        <v>523</v>
      </c>
      <c r="AY1365" t="s">
        <v>523</v>
      </c>
      <c r="AZ1365" t="s">
        <v>475</v>
      </c>
      <c r="BC1365">
        <v>1</v>
      </c>
      <c r="BH1365" t="s">
        <v>99</v>
      </c>
      <c r="BO1365" t="s">
        <v>111</v>
      </c>
      <c r="CD1365" t="s">
        <v>982</v>
      </c>
      <c r="CE1365">
        <v>6797</v>
      </c>
      <c r="CF1365" t="s">
        <v>983</v>
      </c>
      <c r="CG1365" t="s">
        <v>984</v>
      </c>
      <c r="CH1365">
        <v>1986</v>
      </c>
    </row>
    <row r="1366" spans="1:86" hidden="1" x14ac:dyDescent="0.25">
      <c r="A1366">
        <v>330541</v>
      </c>
      <c r="B1366" t="s">
        <v>86</v>
      </c>
      <c r="F1366">
        <v>95</v>
      </c>
      <c r="K1366" t="s">
        <v>1123</v>
      </c>
      <c r="L1366" t="s">
        <v>1124</v>
      </c>
      <c r="M1366" t="s">
        <v>1100</v>
      </c>
      <c r="V1366" t="s">
        <v>91</v>
      </c>
      <c r="W1366" t="s">
        <v>92</v>
      </c>
      <c r="X1366" t="s">
        <v>93</v>
      </c>
      <c r="Z1366" t="s">
        <v>94</v>
      </c>
      <c r="AB1366">
        <v>1.7</v>
      </c>
      <c r="AD1366">
        <v>1.4</v>
      </c>
      <c r="AF1366">
        <v>2.1</v>
      </c>
      <c r="AG1366" t="s">
        <v>95</v>
      </c>
      <c r="AX1366" t="s">
        <v>523</v>
      </c>
      <c r="AY1366" t="s">
        <v>523</v>
      </c>
      <c r="AZ1366" t="s">
        <v>475</v>
      </c>
      <c r="BC1366">
        <v>4</v>
      </c>
      <c r="BH1366" t="s">
        <v>99</v>
      </c>
      <c r="BO1366" t="s">
        <v>111</v>
      </c>
      <c r="CD1366" t="s">
        <v>982</v>
      </c>
      <c r="CE1366">
        <v>6797</v>
      </c>
      <c r="CF1366" t="s">
        <v>983</v>
      </c>
      <c r="CG1366" t="s">
        <v>984</v>
      </c>
      <c r="CH1366">
        <v>1986</v>
      </c>
    </row>
    <row r="1367" spans="1:86" hidden="1" x14ac:dyDescent="0.25">
      <c r="A1367">
        <v>330541</v>
      </c>
      <c r="B1367" t="s">
        <v>86</v>
      </c>
      <c r="D1367" t="s">
        <v>115</v>
      </c>
      <c r="K1367" t="s">
        <v>1142</v>
      </c>
      <c r="L1367" t="s">
        <v>1143</v>
      </c>
      <c r="M1367" t="s">
        <v>1100</v>
      </c>
      <c r="N1367" t="s">
        <v>1000</v>
      </c>
      <c r="V1367" t="s">
        <v>91</v>
      </c>
      <c r="W1367" t="s">
        <v>107</v>
      </c>
      <c r="X1367" t="s">
        <v>93</v>
      </c>
      <c r="Z1367" t="s">
        <v>137</v>
      </c>
      <c r="AB1367">
        <v>6.3</v>
      </c>
      <c r="AG1367" t="s">
        <v>95</v>
      </c>
      <c r="AX1367" t="s">
        <v>523</v>
      </c>
      <c r="AY1367" t="s">
        <v>523</v>
      </c>
      <c r="AZ1367" t="s">
        <v>475</v>
      </c>
      <c r="BC1367">
        <v>2</v>
      </c>
      <c r="BH1367" t="s">
        <v>99</v>
      </c>
      <c r="BO1367" t="s">
        <v>111</v>
      </c>
      <c r="CD1367" t="s">
        <v>682</v>
      </c>
      <c r="CE1367">
        <v>14134</v>
      </c>
      <c r="CF1367" t="s">
        <v>683</v>
      </c>
      <c r="CG1367" t="s">
        <v>684</v>
      </c>
      <c r="CH1367">
        <v>1965</v>
      </c>
    </row>
    <row r="1368" spans="1:86" hidden="1" x14ac:dyDescent="0.25">
      <c r="A1368">
        <v>330541</v>
      </c>
      <c r="B1368" t="s">
        <v>86</v>
      </c>
      <c r="F1368">
        <v>95</v>
      </c>
      <c r="K1368" t="s">
        <v>1123</v>
      </c>
      <c r="L1368" t="s">
        <v>1124</v>
      </c>
      <c r="M1368" t="s">
        <v>1100</v>
      </c>
      <c r="V1368" t="s">
        <v>91</v>
      </c>
      <c r="W1368" t="s">
        <v>92</v>
      </c>
      <c r="X1368" t="s">
        <v>93</v>
      </c>
      <c r="Z1368" t="s">
        <v>94</v>
      </c>
      <c r="AA1368" t="s">
        <v>106</v>
      </c>
      <c r="AB1368">
        <v>4</v>
      </c>
      <c r="AG1368" t="s">
        <v>95</v>
      </c>
      <c r="AX1368" t="s">
        <v>523</v>
      </c>
      <c r="AY1368" t="s">
        <v>523</v>
      </c>
      <c r="AZ1368" t="s">
        <v>475</v>
      </c>
      <c r="BC1368">
        <v>1</v>
      </c>
      <c r="BH1368" t="s">
        <v>99</v>
      </c>
      <c r="BO1368" t="s">
        <v>111</v>
      </c>
      <c r="CD1368" t="s">
        <v>982</v>
      </c>
      <c r="CE1368">
        <v>6797</v>
      </c>
      <c r="CF1368" t="s">
        <v>983</v>
      </c>
      <c r="CG1368" t="s">
        <v>984</v>
      </c>
      <c r="CH1368">
        <v>1986</v>
      </c>
    </row>
    <row r="1369" spans="1:86" hidden="1" x14ac:dyDescent="0.25">
      <c r="A1369">
        <v>330541</v>
      </c>
      <c r="B1369" t="s">
        <v>86</v>
      </c>
      <c r="D1369" t="s">
        <v>115</v>
      </c>
      <c r="K1369" t="s">
        <v>1125</v>
      </c>
      <c r="L1369" t="s">
        <v>1126</v>
      </c>
      <c r="M1369" t="s">
        <v>1100</v>
      </c>
      <c r="N1369" t="s">
        <v>1000</v>
      </c>
      <c r="V1369" t="s">
        <v>91</v>
      </c>
      <c r="W1369" t="s">
        <v>107</v>
      </c>
      <c r="X1369" t="s">
        <v>93</v>
      </c>
      <c r="Z1369" t="s">
        <v>137</v>
      </c>
      <c r="AB1369">
        <v>10.8</v>
      </c>
      <c r="AG1369" t="s">
        <v>95</v>
      </c>
      <c r="AX1369" t="s">
        <v>523</v>
      </c>
      <c r="AY1369" t="s">
        <v>523</v>
      </c>
      <c r="AZ1369" t="s">
        <v>475</v>
      </c>
      <c r="BC1369">
        <v>1</v>
      </c>
      <c r="BH1369" t="s">
        <v>99</v>
      </c>
      <c r="BO1369" t="s">
        <v>111</v>
      </c>
      <c r="CD1369" t="s">
        <v>682</v>
      </c>
      <c r="CE1369">
        <v>2188</v>
      </c>
      <c r="CF1369" t="s">
        <v>752</v>
      </c>
      <c r="CG1369" t="s">
        <v>753</v>
      </c>
      <c r="CH1369">
        <v>1963</v>
      </c>
    </row>
    <row r="1370" spans="1:86" hidden="1" x14ac:dyDescent="0.25">
      <c r="A1370">
        <v>330541</v>
      </c>
      <c r="B1370" t="s">
        <v>86</v>
      </c>
      <c r="F1370">
        <v>95</v>
      </c>
      <c r="K1370" t="s">
        <v>1123</v>
      </c>
      <c r="L1370" t="s">
        <v>1124</v>
      </c>
      <c r="M1370" t="s">
        <v>1100</v>
      </c>
      <c r="V1370" t="s">
        <v>91</v>
      </c>
      <c r="W1370" t="s">
        <v>92</v>
      </c>
      <c r="X1370" t="s">
        <v>93</v>
      </c>
      <c r="Z1370" t="s">
        <v>94</v>
      </c>
      <c r="AA1370" t="s">
        <v>106</v>
      </c>
      <c r="AB1370">
        <v>20</v>
      </c>
      <c r="AG1370" t="s">
        <v>95</v>
      </c>
      <c r="AX1370" t="s">
        <v>523</v>
      </c>
      <c r="AY1370" t="s">
        <v>523</v>
      </c>
      <c r="AZ1370" t="s">
        <v>475</v>
      </c>
      <c r="BC1370">
        <v>1</v>
      </c>
      <c r="BH1370" t="s">
        <v>99</v>
      </c>
      <c r="BO1370" t="s">
        <v>111</v>
      </c>
      <c r="CD1370" t="s">
        <v>982</v>
      </c>
      <c r="CE1370">
        <v>6797</v>
      </c>
      <c r="CF1370" t="s">
        <v>983</v>
      </c>
      <c r="CG1370" t="s">
        <v>984</v>
      </c>
      <c r="CH1370">
        <v>1986</v>
      </c>
    </row>
    <row r="1371" spans="1:86" hidden="1" x14ac:dyDescent="0.25">
      <c r="A1371">
        <v>330541</v>
      </c>
      <c r="B1371" t="s">
        <v>86</v>
      </c>
      <c r="C1371" t="s">
        <v>158</v>
      </c>
      <c r="D1371" t="s">
        <v>87</v>
      </c>
      <c r="K1371" t="s">
        <v>1135</v>
      </c>
      <c r="L1371" t="s">
        <v>1136</v>
      </c>
      <c r="M1371" t="s">
        <v>1100</v>
      </c>
      <c r="N1371" t="s">
        <v>1144</v>
      </c>
      <c r="W1371" t="s">
        <v>92</v>
      </c>
      <c r="X1371" t="s">
        <v>93</v>
      </c>
      <c r="Y1371">
        <v>2</v>
      </c>
      <c r="Z1371" t="s">
        <v>94</v>
      </c>
      <c r="AB1371">
        <v>6.7899999999999997E-5</v>
      </c>
      <c r="AG1371" t="s">
        <v>95</v>
      </c>
      <c r="AX1371" t="s">
        <v>602</v>
      </c>
      <c r="AY1371" t="s">
        <v>1145</v>
      </c>
      <c r="AZ1371" t="s">
        <v>486</v>
      </c>
      <c r="BC1371">
        <v>25</v>
      </c>
      <c r="BH1371" t="s">
        <v>99</v>
      </c>
      <c r="BO1371" t="s">
        <v>111</v>
      </c>
      <c r="CD1371" t="s">
        <v>1146</v>
      </c>
      <c r="CE1371">
        <v>176040</v>
      </c>
      <c r="CF1371" t="s">
        <v>1147</v>
      </c>
      <c r="CG1371" t="s">
        <v>1148</v>
      </c>
      <c r="CH1371">
        <v>2016</v>
      </c>
    </row>
    <row r="1372" spans="1:86" hidden="1" x14ac:dyDescent="0.25">
      <c r="A1372">
        <v>330541</v>
      </c>
      <c r="B1372" t="s">
        <v>86</v>
      </c>
      <c r="C1372" t="s">
        <v>158</v>
      </c>
      <c r="D1372" t="s">
        <v>87</v>
      </c>
      <c r="K1372" t="s">
        <v>1135</v>
      </c>
      <c r="L1372" t="s">
        <v>1136</v>
      </c>
      <c r="M1372" t="s">
        <v>1100</v>
      </c>
      <c r="N1372" t="s">
        <v>1144</v>
      </c>
      <c r="P1372">
        <v>180</v>
      </c>
      <c r="U1372" t="s">
        <v>920</v>
      </c>
      <c r="V1372" t="s">
        <v>507</v>
      </c>
      <c r="W1372" t="s">
        <v>92</v>
      </c>
      <c r="X1372" t="s">
        <v>93</v>
      </c>
      <c r="Y1372">
        <v>2</v>
      </c>
      <c r="Z1372" t="s">
        <v>94</v>
      </c>
      <c r="AB1372">
        <v>2.1064E-4</v>
      </c>
      <c r="AG1372" t="s">
        <v>95</v>
      </c>
      <c r="AX1372" t="s">
        <v>938</v>
      </c>
      <c r="AY1372" t="s">
        <v>939</v>
      </c>
      <c r="AZ1372" t="s">
        <v>486</v>
      </c>
      <c r="BA1372" t="s">
        <v>1149</v>
      </c>
      <c r="BC1372">
        <v>25</v>
      </c>
      <c r="BH1372" t="s">
        <v>99</v>
      </c>
      <c r="BO1372" t="s">
        <v>111</v>
      </c>
      <c r="CD1372" t="s">
        <v>1150</v>
      </c>
      <c r="CE1372">
        <v>177268</v>
      </c>
      <c r="CF1372" t="s">
        <v>1151</v>
      </c>
      <c r="CG1372" t="s">
        <v>1152</v>
      </c>
      <c r="CH1372">
        <v>2015</v>
      </c>
    </row>
    <row r="1373" spans="1:86" hidden="1" x14ac:dyDescent="0.25">
      <c r="A1373">
        <v>330541</v>
      </c>
      <c r="B1373" t="s">
        <v>86</v>
      </c>
      <c r="C1373" t="s">
        <v>183</v>
      </c>
      <c r="D1373" t="s">
        <v>115</v>
      </c>
      <c r="F1373">
        <v>98</v>
      </c>
      <c r="K1373" t="s">
        <v>1108</v>
      </c>
      <c r="L1373" t="s">
        <v>1109</v>
      </c>
      <c r="M1373" t="s">
        <v>1100</v>
      </c>
      <c r="N1373" t="s">
        <v>1110</v>
      </c>
      <c r="O1373" t="s">
        <v>499</v>
      </c>
      <c r="P1373">
        <v>72</v>
      </c>
      <c r="U1373" t="s">
        <v>1111</v>
      </c>
      <c r="V1373" t="s">
        <v>507</v>
      </c>
      <c r="W1373" t="s">
        <v>107</v>
      </c>
      <c r="X1373" t="s">
        <v>93</v>
      </c>
      <c r="Y1373">
        <v>8</v>
      </c>
      <c r="Z1373" t="s">
        <v>94</v>
      </c>
      <c r="AB1373">
        <v>1.25</v>
      </c>
      <c r="AG1373" t="s">
        <v>95</v>
      </c>
      <c r="AX1373" t="s">
        <v>523</v>
      </c>
      <c r="AY1373" t="s">
        <v>523</v>
      </c>
      <c r="AZ1373" t="s">
        <v>486</v>
      </c>
      <c r="BC1373">
        <v>4</v>
      </c>
      <c r="BH1373" t="s">
        <v>99</v>
      </c>
      <c r="BO1373" t="s">
        <v>111</v>
      </c>
      <c r="CD1373" t="s">
        <v>1112</v>
      </c>
      <c r="CE1373">
        <v>160499</v>
      </c>
      <c r="CF1373" t="s">
        <v>1113</v>
      </c>
      <c r="CG1373" t="s">
        <v>1114</v>
      </c>
      <c r="CH1373">
        <v>2012</v>
      </c>
    </row>
    <row r="1374" spans="1:86" hidden="1" x14ac:dyDescent="0.25">
      <c r="A1374">
        <v>330541</v>
      </c>
      <c r="B1374" t="s">
        <v>86</v>
      </c>
      <c r="C1374" t="s">
        <v>183</v>
      </c>
      <c r="D1374" t="s">
        <v>115</v>
      </c>
      <c r="F1374">
        <v>98</v>
      </c>
      <c r="K1374" t="s">
        <v>1108</v>
      </c>
      <c r="L1374" t="s">
        <v>1109</v>
      </c>
      <c r="M1374" t="s">
        <v>1100</v>
      </c>
      <c r="N1374" t="s">
        <v>1110</v>
      </c>
      <c r="O1374" t="s">
        <v>499</v>
      </c>
      <c r="P1374">
        <v>72</v>
      </c>
      <c r="U1374" t="s">
        <v>1111</v>
      </c>
      <c r="V1374" t="s">
        <v>507</v>
      </c>
      <c r="W1374" t="s">
        <v>107</v>
      </c>
      <c r="X1374" t="s">
        <v>93</v>
      </c>
      <c r="Y1374">
        <v>8</v>
      </c>
      <c r="Z1374" t="s">
        <v>94</v>
      </c>
      <c r="AB1374">
        <v>1.25</v>
      </c>
      <c r="AG1374" t="s">
        <v>95</v>
      </c>
      <c r="AX1374" t="s">
        <v>523</v>
      </c>
      <c r="AY1374" t="s">
        <v>523</v>
      </c>
      <c r="AZ1374" t="s">
        <v>486</v>
      </c>
      <c r="BC1374">
        <v>2</v>
      </c>
      <c r="BH1374" t="s">
        <v>99</v>
      </c>
      <c r="BO1374" t="s">
        <v>111</v>
      </c>
      <c r="CD1374" t="s">
        <v>1112</v>
      </c>
      <c r="CE1374">
        <v>160499</v>
      </c>
      <c r="CF1374" t="s">
        <v>1113</v>
      </c>
      <c r="CG1374" t="s">
        <v>1114</v>
      </c>
      <c r="CH1374">
        <v>2012</v>
      </c>
    </row>
    <row r="1375" spans="1:86" hidden="1" x14ac:dyDescent="0.25">
      <c r="A1375">
        <v>330541</v>
      </c>
      <c r="B1375" t="s">
        <v>86</v>
      </c>
      <c r="C1375" t="s">
        <v>183</v>
      </c>
      <c r="D1375" t="s">
        <v>115</v>
      </c>
      <c r="F1375">
        <v>99.4</v>
      </c>
      <c r="K1375" t="s">
        <v>1135</v>
      </c>
      <c r="L1375" t="s">
        <v>1136</v>
      </c>
      <c r="M1375" t="s">
        <v>1100</v>
      </c>
      <c r="V1375" t="s">
        <v>168</v>
      </c>
      <c r="W1375" t="s">
        <v>92</v>
      </c>
      <c r="X1375" t="s">
        <v>93</v>
      </c>
      <c r="Y1375">
        <v>8</v>
      </c>
      <c r="Z1375" t="s">
        <v>94</v>
      </c>
      <c r="AB1375">
        <v>6.9929160000000001</v>
      </c>
      <c r="AG1375" t="s">
        <v>95</v>
      </c>
      <c r="AX1375" t="s">
        <v>523</v>
      </c>
      <c r="AY1375" t="s">
        <v>523</v>
      </c>
      <c r="AZ1375" t="s">
        <v>486</v>
      </c>
      <c r="BC1375">
        <v>4</v>
      </c>
      <c r="BH1375" t="s">
        <v>99</v>
      </c>
      <c r="BO1375" t="s">
        <v>111</v>
      </c>
      <c r="CD1375" t="s">
        <v>1080</v>
      </c>
      <c r="CE1375">
        <v>183330</v>
      </c>
      <c r="CF1375" t="s">
        <v>1081</v>
      </c>
      <c r="CG1375" t="s">
        <v>1082</v>
      </c>
      <c r="CH1375">
        <v>2015</v>
      </c>
    </row>
    <row r="1376" spans="1:86" hidden="1" x14ac:dyDescent="0.25">
      <c r="A1376">
        <v>330541</v>
      </c>
      <c r="B1376" t="s">
        <v>86</v>
      </c>
      <c r="D1376" t="s">
        <v>115</v>
      </c>
      <c r="F1376">
        <v>99</v>
      </c>
      <c r="K1376" t="s">
        <v>1153</v>
      </c>
      <c r="L1376" t="s">
        <v>1154</v>
      </c>
      <c r="M1376" t="s">
        <v>1100</v>
      </c>
      <c r="N1376" t="s">
        <v>1000</v>
      </c>
      <c r="P1376">
        <v>1</v>
      </c>
      <c r="U1376" t="s">
        <v>934</v>
      </c>
      <c r="V1376" t="s">
        <v>507</v>
      </c>
      <c r="W1376" t="s">
        <v>92</v>
      </c>
      <c r="X1376" t="s">
        <v>93</v>
      </c>
      <c r="Y1376">
        <v>2</v>
      </c>
      <c r="Z1376" t="s">
        <v>94</v>
      </c>
      <c r="AB1376">
        <v>4.0000000000000003E-5</v>
      </c>
      <c r="AG1376" t="s">
        <v>95</v>
      </c>
      <c r="AX1376" t="s">
        <v>615</v>
      </c>
      <c r="AY1376" t="s">
        <v>1155</v>
      </c>
      <c r="AZ1376" t="s">
        <v>486</v>
      </c>
      <c r="BA1376" t="s">
        <v>1156</v>
      </c>
      <c r="BC1376">
        <v>7</v>
      </c>
      <c r="BH1376" t="s">
        <v>99</v>
      </c>
      <c r="BO1376" t="s">
        <v>111</v>
      </c>
      <c r="CD1376" t="s">
        <v>1157</v>
      </c>
      <c r="CE1376">
        <v>176116</v>
      </c>
      <c r="CF1376" t="s">
        <v>1158</v>
      </c>
      <c r="CG1376" t="s">
        <v>1159</v>
      </c>
      <c r="CH1376">
        <v>2016</v>
      </c>
    </row>
    <row r="1377" spans="1:86" hidden="1" x14ac:dyDescent="0.25">
      <c r="A1377">
        <v>330541</v>
      </c>
      <c r="B1377" t="s">
        <v>86</v>
      </c>
      <c r="D1377" t="s">
        <v>115</v>
      </c>
      <c r="K1377" t="s">
        <v>1160</v>
      </c>
      <c r="L1377" t="s">
        <v>1161</v>
      </c>
      <c r="M1377" t="s">
        <v>1100</v>
      </c>
      <c r="N1377" t="s">
        <v>910</v>
      </c>
      <c r="O1377" t="s">
        <v>499</v>
      </c>
      <c r="P1377">
        <v>2.5</v>
      </c>
      <c r="U1377" t="s">
        <v>1162</v>
      </c>
      <c r="V1377" t="s">
        <v>91</v>
      </c>
      <c r="W1377" t="s">
        <v>107</v>
      </c>
      <c r="X1377" t="s">
        <v>93</v>
      </c>
      <c r="Y1377">
        <v>6</v>
      </c>
      <c r="Z1377" t="s">
        <v>137</v>
      </c>
      <c r="AB1377">
        <v>0.05</v>
      </c>
      <c r="AG1377" t="s">
        <v>95</v>
      </c>
      <c r="AX1377" t="s">
        <v>912</v>
      </c>
      <c r="AY1377" t="s">
        <v>1163</v>
      </c>
      <c r="AZ1377" t="s">
        <v>486</v>
      </c>
      <c r="BC1377">
        <v>1.5</v>
      </c>
      <c r="BH1377" t="s">
        <v>99</v>
      </c>
      <c r="BO1377" t="s">
        <v>111</v>
      </c>
      <c r="CD1377" t="s">
        <v>1164</v>
      </c>
      <c r="CE1377">
        <v>156289</v>
      </c>
      <c r="CF1377" t="s">
        <v>1165</v>
      </c>
      <c r="CG1377" t="s">
        <v>1166</v>
      </c>
      <c r="CH1377">
        <v>2009</v>
      </c>
    </row>
    <row r="1378" spans="1:86" hidden="1" x14ac:dyDescent="0.25">
      <c r="A1378">
        <v>330541</v>
      </c>
      <c r="B1378" t="s">
        <v>86</v>
      </c>
      <c r="D1378" t="s">
        <v>115</v>
      </c>
      <c r="K1378" t="s">
        <v>1160</v>
      </c>
      <c r="L1378" t="s">
        <v>1161</v>
      </c>
      <c r="M1378" t="s">
        <v>1100</v>
      </c>
      <c r="N1378" t="s">
        <v>910</v>
      </c>
      <c r="O1378" t="s">
        <v>499</v>
      </c>
      <c r="P1378">
        <v>2.5</v>
      </c>
      <c r="U1378" t="s">
        <v>1162</v>
      </c>
      <c r="V1378" t="s">
        <v>91</v>
      </c>
      <c r="W1378" t="s">
        <v>107</v>
      </c>
      <c r="X1378" t="s">
        <v>93</v>
      </c>
      <c r="Y1378">
        <v>6</v>
      </c>
      <c r="Z1378" t="s">
        <v>137</v>
      </c>
      <c r="AB1378">
        <v>0.05</v>
      </c>
      <c r="AG1378" t="s">
        <v>95</v>
      </c>
      <c r="AX1378" t="s">
        <v>912</v>
      </c>
      <c r="AY1378" t="s">
        <v>913</v>
      </c>
      <c r="AZ1378" t="s">
        <v>486</v>
      </c>
      <c r="BA1378" t="s">
        <v>1167</v>
      </c>
      <c r="BC1378">
        <v>1.5</v>
      </c>
      <c r="BH1378" t="s">
        <v>99</v>
      </c>
      <c r="BO1378" t="s">
        <v>111</v>
      </c>
      <c r="CD1378" t="s">
        <v>1164</v>
      </c>
      <c r="CE1378">
        <v>156289</v>
      </c>
      <c r="CF1378" t="s">
        <v>1165</v>
      </c>
      <c r="CG1378" t="s">
        <v>1166</v>
      </c>
      <c r="CH1378">
        <v>2009</v>
      </c>
    </row>
    <row r="1379" spans="1:86" hidden="1" x14ac:dyDescent="0.25">
      <c r="A1379">
        <v>330541</v>
      </c>
      <c r="B1379" t="s">
        <v>86</v>
      </c>
      <c r="D1379" t="s">
        <v>87</v>
      </c>
      <c r="E1379" t="s">
        <v>106</v>
      </c>
      <c r="F1379">
        <v>98</v>
      </c>
      <c r="K1379" t="s">
        <v>1135</v>
      </c>
      <c r="L1379" t="s">
        <v>1136</v>
      </c>
      <c r="M1379" t="s">
        <v>1100</v>
      </c>
      <c r="V1379" t="s">
        <v>507</v>
      </c>
      <c r="W1379" t="s">
        <v>92</v>
      </c>
      <c r="X1379" t="s">
        <v>93</v>
      </c>
      <c r="Y1379">
        <v>3</v>
      </c>
      <c r="Z1379" t="s">
        <v>94</v>
      </c>
      <c r="AB1379">
        <v>2.8401000000000001E-4</v>
      </c>
      <c r="AG1379" t="s">
        <v>95</v>
      </c>
      <c r="AX1379" t="s">
        <v>282</v>
      </c>
      <c r="AY1379" t="s">
        <v>1168</v>
      </c>
      <c r="AZ1379" t="s">
        <v>486</v>
      </c>
      <c r="BA1379" t="s">
        <v>1169</v>
      </c>
      <c r="BC1379">
        <v>7</v>
      </c>
      <c r="BH1379" t="s">
        <v>99</v>
      </c>
      <c r="BO1379" t="s">
        <v>111</v>
      </c>
      <c r="CD1379" t="s">
        <v>1170</v>
      </c>
      <c r="CE1379">
        <v>177275</v>
      </c>
      <c r="CF1379" t="s">
        <v>1171</v>
      </c>
      <c r="CG1379" t="s">
        <v>1172</v>
      </c>
      <c r="CH1379">
        <v>2018</v>
      </c>
    </row>
    <row r="1380" spans="1:86" hidden="1" x14ac:dyDescent="0.25">
      <c r="A1380">
        <v>330541</v>
      </c>
      <c r="B1380" t="s">
        <v>86</v>
      </c>
      <c r="D1380" t="s">
        <v>87</v>
      </c>
      <c r="E1380" t="s">
        <v>106</v>
      </c>
      <c r="F1380">
        <v>98</v>
      </c>
      <c r="K1380" t="s">
        <v>1135</v>
      </c>
      <c r="L1380" t="s">
        <v>1136</v>
      </c>
      <c r="M1380" t="s">
        <v>1100</v>
      </c>
      <c r="V1380" t="s">
        <v>507</v>
      </c>
      <c r="W1380" t="s">
        <v>92</v>
      </c>
      <c r="X1380" t="s">
        <v>93</v>
      </c>
      <c r="Y1380">
        <v>3</v>
      </c>
      <c r="Z1380" t="s">
        <v>94</v>
      </c>
      <c r="AB1380">
        <v>5.7349999999999998E-5</v>
      </c>
      <c r="AG1380" t="s">
        <v>95</v>
      </c>
      <c r="AX1380" t="s">
        <v>282</v>
      </c>
      <c r="AY1380" t="s">
        <v>606</v>
      </c>
      <c r="AZ1380" t="s">
        <v>486</v>
      </c>
      <c r="BA1380" t="s">
        <v>1169</v>
      </c>
      <c r="BC1380">
        <v>7</v>
      </c>
      <c r="BH1380" t="s">
        <v>99</v>
      </c>
      <c r="BO1380" t="s">
        <v>111</v>
      </c>
      <c r="CD1380" t="s">
        <v>1170</v>
      </c>
      <c r="CE1380">
        <v>177275</v>
      </c>
      <c r="CF1380" t="s">
        <v>1171</v>
      </c>
      <c r="CG1380" t="s">
        <v>1172</v>
      </c>
      <c r="CH1380">
        <v>2018</v>
      </c>
    </row>
    <row r="1381" spans="1:86" hidden="1" x14ac:dyDescent="0.25">
      <c r="A1381">
        <v>330541</v>
      </c>
      <c r="B1381" t="s">
        <v>86</v>
      </c>
      <c r="D1381" t="s">
        <v>87</v>
      </c>
      <c r="E1381" t="s">
        <v>106</v>
      </c>
      <c r="F1381">
        <v>98</v>
      </c>
      <c r="K1381" t="s">
        <v>1135</v>
      </c>
      <c r="L1381" t="s">
        <v>1136</v>
      </c>
      <c r="M1381" t="s">
        <v>1100</v>
      </c>
      <c r="V1381" t="s">
        <v>507</v>
      </c>
      <c r="W1381" t="s">
        <v>92</v>
      </c>
      <c r="X1381" t="s">
        <v>93</v>
      </c>
      <c r="Y1381">
        <v>3</v>
      </c>
      <c r="Z1381" t="s">
        <v>94</v>
      </c>
      <c r="AB1381">
        <v>2.8401000000000001E-4</v>
      </c>
      <c r="AG1381" t="s">
        <v>95</v>
      </c>
      <c r="AX1381" t="s">
        <v>282</v>
      </c>
      <c r="AY1381" t="s">
        <v>1173</v>
      </c>
      <c r="AZ1381" t="s">
        <v>486</v>
      </c>
      <c r="BA1381" t="s">
        <v>1169</v>
      </c>
      <c r="BC1381">
        <v>7</v>
      </c>
      <c r="BH1381" t="s">
        <v>99</v>
      </c>
      <c r="BO1381" t="s">
        <v>111</v>
      </c>
      <c r="CD1381" t="s">
        <v>1170</v>
      </c>
      <c r="CE1381">
        <v>177275</v>
      </c>
      <c r="CF1381" t="s">
        <v>1171</v>
      </c>
      <c r="CG1381" t="s">
        <v>1172</v>
      </c>
      <c r="CH1381">
        <v>2018</v>
      </c>
    </row>
    <row r="1382" spans="1:86" hidden="1" x14ac:dyDescent="0.25">
      <c r="A1382">
        <v>330541</v>
      </c>
      <c r="B1382" t="s">
        <v>86</v>
      </c>
      <c r="D1382" t="s">
        <v>87</v>
      </c>
      <c r="E1382" t="s">
        <v>106</v>
      </c>
      <c r="F1382">
        <v>98</v>
      </c>
      <c r="K1382" t="s">
        <v>1135</v>
      </c>
      <c r="L1382" t="s">
        <v>1136</v>
      </c>
      <c r="M1382" t="s">
        <v>1100</v>
      </c>
      <c r="V1382" t="s">
        <v>507</v>
      </c>
      <c r="W1382" t="s">
        <v>92</v>
      </c>
      <c r="X1382" t="s">
        <v>93</v>
      </c>
      <c r="Y1382">
        <v>3</v>
      </c>
      <c r="Z1382" t="s">
        <v>94</v>
      </c>
      <c r="AB1382">
        <v>5.7349999999999998E-5</v>
      </c>
      <c r="AG1382" t="s">
        <v>95</v>
      </c>
      <c r="AX1382" t="s">
        <v>201</v>
      </c>
      <c r="AY1382" t="s">
        <v>608</v>
      </c>
      <c r="AZ1382" t="s">
        <v>486</v>
      </c>
      <c r="BA1382" t="s">
        <v>1169</v>
      </c>
      <c r="BC1382">
        <v>7</v>
      </c>
      <c r="BH1382" t="s">
        <v>99</v>
      </c>
      <c r="BO1382" t="s">
        <v>111</v>
      </c>
      <c r="CD1382" t="s">
        <v>1170</v>
      </c>
      <c r="CE1382">
        <v>177275</v>
      </c>
      <c r="CF1382" t="s">
        <v>1171</v>
      </c>
      <c r="CG1382" t="s">
        <v>1172</v>
      </c>
      <c r="CH1382">
        <v>2018</v>
      </c>
    </row>
    <row r="1383" spans="1:86" hidden="1" x14ac:dyDescent="0.25">
      <c r="A1383">
        <v>330541</v>
      </c>
      <c r="B1383" t="s">
        <v>86</v>
      </c>
      <c r="D1383" t="s">
        <v>87</v>
      </c>
      <c r="E1383" t="s">
        <v>106</v>
      </c>
      <c r="F1383">
        <v>98</v>
      </c>
      <c r="K1383" t="s">
        <v>1135</v>
      </c>
      <c r="L1383" t="s">
        <v>1136</v>
      </c>
      <c r="M1383" t="s">
        <v>1100</v>
      </c>
      <c r="V1383" t="s">
        <v>507</v>
      </c>
      <c r="W1383" t="s">
        <v>92</v>
      </c>
      <c r="X1383" t="s">
        <v>93</v>
      </c>
      <c r="Y1383">
        <v>3</v>
      </c>
      <c r="Z1383" t="s">
        <v>94</v>
      </c>
      <c r="AB1383">
        <v>5.7349999999999998E-5</v>
      </c>
      <c r="AG1383" t="s">
        <v>95</v>
      </c>
      <c r="AX1383" t="s">
        <v>282</v>
      </c>
      <c r="AY1383" t="s">
        <v>1174</v>
      </c>
      <c r="AZ1383" t="s">
        <v>486</v>
      </c>
      <c r="BA1383" t="s">
        <v>1156</v>
      </c>
      <c r="BC1383">
        <v>7</v>
      </c>
      <c r="BH1383" t="s">
        <v>99</v>
      </c>
      <c r="BO1383" t="s">
        <v>111</v>
      </c>
      <c r="CD1383" t="s">
        <v>1170</v>
      </c>
      <c r="CE1383">
        <v>177275</v>
      </c>
      <c r="CF1383" t="s">
        <v>1171</v>
      </c>
      <c r="CG1383" t="s">
        <v>1172</v>
      </c>
      <c r="CH1383">
        <v>2018</v>
      </c>
    </row>
    <row r="1384" spans="1:86" hidden="1" x14ac:dyDescent="0.25">
      <c r="A1384">
        <v>330541</v>
      </c>
      <c r="B1384" t="s">
        <v>86</v>
      </c>
      <c r="D1384" t="s">
        <v>87</v>
      </c>
      <c r="E1384" t="s">
        <v>106</v>
      </c>
      <c r="F1384">
        <v>98</v>
      </c>
      <c r="K1384" t="s">
        <v>1135</v>
      </c>
      <c r="L1384" t="s">
        <v>1136</v>
      </c>
      <c r="M1384" t="s">
        <v>1100</v>
      </c>
      <c r="V1384" t="s">
        <v>507</v>
      </c>
      <c r="W1384" t="s">
        <v>92</v>
      </c>
      <c r="X1384" t="s">
        <v>93</v>
      </c>
      <c r="Y1384">
        <v>3</v>
      </c>
      <c r="Z1384" t="s">
        <v>94</v>
      </c>
      <c r="AB1384">
        <v>2.8401000000000001E-4</v>
      </c>
      <c r="AG1384" t="s">
        <v>95</v>
      </c>
      <c r="AX1384" t="s">
        <v>282</v>
      </c>
      <c r="AY1384" t="s">
        <v>1175</v>
      </c>
      <c r="AZ1384" t="s">
        <v>486</v>
      </c>
      <c r="BA1384" t="s">
        <v>1169</v>
      </c>
      <c r="BC1384">
        <v>7</v>
      </c>
      <c r="BH1384" t="s">
        <v>99</v>
      </c>
      <c r="BO1384" t="s">
        <v>111</v>
      </c>
      <c r="CD1384" t="s">
        <v>1170</v>
      </c>
      <c r="CE1384">
        <v>177275</v>
      </c>
      <c r="CF1384" t="s">
        <v>1171</v>
      </c>
      <c r="CG1384" t="s">
        <v>1172</v>
      </c>
      <c r="CH1384">
        <v>2018</v>
      </c>
    </row>
    <row r="1385" spans="1:86" hidden="1" x14ac:dyDescent="0.25">
      <c r="A1385">
        <v>330541</v>
      </c>
      <c r="B1385" t="s">
        <v>86</v>
      </c>
      <c r="D1385" t="s">
        <v>115</v>
      </c>
      <c r="K1385" t="s">
        <v>1176</v>
      </c>
      <c r="L1385" t="s">
        <v>1177</v>
      </c>
      <c r="M1385" t="s">
        <v>1100</v>
      </c>
      <c r="V1385" t="s">
        <v>168</v>
      </c>
      <c r="W1385" t="s">
        <v>92</v>
      </c>
      <c r="X1385" t="s">
        <v>93</v>
      </c>
      <c r="Y1385">
        <v>3</v>
      </c>
      <c r="Z1385" t="s">
        <v>137</v>
      </c>
      <c r="AB1385">
        <v>30</v>
      </c>
      <c r="AG1385" t="s">
        <v>95</v>
      </c>
      <c r="AX1385" t="s">
        <v>282</v>
      </c>
      <c r="AY1385" t="s">
        <v>1178</v>
      </c>
      <c r="AZ1385" t="s">
        <v>486</v>
      </c>
      <c r="BA1385" t="s">
        <v>1156</v>
      </c>
      <c r="BC1385">
        <v>4</v>
      </c>
      <c r="BH1385" t="s">
        <v>99</v>
      </c>
      <c r="BO1385" t="s">
        <v>111</v>
      </c>
      <c r="CD1385" t="s">
        <v>1179</v>
      </c>
      <c r="CE1385">
        <v>160633</v>
      </c>
      <c r="CF1385" t="s">
        <v>1180</v>
      </c>
      <c r="CG1385" t="s">
        <v>1181</v>
      </c>
      <c r="CH1385">
        <v>2011</v>
      </c>
    </row>
    <row r="1386" spans="1:86" hidden="1" x14ac:dyDescent="0.25">
      <c r="A1386">
        <v>330541</v>
      </c>
      <c r="B1386" t="s">
        <v>86</v>
      </c>
      <c r="D1386" t="s">
        <v>115</v>
      </c>
      <c r="K1386" t="s">
        <v>1176</v>
      </c>
      <c r="L1386" t="s">
        <v>1177</v>
      </c>
      <c r="M1386" t="s">
        <v>1100</v>
      </c>
      <c r="V1386" t="s">
        <v>168</v>
      </c>
      <c r="W1386" t="s">
        <v>92</v>
      </c>
      <c r="X1386" t="s">
        <v>93</v>
      </c>
      <c r="Y1386">
        <v>3</v>
      </c>
      <c r="Z1386" t="s">
        <v>137</v>
      </c>
      <c r="AB1386">
        <v>30</v>
      </c>
      <c r="AG1386" t="s">
        <v>95</v>
      </c>
      <c r="AX1386" t="s">
        <v>615</v>
      </c>
      <c r="AY1386" t="s">
        <v>616</v>
      </c>
      <c r="AZ1386" t="s">
        <v>486</v>
      </c>
      <c r="BA1386" t="s">
        <v>1182</v>
      </c>
      <c r="BC1386">
        <v>4</v>
      </c>
      <c r="BH1386" t="s">
        <v>99</v>
      </c>
      <c r="BO1386" t="s">
        <v>111</v>
      </c>
      <c r="CD1386" t="s">
        <v>1179</v>
      </c>
      <c r="CE1386">
        <v>160633</v>
      </c>
      <c r="CF1386" t="s">
        <v>1180</v>
      </c>
      <c r="CG1386" t="s">
        <v>1181</v>
      </c>
      <c r="CH1386">
        <v>2011</v>
      </c>
    </row>
    <row r="1387" spans="1:86" hidden="1" x14ac:dyDescent="0.25">
      <c r="A1387">
        <v>330541</v>
      </c>
      <c r="B1387" t="s">
        <v>86</v>
      </c>
      <c r="D1387" t="s">
        <v>115</v>
      </c>
      <c r="F1387">
        <v>99</v>
      </c>
      <c r="K1387" t="s">
        <v>1153</v>
      </c>
      <c r="L1387" t="s">
        <v>1154</v>
      </c>
      <c r="M1387" t="s">
        <v>1100</v>
      </c>
      <c r="N1387" t="s">
        <v>1000</v>
      </c>
      <c r="P1387">
        <v>1</v>
      </c>
      <c r="U1387" t="s">
        <v>934</v>
      </c>
      <c r="V1387" t="s">
        <v>507</v>
      </c>
      <c r="W1387" t="s">
        <v>92</v>
      </c>
      <c r="X1387" t="s">
        <v>93</v>
      </c>
      <c r="Y1387">
        <v>3</v>
      </c>
      <c r="Z1387" t="s">
        <v>94</v>
      </c>
      <c r="AB1387">
        <v>2.0000000000000001E-4</v>
      </c>
      <c r="AG1387" t="s">
        <v>95</v>
      </c>
      <c r="AX1387" t="s">
        <v>615</v>
      </c>
      <c r="AY1387" t="s">
        <v>1155</v>
      </c>
      <c r="AZ1387" t="s">
        <v>486</v>
      </c>
      <c r="BA1387" t="s">
        <v>1156</v>
      </c>
      <c r="BC1387">
        <v>7</v>
      </c>
      <c r="BH1387" t="s">
        <v>99</v>
      </c>
      <c r="BO1387" t="s">
        <v>111</v>
      </c>
      <c r="CD1387" t="s">
        <v>1157</v>
      </c>
      <c r="CE1387">
        <v>176116</v>
      </c>
      <c r="CF1387" t="s">
        <v>1158</v>
      </c>
      <c r="CG1387" t="s">
        <v>1159</v>
      </c>
      <c r="CH1387">
        <v>2016</v>
      </c>
    </row>
    <row r="1388" spans="1:86" hidden="1" x14ac:dyDescent="0.25">
      <c r="A1388">
        <v>330541</v>
      </c>
      <c r="B1388" t="s">
        <v>86</v>
      </c>
      <c r="D1388" t="s">
        <v>115</v>
      </c>
      <c r="F1388">
        <v>99</v>
      </c>
      <c r="K1388" t="s">
        <v>1153</v>
      </c>
      <c r="L1388" t="s">
        <v>1154</v>
      </c>
      <c r="M1388" t="s">
        <v>1100</v>
      </c>
      <c r="N1388" t="s">
        <v>1000</v>
      </c>
      <c r="P1388">
        <v>1</v>
      </c>
      <c r="U1388" t="s">
        <v>934</v>
      </c>
      <c r="V1388" t="s">
        <v>507</v>
      </c>
      <c r="W1388" t="s">
        <v>92</v>
      </c>
      <c r="X1388" t="s">
        <v>93</v>
      </c>
      <c r="Y1388">
        <v>3</v>
      </c>
      <c r="Z1388" t="s">
        <v>94</v>
      </c>
      <c r="AB1388">
        <v>2.0000000000000001E-4</v>
      </c>
      <c r="AG1388" t="s">
        <v>95</v>
      </c>
      <c r="AX1388" t="s">
        <v>282</v>
      </c>
      <c r="AY1388" t="s">
        <v>1183</v>
      </c>
      <c r="AZ1388" t="s">
        <v>486</v>
      </c>
      <c r="BA1388" t="s">
        <v>1184</v>
      </c>
      <c r="BC1388">
        <v>7</v>
      </c>
      <c r="BH1388" t="s">
        <v>99</v>
      </c>
      <c r="BO1388" t="s">
        <v>111</v>
      </c>
      <c r="CD1388" t="s">
        <v>1157</v>
      </c>
      <c r="CE1388">
        <v>176116</v>
      </c>
      <c r="CF1388" t="s">
        <v>1158</v>
      </c>
      <c r="CG1388" t="s">
        <v>1159</v>
      </c>
      <c r="CH1388">
        <v>2016</v>
      </c>
    </row>
    <row r="1389" spans="1:86" hidden="1" x14ac:dyDescent="0.25">
      <c r="A1389">
        <v>330541</v>
      </c>
      <c r="B1389" t="s">
        <v>86</v>
      </c>
      <c r="D1389" t="s">
        <v>115</v>
      </c>
      <c r="K1389" t="s">
        <v>1176</v>
      </c>
      <c r="L1389" t="s">
        <v>1177</v>
      </c>
      <c r="M1389" t="s">
        <v>1100</v>
      </c>
      <c r="V1389" t="s">
        <v>168</v>
      </c>
      <c r="W1389" t="s">
        <v>92</v>
      </c>
      <c r="X1389" t="s">
        <v>93</v>
      </c>
      <c r="Y1389">
        <v>3</v>
      </c>
      <c r="Z1389" t="s">
        <v>137</v>
      </c>
      <c r="AB1389">
        <v>30</v>
      </c>
      <c r="AG1389" t="s">
        <v>95</v>
      </c>
      <c r="AX1389" t="s">
        <v>282</v>
      </c>
      <c r="AY1389" t="s">
        <v>593</v>
      </c>
      <c r="AZ1389" t="s">
        <v>486</v>
      </c>
      <c r="BA1389" t="s">
        <v>1156</v>
      </c>
      <c r="BC1389">
        <v>4</v>
      </c>
      <c r="BH1389" t="s">
        <v>99</v>
      </c>
      <c r="BO1389" t="s">
        <v>111</v>
      </c>
      <c r="CD1389" t="s">
        <v>1179</v>
      </c>
      <c r="CE1389">
        <v>160633</v>
      </c>
      <c r="CF1389" t="s">
        <v>1180</v>
      </c>
      <c r="CG1389" t="s">
        <v>1181</v>
      </c>
      <c r="CH1389">
        <v>2011</v>
      </c>
    </row>
    <row r="1390" spans="1:86" hidden="1" x14ac:dyDescent="0.25">
      <c r="A1390">
        <v>330541</v>
      </c>
      <c r="B1390" t="s">
        <v>86</v>
      </c>
      <c r="C1390" t="s">
        <v>158</v>
      </c>
      <c r="D1390" t="s">
        <v>87</v>
      </c>
      <c r="K1390" t="s">
        <v>1135</v>
      </c>
      <c r="L1390" t="s">
        <v>1136</v>
      </c>
      <c r="M1390" t="s">
        <v>1100</v>
      </c>
      <c r="N1390" t="s">
        <v>1144</v>
      </c>
      <c r="W1390" t="s">
        <v>92</v>
      </c>
      <c r="X1390" t="s">
        <v>93</v>
      </c>
      <c r="Y1390">
        <v>2</v>
      </c>
      <c r="Z1390" t="s">
        <v>94</v>
      </c>
      <c r="AB1390">
        <v>6.7899999999999997E-5</v>
      </c>
      <c r="AG1390" t="s">
        <v>95</v>
      </c>
      <c r="AX1390" t="s">
        <v>602</v>
      </c>
      <c r="AY1390" t="s">
        <v>1185</v>
      </c>
      <c r="AZ1390" t="s">
        <v>486</v>
      </c>
      <c r="BC1390">
        <v>25</v>
      </c>
      <c r="BH1390" t="s">
        <v>99</v>
      </c>
      <c r="BO1390" t="s">
        <v>111</v>
      </c>
      <c r="CD1390" t="s">
        <v>1146</v>
      </c>
      <c r="CE1390">
        <v>176040</v>
      </c>
      <c r="CF1390" t="s">
        <v>1147</v>
      </c>
      <c r="CG1390" t="s">
        <v>1148</v>
      </c>
      <c r="CH1390">
        <v>2016</v>
      </c>
    </row>
    <row r="1391" spans="1:86" hidden="1" x14ac:dyDescent="0.25">
      <c r="A1391">
        <v>330541</v>
      </c>
      <c r="B1391" t="s">
        <v>86</v>
      </c>
      <c r="C1391" t="s">
        <v>158</v>
      </c>
      <c r="D1391" t="s">
        <v>87</v>
      </c>
      <c r="K1391" t="s">
        <v>1135</v>
      </c>
      <c r="L1391" t="s">
        <v>1136</v>
      </c>
      <c r="M1391" t="s">
        <v>1100</v>
      </c>
      <c r="N1391" t="s">
        <v>1144</v>
      </c>
      <c r="W1391" t="s">
        <v>92</v>
      </c>
      <c r="X1391" t="s">
        <v>93</v>
      </c>
      <c r="Y1391">
        <v>2</v>
      </c>
      <c r="Z1391" t="s">
        <v>94</v>
      </c>
      <c r="AB1391">
        <v>6.7899999999999997E-5</v>
      </c>
      <c r="AG1391" t="s">
        <v>95</v>
      </c>
      <c r="AX1391" t="s">
        <v>966</v>
      </c>
      <c r="AY1391" t="s">
        <v>1186</v>
      </c>
      <c r="AZ1391" t="s">
        <v>586</v>
      </c>
      <c r="BA1391" t="s">
        <v>1187</v>
      </c>
      <c r="BC1391">
        <v>25</v>
      </c>
      <c r="BH1391" t="s">
        <v>99</v>
      </c>
      <c r="BO1391" t="s">
        <v>111</v>
      </c>
      <c r="CD1391" t="s">
        <v>1146</v>
      </c>
      <c r="CE1391">
        <v>176040</v>
      </c>
      <c r="CF1391" t="s">
        <v>1147</v>
      </c>
      <c r="CG1391" t="s">
        <v>1148</v>
      </c>
      <c r="CH1391">
        <v>2016</v>
      </c>
    </row>
    <row r="1392" spans="1:86" hidden="1" x14ac:dyDescent="0.25">
      <c r="A1392">
        <v>330541</v>
      </c>
      <c r="B1392" t="s">
        <v>86</v>
      </c>
      <c r="C1392" t="s">
        <v>158</v>
      </c>
      <c r="D1392" t="s">
        <v>87</v>
      </c>
      <c r="K1392" t="s">
        <v>1135</v>
      </c>
      <c r="L1392" t="s">
        <v>1136</v>
      </c>
      <c r="M1392" t="s">
        <v>1100</v>
      </c>
      <c r="N1392" t="s">
        <v>1144</v>
      </c>
      <c r="W1392" t="s">
        <v>92</v>
      </c>
      <c r="X1392" t="s">
        <v>93</v>
      </c>
      <c r="Y1392">
        <v>2</v>
      </c>
      <c r="Z1392" t="s">
        <v>94</v>
      </c>
      <c r="AB1392">
        <v>6.7899999999999997E-5</v>
      </c>
      <c r="AG1392" t="s">
        <v>95</v>
      </c>
      <c r="AX1392" t="s">
        <v>602</v>
      </c>
      <c r="AY1392" t="s">
        <v>1188</v>
      </c>
      <c r="AZ1392" t="s">
        <v>586</v>
      </c>
      <c r="BC1392">
        <v>25</v>
      </c>
      <c r="BH1392" t="s">
        <v>99</v>
      </c>
      <c r="BO1392" t="s">
        <v>111</v>
      </c>
      <c r="CD1392" t="s">
        <v>1146</v>
      </c>
      <c r="CE1392">
        <v>176040</v>
      </c>
      <c r="CF1392" t="s">
        <v>1147</v>
      </c>
      <c r="CG1392" t="s">
        <v>1148</v>
      </c>
      <c r="CH1392">
        <v>2016</v>
      </c>
    </row>
    <row r="1393" spans="1:86" hidden="1" x14ac:dyDescent="0.25">
      <c r="A1393">
        <v>330541</v>
      </c>
      <c r="B1393" t="s">
        <v>86</v>
      </c>
      <c r="C1393" t="s">
        <v>158</v>
      </c>
      <c r="D1393" t="s">
        <v>87</v>
      </c>
      <c r="K1393" t="s">
        <v>1135</v>
      </c>
      <c r="L1393" t="s">
        <v>1136</v>
      </c>
      <c r="M1393" t="s">
        <v>1100</v>
      </c>
      <c r="N1393" t="s">
        <v>1144</v>
      </c>
      <c r="W1393" t="s">
        <v>92</v>
      </c>
      <c r="X1393" t="s">
        <v>93</v>
      </c>
      <c r="Y1393">
        <v>2</v>
      </c>
      <c r="Z1393" t="s">
        <v>94</v>
      </c>
      <c r="AB1393">
        <v>6.7899999999999997E-5</v>
      </c>
      <c r="AG1393" t="s">
        <v>95</v>
      </c>
      <c r="AX1393" t="s">
        <v>938</v>
      </c>
      <c r="AY1393" t="s">
        <v>1189</v>
      </c>
      <c r="AZ1393" t="s">
        <v>586</v>
      </c>
      <c r="BA1393" t="s">
        <v>179</v>
      </c>
      <c r="BC1393">
        <v>25</v>
      </c>
      <c r="BH1393" t="s">
        <v>99</v>
      </c>
      <c r="BO1393" t="s">
        <v>111</v>
      </c>
      <c r="CD1393" t="s">
        <v>1146</v>
      </c>
      <c r="CE1393">
        <v>176040</v>
      </c>
      <c r="CF1393" t="s">
        <v>1147</v>
      </c>
      <c r="CG1393" t="s">
        <v>1148</v>
      </c>
      <c r="CH1393">
        <v>2016</v>
      </c>
    </row>
    <row r="1394" spans="1:86" hidden="1" x14ac:dyDescent="0.25">
      <c r="A1394">
        <v>330541</v>
      </c>
      <c r="B1394" t="s">
        <v>86</v>
      </c>
      <c r="C1394" t="s">
        <v>158</v>
      </c>
      <c r="D1394" t="s">
        <v>87</v>
      </c>
      <c r="K1394" t="s">
        <v>1135</v>
      </c>
      <c r="L1394" t="s">
        <v>1136</v>
      </c>
      <c r="M1394" t="s">
        <v>1100</v>
      </c>
      <c r="N1394" t="s">
        <v>1144</v>
      </c>
      <c r="W1394" t="s">
        <v>92</v>
      </c>
      <c r="X1394" t="s">
        <v>93</v>
      </c>
      <c r="Y1394">
        <v>2</v>
      </c>
      <c r="Z1394" t="s">
        <v>94</v>
      </c>
      <c r="AB1394">
        <v>6.7899999999999997E-5</v>
      </c>
      <c r="AG1394" t="s">
        <v>95</v>
      </c>
      <c r="AX1394" t="s">
        <v>196</v>
      </c>
      <c r="AY1394" t="s">
        <v>928</v>
      </c>
      <c r="AZ1394" t="s">
        <v>586</v>
      </c>
      <c r="BA1394" t="s">
        <v>179</v>
      </c>
      <c r="BC1394">
        <v>25</v>
      </c>
      <c r="BH1394" t="s">
        <v>99</v>
      </c>
      <c r="BO1394" t="s">
        <v>111</v>
      </c>
      <c r="CD1394" t="s">
        <v>1146</v>
      </c>
      <c r="CE1394">
        <v>176040</v>
      </c>
      <c r="CF1394" t="s">
        <v>1147</v>
      </c>
      <c r="CG1394" t="s">
        <v>1148</v>
      </c>
      <c r="CH1394">
        <v>2016</v>
      </c>
    </row>
    <row r="1395" spans="1:86" hidden="1" x14ac:dyDescent="0.25">
      <c r="A1395">
        <v>330541</v>
      </c>
      <c r="B1395" t="s">
        <v>86</v>
      </c>
      <c r="C1395" t="s">
        <v>158</v>
      </c>
      <c r="D1395" t="s">
        <v>87</v>
      </c>
      <c r="K1395" t="s">
        <v>1135</v>
      </c>
      <c r="L1395" t="s">
        <v>1136</v>
      </c>
      <c r="M1395" t="s">
        <v>1100</v>
      </c>
      <c r="N1395" t="s">
        <v>1144</v>
      </c>
      <c r="W1395" t="s">
        <v>92</v>
      </c>
      <c r="X1395" t="s">
        <v>93</v>
      </c>
      <c r="Y1395">
        <v>2</v>
      </c>
      <c r="Z1395" t="s">
        <v>94</v>
      </c>
      <c r="AB1395">
        <v>6.7899999999999997E-5</v>
      </c>
      <c r="AG1395" t="s">
        <v>95</v>
      </c>
      <c r="AX1395" t="s">
        <v>1190</v>
      </c>
      <c r="AY1395" t="s">
        <v>1191</v>
      </c>
      <c r="AZ1395" t="s">
        <v>586</v>
      </c>
      <c r="BC1395">
        <v>25</v>
      </c>
      <c r="BH1395" t="s">
        <v>99</v>
      </c>
      <c r="BO1395" t="s">
        <v>111</v>
      </c>
      <c r="CD1395" t="s">
        <v>1146</v>
      </c>
      <c r="CE1395">
        <v>176040</v>
      </c>
      <c r="CF1395" t="s">
        <v>1147</v>
      </c>
      <c r="CG1395" t="s">
        <v>1148</v>
      </c>
      <c r="CH1395">
        <v>2016</v>
      </c>
    </row>
    <row r="1396" spans="1:86" hidden="1" x14ac:dyDescent="0.25">
      <c r="A1396">
        <v>330541</v>
      </c>
      <c r="B1396" t="s">
        <v>86</v>
      </c>
      <c r="C1396" t="s">
        <v>158</v>
      </c>
      <c r="D1396" t="s">
        <v>87</v>
      </c>
      <c r="K1396" t="s">
        <v>1135</v>
      </c>
      <c r="L1396" t="s">
        <v>1136</v>
      </c>
      <c r="M1396" t="s">
        <v>1100</v>
      </c>
      <c r="N1396" t="s">
        <v>1144</v>
      </c>
      <c r="W1396" t="s">
        <v>92</v>
      </c>
      <c r="X1396" t="s">
        <v>93</v>
      </c>
      <c r="Y1396">
        <v>2</v>
      </c>
      <c r="Z1396" t="s">
        <v>94</v>
      </c>
      <c r="AB1396">
        <v>6.7899999999999997E-5</v>
      </c>
      <c r="AG1396" t="s">
        <v>95</v>
      </c>
      <c r="AX1396" t="s">
        <v>602</v>
      </c>
      <c r="AY1396" t="s">
        <v>1192</v>
      </c>
      <c r="AZ1396" t="s">
        <v>586</v>
      </c>
      <c r="BC1396">
        <v>25</v>
      </c>
      <c r="BH1396" t="s">
        <v>99</v>
      </c>
      <c r="BO1396" t="s">
        <v>111</v>
      </c>
      <c r="CD1396" t="s">
        <v>1146</v>
      </c>
      <c r="CE1396">
        <v>176040</v>
      </c>
      <c r="CF1396" t="s">
        <v>1147</v>
      </c>
      <c r="CG1396" t="s">
        <v>1148</v>
      </c>
      <c r="CH1396">
        <v>2016</v>
      </c>
    </row>
    <row r="1397" spans="1:86" hidden="1" x14ac:dyDescent="0.25">
      <c r="A1397">
        <v>330541</v>
      </c>
      <c r="B1397" t="s">
        <v>86</v>
      </c>
      <c r="C1397" t="s">
        <v>183</v>
      </c>
      <c r="D1397" t="s">
        <v>115</v>
      </c>
      <c r="F1397">
        <v>98</v>
      </c>
      <c r="K1397" t="s">
        <v>1108</v>
      </c>
      <c r="L1397" t="s">
        <v>1109</v>
      </c>
      <c r="M1397" t="s">
        <v>1100</v>
      </c>
      <c r="N1397" t="s">
        <v>1110</v>
      </c>
      <c r="O1397" t="s">
        <v>499</v>
      </c>
      <c r="P1397">
        <v>72</v>
      </c>
      <c r="U1397" t="s">
        <v>1111</v>
      </c>
      <c r="V1397" t="s">
        <v>507</v>
      </c>
      <c r="W1397" t="s">
        <v>107</v>
      </c>
      <c r="X1397" t="s">
        <v>93</v>
      </c>
      <c r="Y1397">
        <v>8</v>
      </c>
      <c r="Z1397" t="s">
        <v>94</v>
      </c>
      <c r="AB1397">
        <v>0.625</v>
      </c>
      <c r="AG1397" t="s">
        <v>95</v>
      </c>
      <c r="AX1397" t="s">
        <v>523</v>
      </c>
      <c r="AY1397" t="s">
        <v>523</v>
      </c>
      <c r="AZ1397" t="s">
        <v>586</v>
      </c>
      <c r="BC1397">
        <v>2</v>
      </c>
      <c r="BH1397" t="s">
        <v>99</v>
      </c>
      <c r="BO1397" t="s">
        <v>111</v>
      </c>
      <c r="CD1397" t="s">
        <v>1112</v>
      </c>
      <c r="CE1397">
        <v>160499</v>
      </c>
      <c r="CF1397" t="s">
        <v>1113</v>
      </c>
      <c r="CG1397" t="s">
        <v>1114</v>
      </c>
      <c r="CH1397">
        <v>2012</v>
      </c>
    </row>
    <row r="1398" spans="1:86" hidden="1" x14ac:dyDescent="0.25">
      <c r="A1398">
        <v>330541</v>
      </c>
      <c r="B1398" t="s">
        <v>86</v>
      </c>
      <c r="C1398" t="s">
        <v>183</v>
      </c>
      <c r="D1398" t="s">
        <v>115</v>
      </c>
      <c r="F1398">
        <v>98</v>
      </c>
      <c r="K1398" t="s">
        <v>1108</v>
      </c>
      <c r="L1398" t="s">
        <v>1109</v>
      </c>
      <c r="M1398" t="s">
        <v>1100</v>
      </c>
      <c r="N1398" t="s">
        <v>1110</v>
      </c>
      <c r="O1398" t="s">
        <v>499</v>
      </c>
      <c r="P1398">
        <v>72</v>
      </c>
      <c r="U1398" t="s">
        <v>1111</v>
      </c>
      <c r="V1398" t="s">
        <v>507</v>
      </c>
      <c r="W1398" t="s">
        <v>107</v>
      </c>
      <c r="X1398" t="s">
        <v>93</v>
      </c>
      <c r="Y1398">
        <v>8</v>
      </c>
      <c r="Z1398" t="s">
        <v>94</v>
      </c>
      <c r="AB1398">
        <v>0.625</v>
      </c>
      <c r="AG1398" t="s">
        <v>95</v>
      </c>
      <c r="AX1398" t="s">
        <v>523</v>
      </c>
      <c r="AY1398" t="s">
        <v>523</v>
      </c>
      <c r="AZ1398" t="s">
        <v>586</v>
      </c>
      <c r="BC1398">
        <v>4</v>
      </c>
      <c r="BH1398" t="s">
        <v>99</v>
      </c>
      <c r="BO1398" t="s">
        <v>111</v>
      </c>
      <c r="CD1398" t="s">
        <v>1112</v>
      </c>
      <c r="CE1398">
        <v>160499</v>
      </c>
      <c r="CF1398" t="s">
        <v>1113</v>
      </c>
      <c r="CG1398" t="s">
        <v>1114</v>
      </c>
      <c r="CH1398">
        <v>2012</v>
      </c>
    </row>
    <row r="1399" spans="1:86" hidden="1" x14ac:dyDescent="0.25">
      <c r="A1399">
        <v>330541</v>
      </c>
      <c r="B1399" t="s">
        <v>86</v>
      </c>
      <c r="D1399" t="s">
        <v>87</v>
      </c>
      <c r="E1399" t="s">
        <v>106</v>
      </c>
      <c r="F1399">
        <v>98</v>
      </c>
      <c r="K1399" t="s">
        <v>1135</v>
      </c>
      <c r="L1399" t="s">
        <v>1136</v>
      </c>
      <c r="M1399" t="s">
        <v>1100</v>
      </c>
      <c r="N1399" t="s">
        <v>1064</v>
      </c>
      <c r="V1399" t="s">
        <v>507</v>
      </c>
      <c r="W1399" t="s">
        <v>92</v>
      </c>
      <c r="X1399" t="s">
        <v>93</v>
      </c>
      <c r="Y1399">
        <v>2</v>
      </c>
      <c r="Z1399" t="s">
        <v>94</v>
      </c>
      <c r="AB1399">
        <v>8.6600000000000004E-5</v>
      </c>
      <c r="AG1399" t="s">
        <v>95</v>
      </c>
      <c r="AX1399" t="s">
        <v>926</v>
      </c>
      <c r="AY1399" t="s">
        <v>1193</v>
      </c>
      <c r="AZ1399" t="s">
        <v>586</v>
      </c>
      <c r="BC1399">
        <v>10</v>
      </c>
      <c r="BH1399" t="s">
        <v>99</v>
      </c>
      <c r="BO1399" t="s">
        <v>111</v>
      </c>
      <c r="CD1399" t="s">
        <v>1194</v>
      </c>
      <c r="CE1399">
        <v>176001</v>
      </c>
      <c r="CF1399" t="s">
        <v>1195</v>
      </c>
      <c r="CG1399" t="s">
        <v>1196</v>
      </c>
      <c r="CH1399">
        <v>2018</v>
      </c>
    </row>
    <row r="1400" spans="1:86" hidden="1" x14ac:dyDescent="0.25">
      <c r="A1400">
        <v>330541</v>
      </c>
      <c r="B1400" t="s">
        <v>86</v>
      </c>
      <c r="D1400" t="s">
        <v>87</v>
      </c>
      <c r="E1400" t="s">
        <v>106</v>
      </c>
      <c r="F1400">
        <v>98</v>
      </c>
      <c r="K1400" t="s">
        <v>1135</v>
      </c>
      <c r="L1400" t="s">
        <v>1136</v>
      </c>
      <c r="M1400" t="s">
        <v>1100</v>
      </c>
      <c r="N1400" t="s">
        <v>1064</v>
      </c>
      <c r="V1400" t="s">
        <v>507</v>
      </c>
      <c r="W1400" t="s">
        <v>92</v>
      </c>
      <c r="X1400" t="s">
        <v>93</v>
      </c>
      <c r="Y1400">
        <v>2</v>
      </c>
      <c r="Z1400" t="s">
        <v>94</v>
      </c>
      <c r="AB1400">
        <v>8.6600000000000004E-5</v>
      </c>
      <c r="AG1400" t="s">
        <v>95</v>
      </c>
      <c r="AX1400" t="s">
        <v>938</v>
      </c>
      <c r="AY1400" t="s">
        <v>1197</v>
      </c>
      <c r="AZ1400" t="s">
        <v>586</v>
      </c>
      <c r="BA1400" t="s">
        <v>1198</v>
      </c>
      <c r="BC1400">
        <v>10</v>
      </c>
      <c r="BH1400" t="s">
        <v>99</v>
      </c>
      <c r="BO1400" t="s">
        <v>111</v>
      </c>
      <c r="CD1400" t="s">
        <v>1194</v>
      </c>
      <c r="CE1400">
        <v>176001</v>
      </c>
      <c r="CF1400" t="s">
        <v>1195</v>
      </c>
      <c r="CG1400" t="s">
        <v>1196</v>
      </c>
      <c r="CH1400">
        <v>2018</v>
      </c>
    </row>
    <row r="1401" spans="1:86" hidden="1" x14ac:dyDescent="0.25">
      <c r="A1401">
        <v>330541</v>
      </c>
      <c r="B1401" t="s">
        <v>86</v>
      </c>
      <c r="D1401" t="s">
        <v>87</v>
      </c>
      <c r="E1401" t="s">
        <v>106</v>
      </c>
      <c r="F1401">
        <v>98</v>
      </c>
      <c r="K1401" t="s">
        <v>1135</v>
      </c>
      <c r="L1401" t="s">
        <v>1136</v>
      </c>
      <c r="M1401" t="s">
        <v>1100</v>
      </c>
      <c r="N1401" t="s">
        <v>1064</v>
      </c>
      <c r="V1401" t="s">
        <v>507</v>
      </c>
      <c r="W1401" t="s">
        <v>92</v>
      </c>
      <c r="X1401" t="s">
        <v>93</v>
      </c>
      <c r="Y1401">
        <v>2</v>
      </c>
      <c r="Z1401" t="s">
        <v>94</v>
      </c>
      <c r="AB1401">
        <v>8.6600000000000004E-5</v>
      </c>
      <c r="AG1401" t="s">
        <v>95</v>
      </c>
      <c r="AX1401" t="s">
        <v>938</v>
      </c>
      <c r="AY1401" t="s">
        <v>1199</v>
      </c>
      <c r="AZ1401" t="s">
        <v>586</v>
      </c>
      <c r="BA1401" t="s">
        <v>1184</v>
      </c>
      <c r="BC1401">
        <v>10</v>
      </c>
      <c r="BH1401" t="s">
        <v>99</v>
      </c>
      <c r="BO1401" t="s">
        <v>111</v>
      </c>
      <c r="CD1401" t="s">
        <v>1194</v>
      </c>
      <c r="CE1401">
        <v>176001</v>
      </c>
      <c r="CF1401" t="s">
        <v>1195</v>
      </c>
      <c r="CG1401" t="s">
        <v>1196</v>
      </c>
      <c r="CH1401">
        <v>2018</v>
      </c>
    </row>
    <row r="1402" spans="1:86" hidden="1" x14ac:dyDescent="0.25">
      <c r="A1402">
        <v>330541</v>
      </c>
      <c r="B1402" t="s">
        <v>86</v>
      </c>
      <c r="D1402" t="s">
        <v>87</v>
      </c>
      <c r="E1402" t="s">
        <v>106</v>
      </c>
      <c r="F1402">
        <v>98</v>
      </c>
      <c r="K1402" t="s">
        <v>1135</v>
      </c>
      <c r="L1402" t="s">
        <v>1136</v>
      </c>
      <c r="M1402" t="s">
        <v>1100</v>
      </c>
      <c r="N1402" t="s">
        <v>1064</v>
      </c>
      <c r="V1402" t="s">
        <v>507</v>
      </c>
      <c r="W1402" t="s">
        <v>92</v>
      </c>
      <c r="X1402" t="s">
        <v>93</v>
      </c>
      <c r="Y1402">
        <v>2</v>
      </c>
      <c r="Z1402" t="s">
        <v>94</v>
      </c>
      <c r="AB1402">
        <v>8.6600000000000004E-5</v>
      </c>
      <c r="AG1402" t="s">
        <v>95</v>
      </c>
      <c r="AX1402" t="s">
        <v>938</v>
      </c>
      <c r="AY1402" t="s">
        <v>939</v>
      </c>
      <c r="AZ1402" t="s">
        <v>586</v>
      </c>
      <c r="BA1402" t="s">
        <v>1198</v>
      </c>
      <c r="BC1402">
        <v>10</v>
      </c>
      <c r="BH1402" t="s">
        <v>99</v>
      </c>
      <c r="BO1402" t="s">
        <v>111</v>
      </c>
      <c r="CD1402" t="s">
        <v>1194</v>
      </c>
      <c r="CE1402">
        <v>176001</v>
      </c>
      <c r="CF1402" t="s">
        <v>1195</v>
      </c>
      <c r="CG1402" t="s">
        <v>1196</v>
      </c>
      <c r="CH1402">
        <v>2018</v>
      </c>
    </row>
    <row r="1403" spans="1:86" hidden="1" x14ac:dyDescent="0.25">
      <c r="A1403">
        <v>330541</v>
      </c>
      <c r="B1403" t="s">
        <v>86</v>
      </c>
      <c r="D1403" t="s">
        <v>87</v>
      </c>
      <c r="E1403" t="s">
        <v>106</v>
      </c>
      <c r="F1403">
        <v>98</v>
      </c>
      <c r="K1403" t="s">
        <v>1135</v>
      </c>
      <c r="L1403" t="s">
        <v>1136</v>
      </c>
      <c r="M1403" t="s">
        <v>1100</v>
      </c>
      <c r="N1403" t="s">
        <v>1064</v>
      </c>
      <c r="V1403" t="s">
        <v>507</v>
      </c>
      <c r="W1403" t="s">
        <v>92</v>
      </c>
      <c r="X1403" t="s">
        <v>93</v>
      </c>
      <c r="Y1403">
        <v>2</v>
      </c>
      <c r="Z1403" t="s">
        <v>94</v>
      </c>
      <c r="AB1403">
        <v>8.6600000000000004E-5</v>
      </c>
      <c r="AG1403" t="s">
        <v>95</v>
      </c>
      <c r="AX1403" t="s">
        <v>196</v>
      </c>
      <c r="AY1403" t="s">
        <v>817</v>
      </c>
      <c r="AZ1403" t="s">
        <v>586</v>
      </c>
      <c r="BA1403" t="s">
        <v>179</v>
      </c>
      <c r="BC1403">
        <v>10</v>
      </c>
      <c r="BH1403" t="s">
        <v>99</v>
      </c>
      <c r="BO1403" t="s">
        <v>111</v>
      </c>
      <c r="CD1403" t="s">
        <v>1194</v>
      </c>
      <c r="CE1403">
        <v>176001</v>
      </c>
      <c r="CF1403" t="s">
        <v>1195</v>
      </c>
      <c r="CG1403" t="s">
        <v>1196</v>
      </c>
      <c r="CH1403">
        <v>2018</v>
      </c>
    </row>
    <row r="1404" spans="1:86" hidden="1" x14ac:dyDescent="0.25">
      <c r="A1404">
        <v>330541</v>
      </c>
      <c r="B1404" t="s">
        <v>86</v>
      </c>
      <c r="D1404" t="s">
        <v>87</v>
      </c>
      <c r="E1404" t="s">
        <v>106</v>
      </c>
      <c r="F1404">
        <v>98</v>
      </c>
      <c r="K1404" t="s">
        <v>1135</v>
      </c>
      <c r="L1404" t="s">
        <v>1136</v>
      </c>
      <c r="M1404" t="s">
        <v>1100</v>
      </c>
      <c r="N1404" t="s">
        <v>1064</v>
      </c>
      <c r="V1404" t="s">
        <v>507</v>
      </c>
      <c r="W1404" t="s">
        <v>92</v>
      </c>
      <c r="X1404" t="s">
        <v>93</v>
      </c>
      <c r="Y1404">
        <v>2</v>
      </c>
      <c r="Z1404" t="s">
        <v>94</v>
      </c>
      <c r="AB1404">
        <v>8.6600000000000004E-5</v>
      </c>
      <c r="AG1404" t="s">
        <v>95</v>
      </c>
      <c r="AX1404" t="s">
        <v>196</v>
      </c>
      <c r="AY1404" t="s">
        <v>928</v>
      </c>
      <c r="AZ1404" t="s">
        <v>586</v>
      </c>
      <c r="BA1404" t="s">
        <v>179</v>
      </c>
      <c r="BC1404">
        <v>10</v>
      </c>
      <c r="BH1404" t="s">
        <v>99</v>
      </c>
      <c r="BO1404" t="s">
        <v>111</v>
      </c>
      <c r="CD1404" t="s">
        <v>1194</v>
      </c>
      <c r="CE1404">
        <v>176001</v>
      </c>
      <c r="CF1404" t="s">
        <v>1195</v>
      </c>
      <c r="CG1404" t="s">
        <v>1196</v>
      </c>
      <c r="CH1404">
        <v>2018</v>
      </c>
    </row>
    <row r="1405" spans="1:86" hidden="1" x14ac:dyDescent="0.25">
      <c r="A1405">
        <v>330541</v>
      </c>
      <c r="B1405" t="s">
        <v>86</v>
      </c>
      <c r="D1405" t="s">
        <v>87</v>
      </c>
      <c r="E1405" t="s">
        <v>106</v>
      </c>
      <c r="F1405">
        <v>98</v>
      </c>
      <c r="K1405" t="s">
        <v>1135</v>
      </c>
      <c r="L1405" t="s">
        <v>1136</v>
      </c>
      <c r="M1405" t="s">
        <v>1100</v>
      </c>
      <c r="N1405" t="s">
        <v>1064</v>
      </c>
      <c r="V1405" t="s">
        <v>507</v>
      </c>
      <c r="W1405" t="s">
        <v>92</v>
      </c>
      <c r="X1405" t="s">
        <v>93</v>
      </c>
      <c r="Y1405">
        <v>2</v>
      </c>
      <c r="Z1405" t="s">
        <v>94</v>
      </c>
      <c r="AB1405">
        <v>8.6600000000000004E-5</v>
      </c>
      <c r="AG1405" t="s">
        <v>95</v>
      </c>
      <c r="AX1405" t="s">
        <v>938</v>
      </c>
      <c r="AY1405" t="s">
        <v>1200</v>
      </c>
      <c r="AZ1405" t="s">
        <v>586</v>
      </c>
      <c r="BA1405" t="s">
        <v>1198</v>
      </c>
      <c r="BC1405">
        <v>10</v>
      </c>
      <c r="BH1405" t="s">
        <v>99</v>
      </c>
      <c r="BO1405" t="s">
        <v>111</v>
      </c>
      <c r="CD1405" t="s">
        <v>1194</v>
      </c>
      <c r="CE1405">
        <v>176001</v>
      </c>
      <c r="CF1405" t="s">
        <v>1195</v>
      </c>
      <c r="CG1405" t="s">
        <v>1196</v>
      </c>
      <c r="CH1405">
        <v>2018</v>
      </c>
    </row>
    <row r="1406" spans="1:86" hidden="1" x14ac:dyDescent="0.25">
      <c r="A1406">
        <v>330541</v>
      </c>
      <c r="B1406" t="s">
        <v>86</v>
      </c>
      <c r="D1406" t="s">
        <v>87</v>
      </c>
      <c r="E1406" t="s">
        <v>106</v>
      </c>
      <c r="F1406">
        <v>98</v>
      </c>
      <c r="K1406" t="s">
        <v>1135</v>
      </c>
      <c r="L1406" t="s">
        <v>1136</v>
      </c>
      <c r="M1406" t="s">
        <v>1100</v>
      </c>
      <c r="N1406" t="s">
        <v>1064</v>
      </c>
      <c r="V1406" t="s">
        <v>507</v>
      </c>
      <c r="W1406" t="s">
        <v>92</v>
      </c>
      <c r="X1406" t="s">
        <v>93</v>
      </c>
      <c r="Y1406">
        <v>2</v>
      </c>
      <c r="Z1406" t="s">
        <v>94</v>
      </c>
      <c r="AB1406">
        <v>8.6600000000000004E-5</v>
      </c>
      <c r="AG1406" t="s">
        <v>95</v>
      </c>
      <c r="AX1406" t="s">
        <v>938</v>
      </c>
      <c r="AY1406" t="s">
        <v>1201</v>
      </c>
      <c r="AZ1406" t="s">
        <v>586</v>
      </c>
      <c r="BA1406" t="s">
        <v>1184</v>
      </c>
      <c r="BC1406">
        <v>10</v>
      </c>
      <c r="BH1406" t="s">
        <v>99</v>
      </c>
      <c r="BO1406" t="s">
        <v>111</v>
      </c>
      <c r="CD1406" t="s">
        <v>1194</v>
      </c>
      <c r="CE1406">
        <v>176001</v>
      </c>
      <c r="CF1406" t="s">
        <v>1195</v>
      </c>
      <c r="CG1406" t="s">
        <v>1196</v>
      </c>
      <c r="CH1406">
        <v>2018</v>
      </c>
    </row>
    <row r="1407" spans="1:86" hidden="1" x14ac:dyDescent="0.25">
      <c r="A1407">
        <v>330541</v>
      </c>
      <c r="B1407" t="s">
        <v>86</v>
      </c>
      <c r="C1407" t="s">
        <v>183</v>
      </c>
      <c r="D1407" t="s">
        <v>115</v>
      </c>
      <c r="F1407">
        <v>99.4</v>
      </c>
      <c r="K1407" t="s">
        <v>1135</v>
      </c>
      <c r="L1407" t="s">
        <v>1136</v>
      </c>
      <c r="M1407" t="s">
        <v>1100</v>
      </c>
      <c r="V1407" t="s">
        <v>168</v>
      </c>
      <c r="W1407" t="s">
        <v>92</v>
      </c>
      <c r="X1407" t="s">
        <v>93</v>
      </c>
      <c r="Y1407">
        <v>8</v>
      </c>
      <c r="Z1407" t="s">
        <v>94</v>
      </c>
      <c r="AB1407">
        <v>4.6619440000000001</v>
      </c>
      <c r="AG1407" t="s">
        <v>95</v>
      </c>
      <c r="AX1407" t="s">
        <v>523</v>
      </c>
      <c r="AY1407" t="s">
        <v>523</v>
      </c>
      <c r="AZ1407" t="s">
        <v>586</v>
      </c>
      <c r="BC1407">
        <v>4</v>
      </c>
      <c r="BH1407" t="s">
        <v>99</v>
      </c>
      <c r="BO1407" t="s">
        <v>111</v>
      </c>
      <c r="CD1407" t="s">
        <v>1080</v>
      </c>
      <c r="CE1407">
        <v>183330</v>
      </c>
      <c r="CF1407" t="s">
        <v>1081</v>
      </c>
      <c r="CG1407" t="s">
        <v>1082</v>
      </c>
      <c r="CH1407">
        <v>2015</v>
      </c>
    </row>
    <row r="1408" spans="1:86" hidden="1" x14ac:dyDescent="0.25">
      <c r="A1408">
        <v>330541</v>
      </c>
      <c r="B1408" t="s">
        <v>86</v>
      </c>
      <c r="D1408" t="s">
        <v>115</v>
      </c>
      <c r="F1408">
        <v>99</v>
      </c>
      <c r="K1408" t="s">
        <v>1153</v>
      </c>
      <c r="L1408" t="s">
        <v>1154</v>
      </c>
      <c r="M1408" t="s">
        <v>1100</v>
      </c>
      <c r="N1408" t="s">
        <v>1000</v>
      </c>
      <c r="P1408">
        <v>1</v>
      </c>
      <c r="U1408" t="s">
        <v>934</v>
      </c>
      <c r="V1408" t="s">
        <v>507</v>
      </c>
      <c r="W1408" t="s">
        <v>92</v>
      </c>
      <c r="X1408" t="s">
        <v>93</v>
      </c>
      <c r="Y1408">
        <v>2</v>
      </c>
      <c r="Z1408" t="s">
        <v>94</v>
      </c>
      <c r="AB1408">
        <v>4.0000000000000003E-5</v>
      </c>
      <c r="AG1408" t="s">
        <v>95</v>
      </c>
      <c r="AX1408" t="s">
        <v>282</v>
      </c>
      <c r="AY1408" t="s">
        <v>1183</v>
      </c>
      <c r="AZ1408" t="s">
        <v>586</v>
      </c>
      <c r="BA1408" t="s">
        <v>1184</v>
      </c>
      <c r="BC1408">
        <v>7</v>
      </c>
      <c r="BH1408" t="s">
        <v>99</v>
      </c>
      <c r="BO1408" t="s">
        <v>111</v>
      </c>
      <c r="CD1408" t="s">
        <v>1157</v>
      </c>
      <c r="CE1408">
        <v>176116</v>
      </c>
      <c r="CF1408" t="s">
        <v>1158</v>
      </c>
      <c r="CG1408" t="s">
        <v>1159</v>
      </c>
      <c r="CH1408">
        <v>2016</v>
      </c>
    </row>
    <row r="1409" spans="1:86" hidden="1" x14ac:dyDescent="0.25">
      <c r="A1409">
        <v>330541</v>
      </c>
      <c r="B1409" t="s">
        <v>86</v>
      </c>
      <c r="D1409" t="s">
        <v>115</v>
      </c>
      <c r="F1409">
        <v>99</v>
      </c>
      <c r="K1409" t="s">
        <v>1153</v>
      </c>
      <c r="L1409" t="s">
        <v>1154</v>
      </c>
      <c r="M1409" t="s">
        <v>1100</v>
      </c>
      <c r="N1409" t="s">
        <v>1000</v>
      </c>
      <c r="P1409">
        <v>1</v>
      </c>
      <c r="U1409" t="s">
        <v>934</v>
      </c>
      <c r="V1409" t="s">
        <v>507</v>
      </c>
      <c r="W1409" t="s">
        <v>92</v>
      </c>
      <c r="X1409" t="s">
        <v>93</v>
      </c>
      <c r="Y1409">
        <v>2</v>
      </c>
      <c r="Z1409" t="s">
        <v>94</v>
      </c>
      <c r="AB1409">
        <v>4.0000000000000003E-5</v>
      </c>
      <c r="AG1409" t="s">
        <v>95</v>
      </c>
      <c r="AX1409" t="s">
        <v>282</v>
      </c>
      <c r="AY1409" t="s">
        <v>1202</v>
      </c>
      <c r="AZ1409" t="s">
        <v>586</v>
      </c>
      <c r="BA1409" t="s">
        <v>1156</v>
      </c>
      <c r="BC1409">
        <v>7</v>
      </c>
      <c r="BH1409" t="s">
        <v>99</v>
      </c>
      <c r="BO1409" t="s">
        <v>111</v>
      </c>
      <c r="CD1409" t="s">
        <v>1157</v>
      </c>
      <c r="CE1409">
        <v>176116</v>
      </c>
      <c r="CF1409" t="s">
        <v>1158</v>
      </c>
      <c r="CG1409" t="s">
        <v>1159</v>
      </c>
      <c r="CH1409">
        <v>2016</v>
      </c>
    </row>
    <row r="1410" spans="1:86" hidden="1" x14ac:dyDescent="0.25">
      <c r="A1410">
        <v>330541</v>
      </c>
      <c r="B1410" t="s">
        <v>86</v>
      </c>
      <c r="D1410" t="s">
        <v>115</v>
      </c>
      <c r="K1410" t="s">
        <v>1160</v>
      </c>
      <c r="L1410" t="s">
        <v>1161</v>
      </c>
      <c r="M1410" t="s">
        <v>1100</v>
      </c>
      <c r="N1410" t="s">
        <v>910</v>
      </c>
      <c r="O1410" t="s">
        <v>499</v>
      </c>
      <c r="P1410">
        <v>2.5</v>
      </c>
      <c r="U1410" t="s">
        <v>1162</v>
      </c>
      <c r="V1410" t="s">
        <v>91</v>
      </c>
      <c r="W1410" t="s">
        <v>107</v>
      </c>
      <c r="X1410" t="s">
        <v>93</v>
      </c>
      <c r="Y1410">
        <v>6</v>
      </c>
      <c r="Z1410" t="s">
        <v>137</v>
      </c>
      <c r="AB1410">
        <v>0.05</v>
      </c>
      <c r="AG1410" t="s">
        <v>95</v>
      </c>
      <c r="AX1410" t="s">
        <v>523</v>
      </c>
      <c r="AY1410" t="s">
        <v>1086</v>
      </c>
      <c r="AZ1410" t="s">
        <v>586</v>
      </c>
      <c r="BC1410">
        <v>1.5</v>
      </c>
      <c r="BH1410" t="s">
        <v>99</v>
      </c>
      <c r="BO1410" t="s">
        <v>111</v>
      </c>
      <c r="CD1410" t="s">
        <v>1164</v>
      </c>
      <c r="CE1410">
        <v>156289</v>
      </c>
      <c r="CF1410" t="s">
        <v>1165</v>
      </c>
      <c r="CG1410" t="s">
        <v>1166</v>
      </c>
      <c r="CH1410">
        <v>2009</v>
      </c>
    </row>
    <row r="1411" spans="1:86" hidden="1" x14ac:dyDescent="0.25">
      <c r="A1411">
        <v>330541</v>
      </c>
      <c r="B1411" t="s">
        <v>86</v>
      </c>
      <c r="D1411" t="s">
        <v>115</v>
      </c>
      <c r="K1411" t="s">
        <v>1160</v>
      </c>
      <c r="L1411" t="s">
        <v>1161</v>
      </c>
      <c r="M1411" t="s">
        <v>1100</v>
      </c>
      <c r="N1411" t="s">
        <v>910</v>
      </c>
      <c r="O1411" t="s">
        <v>499</v>
      </c>
      <c r="P1411">
        <v>2.5</v>
      </c>
      <c r="U1411" t="s">
        <v>1162</v>
      </c>
      <c r="V1411" t="s">
        <v>91</v>
      </c>
      <c r="W1411" t="s">
        <v>107</v>
      </c>
      <c r="X1411" t="s">
        <v>93</v>
      </c>
      <c r="Y1411">
        <v>6</v>
      </c>
      <c r="Z1411" t="s">
        <v>137</v>
      </c>
      <c r="AB1411">
        <v>0.05</v>
      </c>
      <c r="AG1411" t="s">
        <v>95</v>
      </c>
      <c r="AX1411" t="s">
        <v>912</v>
      </c>
      <c r="AY1411" t="s">
        <v>911</v>
      </c>
      <c r="AZ1411" t="s">
        <v>586</v>
      </c>
      <c r="BC1411">
        <v>1.5</v>
      </c>
      <c r="BH1411" t="s">
        <v>99</v>
      </c>
      <c r="BO1411" t="s">
        <v>111</v>
      </c>
      <c r="CD1411" t="s">
        <v>1164</v>
      </c>
      <c r="CE1411">
        <v>156289</v>
      </c>
      <c r="CF1411" t="s">
        <v>1165</v>
      </c>
      <c r="CG1411" t="s">
        <v>1166</v>
      </c>
      <c r="CH1411">
        <v>2009</v>
      </c>
    </row>
    <row r="1412" spans="1:86" hidden="1" x14ac:dyDescent="0.25">
      <c r="A1412">
        <v>330541</v>
      </c>
      <c r="B1412" t="s">
        <v>86</v>
      </c>
      <c r="D1412" t="s">
        <v>115</v>
      </c>
      <c r="K1412" t="s">
        <v>1160</v>
      </c>
      <c r="L1412" t="s">
        <v>1161</v>
      </c>
      <c r="M1412" t="s">
        <v>1100</v>
      </c>
      <c r="N1412" t="s">
        <v>910</v>
      </c>
      <c r="O1412" t="s">
        <v>499</v>
      </c>
      <c r="P1412">
        <v>2.5</v>
      </c>
      <c r="U1412" t="s">
        <v>1162</v>
      </c>
      <c r="V1412" t="s">
        <v>91</v>
      </c>
      <c r="W1412" t="s">
        <v>107</v>
      </c>
      <c r="X1412" t="s">
        <v>93</v>
      </c>
      <c r="Y1412">
        <v>6</v>
      </c>
      <c r="Z1412" t="s">
        <v>137</v>
      </c>
      <c r="AB1412">
        <v>5.0000000000000001E-3</v>
      </c>
      <c r="AG1412" t="s">
        <v>95</v>
      </c>
      <c r="AX1412" t="s">
        <v>912</v>
      </c>
      <c r="AY1412" t="s">
        <v>1163</v>
      </c>
      <c r="AZ1412" t="s">
        <v>586</v>
      </c>
      <c r="BC1412">
        <v>1.5</v>
      </c>
      <c r="BH1412" t="s">
        <v>99</v>
      </c>
      <c r="BO1412" t="s">
        <v>111</v>
      </c>
      <c r="CD1412" t="s">
        <v>1164</v>
      </c>
      <c r="CE1412">
        <v>156289</v>
      </c>
      <c r="CF1412" t="s">
        <v>1165</v>
      </c>
      <c r="CG1412" t="s">
        <v>1166</v>
      </c>
      <c r="CH1412">
        <v>2009</v>
      </c>
    </row>
    <row r="1413" spans="1:86" hidden="1" x14ac:dyDescent="0.25">
      <c r="A1413">
        <v>330541</v>
      </c>
      <c r="B1413" t="s">
        <v>86</v>
      </c>
      <c r="D1413" t="s">
        <v>115</v>
      </c>
      <c r="K1413" t="s">
        <v>1160</v>
      </c>
      <c r="L1413" t="s">
        <v>1161</v>
      </c>
      <c r="M1413" t="s">
        <v>1100</v>
      </c>
      <c r="N1413" t="s">
        <v>910</v>
      </c>
      <c r="O1413" t="s">
        <v>499</v>
      </c>
      <c r="P1413">
        <v>2.5</v>
      </c>
      <c r="U1413" t="s">
        <v>1162</v>
      </c>
      <c r="V1413" t="s">
        <v>91</v>
      </c>
      <c r="W1413" t="s">
        <v>107</v>
      </c>
      <c r="X1413" t="s">
        <v>93</v>
      </c>
      <c r="Y1413">
        <v>6</v>
      </c>
      <c r="Z1413" t="s">
        <v>137</v>
      </c>
      <c r="AB1413">
        <v>5.0000000000000001E-3</v>
      </c>
      <c r="AG1413" t="s">
        <v>95</v>
      </c>
      <c r="AX1413" t="s">
        <v>912</v>
      </c>
      <c r="AY1413" t="s">
        <v>913</v>
      </c>
      <c r="AZ1413" t="s">
        <v>586</v>
      </c>
      <c r="BA1413" t="s">
        <v>1167</v>
      </c>
      <c r="BC1413">
        <v>1.5</v>
      </c>
      <c r="BH1413" t="s">
        <v>99</v>
      </c>
      <c r="BO1413" t="s">
        <v>111</v>
      </c>
      <c r="CD1413" t="s">
        <v>1164</v>
      </c>
      <c r="CE1413">
        <v>156289</v>
      </c>
      <c r="CF1413" t="s">
        <v>1165</v>
      </c>
      <c r="CG1413" t="s">
        <v>1166</v>
      </c>
      <c r="CH1413">
        <v>2009</v>
      </c>
    </row>
    <row r="1414" spans="1:86" hidden="1" x14ac:dyDescent="0.25">
      <c r="A1414">
        <v>330541</v>
      </c>
      <c r="B1414" t="s">
        <v>86</v>
      </c>
      <c r="D1414" t="s">
        <v>87</v>
      </c>
      <c r="E1414" t="s">
        <v>106</v>
      </c>
      <c r="F1414">
        <v>98</v>
      </c>
      <c r="K1414" t="s">
        <v>1135</v>
      </c>
      <c r="L1414" t="s">
        <v>1136</v>
      </c>
      <c r="M1414" t="s">
        <v>1100</v>
      </c>
      <c r="V1414" t="s">
        <v>507</v>
      </c>
      <c r="W1414" t="s">
        <v>92</v>
      </c>
      <c r="X1414" t="s">
        <v>93</v>
      </c>
      <c r="Y1414">
        <v>3</v>
      </c>
      <c r="Z1414" t="s">
        <v>94</v>
      </c>
      <c r="AB1414">
        <v>2.8401000000000001E-4</v>
      </c>
      <c r="AG1414" t="s">
        <v>95</v>
      </c>
      <c r="AX1414" t="s">
        <v>282</v>
      </c>
      <c r="AY1414" t="s">
        <v>1203</v>
      </c>
      <c r="AZ1414" t="s">
        <v>586</v>
      </c>
      <c r="BA1414" t="s">
        <v>1156</v>
      </c>
      <c r="BC1414">
        <v>7</v>
      </c>
      <c r="BH1414" t="s">
        <v>99</v>
      </c>
      <c r="BO1414" t="s">
        <v>111</v>
      </c>
      <c r="CD1414" t="s">
        <v>1170</v>
      </c>
      <c r="CE1414">
        <v>177275</v>
      </c>
      <c r="CF1414" t="s">
        <v>1171</v>
      </c>
      <c r="CG1414" t="s">
        <v>1172</v>
      </c>
      <c r="CH1414">
        <v>2018</v>
      </c>
    </row>
    <row r="1415" spans="1:86" hidden="1" x14ac:dyDescent="0.25">
      <c r="A1415">
        <v>330541</v>
      </c>
      <c r="B1415" t="s">
        <v>86</v>
      </c>
      <c r="D1415" t="s">
        <v>87</v>
      </c>
      <c r="E1415" t="s">
        <v>106</v>
      </c>
      <c r="F1415">
        <v>98</v>
      </c>
      <c r="K1415" t="s">
        <v>1135</v>
      </c>
      <c r="L1415" t="s">
        <v>1136</v>
      </c>
      <c r="M1415" t="s">
        <v>1100</v>
      </c>
      <c r="V1415" t="s">
        <v>507</v>
      </c>
      <c r="W1415" t="s">
        <v>92</v>
      </c>
      <c r="X1415" t="s">
        <v>93</v>
      </c>
      <c r="Y1415">
        <v>3</v>
      </c>
      <c r="Z1415" t="s">
        <v>94</v>
      </c>
      <c r="AB1415">
        <v>2.8401000000000001E-4</v>
      </c>
      <c r="AG1415" t="s">
        <v>95</v>
      </c>
      <c r="AX1415" t="s">
        <v>282</v>
      </c>
      <c r="AY1415" t="s">
        <v>485</v>
      </c>
      <c r="AZ1415" t="s">
        <v>586</v>
      </c>
      <c r="BA1415" t="s">
        <v>1156</v>
      </c>
      <c r="BC1415">
        <v>7</v>
      </c>
      <c r="BH1415" t="s">
        <v>99</v>
      </c>
      <c r="BO1415" t="s">
        <v>111</v>
      </c>
      <c r="CD1415" t="s">
        <v>1170</v>
      </c>
      <c r="CE1415">
        <v>177275</v>
      </c>
      <c r="CF1415" t="s">
        <v>1171</v>
      </c>
      <c r="CG1415" t="s">
        <v>1172</v>
      </c>
      <c r="CH1415">
        <v>2018</v>
      </c>
    </row>
    <row r="1416" spans="1:86" hidden="1" x14ac:dyDescent="0.25">
      <c r="A1416">
        <v>330541</v>
      </c>
      <c r="B1416" t="s">
        <v>86</v>
      </c>
      <c r="D1416" t="s">
        <v>87</v>
      </c>
      <c r="E1416" t="s">
        <v>106</v>
      </c>
      <c r="F1416">
        <v>98</v>
      </c>
      <c r="K1416" t="s">
        <v>1135</v>
      </c>
      <c r="L1416" t="s">
        <v>1136</v>
      </c>
      <c r="M1416" t="s">
        <v>1100</v>
      </c>
      <c r="V1416" t="s">
        <v>507</v>
      </c>
      <c r="W1416" t="s">
        <v>92</v>
      </c>
      <c r="X1416" t="s">
        <v>93</v>
      </c>
      <c r="Y1416">
        <v>3</v>
      </c>
      <c r="Z1416" t="s">
        <v>94</v>
      </c>
      <c r="AB1416">
        <v>2.8401000000000001E-4</v>
      </c>
      <c r="AG1416" t="s">
        <v>95</v>
      </c>
      <c r="AX1416" t="s">
        <v>282</v>
      </c>
      <c r="AY1416" t="s">
        <v>1203</v>
      </c>
      <c r="AZ1416" t="s">
        <v>586</v>
      </c>
      <c r="BA1416" t="s">
        <v>1169</v>
      </c>
      <c r="BC1416">
        <v>7</v>
      </c>
      <c r="BH1416" t="s">
        <v>99</v>
      </c>
      <c r="BO1416" t="s">
        <v>111</v>
      </c>
      <c r="CD1416" t="s">
        <v>1170</v>
      </c>
      <c r="CE1416">
        <v>177275</v>
      </c>
      <c r="CF1416" t="s">
        <v>1171</v>
      </c>
      <c r="CG1416" t="s">
        <v>1172</v>
      </c>
      <c r="CH1416">
        <v>2018</v>
      </c>
    </row>
    <row r="1417" spans="1:86" hidden="1" x14ac:dyDescent="0.25">
      <c r="A1417">
        <v>330541</v>
      </c>
      <c r="B1417" t="s">
        <v>86</v>
      </c>
      <c r="D1417" t="s">
        <v>87</v>
      </c>
      <c r="E1417" t="s">
        <v>106</v>
      </c>
      <c r="F1417">
        <v>98</v>
      </c>
      <c r="K1417" t="s">
        <v>1135</v>
      </c>
      <c r="L1417" t="s">
        <v>1136</v>
      </c>
      <c r="M1417" t="s">
        <v>1100</v>
      </c>
      <c r="V1417" t="s">
        <v>507</v>
      </c>
      <c r="W1417" t="s">
        <v>92</v>
      </c>
      <c r="X1417" t="s">
        <v>93</v>
      </c>
      <c r="Y1417">
        <v>3</v>
      </c>
      <c r="Z1417" t="s">
        <v>94</v>
      </c>
      <c r="AB1417">
        <v>2.8401000000000001E-4</v>
      </c>
      <c r="AG1417" t="s">
        <v>95</v>
      </c>
      <c r="AX1417" t="s">
        <v>282</v>
      </c>
      <c r="AY1417" t="s">
        <v>606</v>
      </c>
      <c r="AZ1417" t="s">
        <v>586</v>
      </c>
      <c r="BA1417" t="s">
        <v>1156</v>
      </c>
      <c r="BC1417">
        <v>7</v>
      </c>
      <c r="BH1417" t="s">
        <v>99</v>
      </c>
      <c r="BO1417" t="s">
        <v>111</v>
      </c>
      <c r="CD1417" t="s">
        <v>1170</v>
      </c>
      <c r="CE1417">
        <v>177275</v>
      </c>
      <c r="CF1417" t="s">
        <v>1171</v>
      </c>
      <c r="CG1417" t="s">
        <v>1172</v>
      </c>
      <c r="CH1417">
        <v>2018</v>
      </c>
    </row>
    <row r="1418" spans="1:86" hidden="1" x14ac:dyDescent="0.25">
      <c r="A1418">
        <v>330541</v>
      </c>
      <c r="B1418" t="s">
        <v>86</v>
      </c>
      <c r="D1418" t="s">
        <v>87</v>
      </c>
      <c r="E1418" t="s">
        <v>106</v>
      </c>
      <c r="F1418">
        <v>98</v>
      </c>
      <c r="K1418" t="s">
        <v>1135</v>
      </c>
      <c r="L1418" t="s">
        <v>1136</v>
      </c>
      <c r="M1418" t="s">
        <v>1100</v>
      </c>
      <c r="V1418" t="s">
        <v>507</v>
      </c>
      <c r="W1418" t="s">
        <v>92</v>
      </c>
      <c r="X1418" t="s">
        <v>93</v>
      </c>
      <c r="Y1418">
        <v>3</v>
      </c>
      <c r="Z1418" t="s">
        <v>94</v>
      </c>
      <c r="AB1418">
        <v>2.8401000000000001E-4</v>
      </c>
      <c r="AG1418" t="s">
        <v>95</v>
      </c>
      <c r="AX1418" t="s">
        <v>201</v>
      </c>
      <c r="AY1418" t="s">
        <v>608</v>
      </c>
      <c r="AZ1418" t="s">
        <v>586</v>
      </c>
      <c r="BA1418" t="s">
        <v>1156</v>
      </c>
      <c r="BC1418">
        <v>7</v>
      </c>
      <c r="BH1418" t="s">
        <v>99</v>
      </c>
      <c r="BO1418" t="s">
        <v>111</v>
      </c>
      <c r="CD1418" t="s">
        <v>1170</v>
      </c>
      <c r="CE1418">
        <v>177275</v>
      </c>
      <c r="CF1418" t="s">
        <v>1171</v>
      </c>
      <c r="CG1418" t="s">
        <v>1172</v>
      </c>
      <c r="CH1418">
        <v>2018</v>
      </c>
    </row>
    <row r="1419" spans="1:86" hidden="1" x14ac:dyDescent="0.25">
      <c r="A1419">
        <v>330541</v>
      </c>
      <c r="B1419" t="s">
        <v>86</v>
      </c>
      <c r="D1419" t="s">
        <v>87</v>
      </c>
      <c r="E1419" t="s">
        <v>106</v>
      </c>
      <c r="F1419">
        <v>98</v>
      </c>
      <c r="K1419" t="s">
        <v>1135</v>
      </c>
      <c r="L1419" t="s">
        <v>1136</v>
      </c>
      <c r="M1419" t="s">
        <v>1100</v>
      </c>
      <c r="V1419" t="s">
        <v>507</v>
      </c>
      <c r="W1419" t="s">
        <v>92</v>
      </c>
      <c r="X1419" t="s">
        <v>93</v>
      </c>
      <c r="Y1419">
        <v>3</v>
      </c>
      <c r="Z1419" t="s">
        <v>94</v>
      </c>
      <c r="AB1419">
        <v>2.8401000000000001E-4</v>
      </c>
      <c r="AG1419" t="s">
        <v>95</v>
      </c>
      <c r="AX1419" t="s">
        <v>282</v>
      </c>
      <c r="AY1419" t="s">
        <v>1178</v>
      </c>
      <c r="AZ1419" t="s">
        <v>586</v>
      </c>
      <c r="BA1419" t="s">
        <v>1156</v>
      </c>
      <c r="BC1419">
        <v>7</v>
      </c>
      <c r="BH1419" t="s">
        <v>99</v>
      </c>
      <c r="BO1419" t="s">
        <v>111</v>
      </c>
      <c r="CD1419" t="s">
        <v>1170</v>
      </c>
      <c r="CE1419">
        <v>177275</v>
      </c>
      <c r="CF1419" t="s">
        <v>1171</v>
      </c>
      <c r="CG1419" t="s">
        <v>1172</v>
      </c>
      <c r="CH1419">
        <v>2018</v>
      </c>
    </row>
    <row r="1420" spans="1:86" hidden="1" x14ac:dyDescent="0.25">
      <c r="A1420">
        <v>330541</v>
      </c>
      <c r="B1420" t="s">
        <v>86</v>
      </c>
      <c r="D1420" t="s">
        <v>87</v>
      </c>
      <c r="E1420" t="s">
        <v>106</v>
      </c>
      <c r="F1420">
        <v>98</v>
      </c>
      <c r="K1420" t="s">
        <v>1135</v>
      </c>
      <c r="L1420" t="s">
        <v>1136</v>
      </c>
      <c r="M1420" t="s">
        <v>1100</v>
      </c>
      <c r="V1420" t="s">
        <v>507</v>
      </c>
      <c r="W1420" t="s">
        <v>92</v>
      </c>
      <c r="X1420" t="s">
        <v>93</v>
      </c>
      <c r="Y1420">
        <v>3</v>
      </c>
      <c r="Z1420" t="s">
        <v>94</v>
      </c>
      <c r="AB1420">
        <v>2.8401000000000001E-4</v>
      </c>
      <c r="AG1420" t="s">
        <v>95</v>
      </c>
      <c r="AX1420" t="s">
        <v>282</v>
      </c>
      <c r="AY1420" t="s">
        <v>1178</v>
      </c>
      <c r="AZ1420" t="s">
        <v>586</v>
      </c>
      <c r="BA1420" t="s">
        <v>1169</v>
      </c>
      <c r="BC1420">
        <v>7</v>
      </c>
      <c r="BH1420" t="s">
        <v>99</v>
      </c>
      <c r="BO1420" t="s">
        <v>111</v>
      </c>
      <c r="CD1420" t="s">
        <v>1170</v>
      </c>
      <c r="CE1420">
        <v>177275</v>
      </c>
      <c r="CF1420" t="s">
        <v>1171</v>
      </c>
      <c r="CG1420" t="s">
        <v>1172</v>
      </c>
      <c r="CH1420">
        <v>2018</v>
      </c>
    </row>
    <row r="1421" spans="1:86" hidden="1" x14ac:dyDescent="0.25">
      <c r="A1421">
        <v>330541</v>
      </c>
      <c r="B1421" t="s">
        <v>86</v>
      </c>
      <c r="D1421" t="s">
        <v>87</v>
      </c>
      <c r="E1421" t="s">
        <v>106</v>
      </c>
      <c r="F1421">
        <v>98</v>
      </c>
      <c r="K1421" t="s">
        <v>1135</v>
      </c>
      <c r="L1421" t="s">
        <v>1136</v>
      </c>
      <c r="M1421" t="s">
        <v>1100</v>
      </c>
      <c r="V1421" t="s">
        <v>507</v>
      </c>
      <c r="W1421" t="s">
        <v>92</v>
      </c>
      <c r="X1421" t="s">
        <v>93</v>
      </c>
      <c r="Y1421">
        <v>3</v>
      </c>
      <c r="Z1421" t="s">
        <v>94</v>
      </c>
      <c r="AB1421">
        <v>2.8401000000000001E-4</v>
      </c>
      <c r="AG1421" t="s">
        <v>95</v>
      </c>
      <c r="AX1421" t="s">
        <v>282</v>
      </c>
      <c r="AY1421" t="s">
        <v>1204</v>
      </c>
      <c r="AZ1421" t="s">
        <v>586</v>
      </c>
      <c r="BA1421" t="s">
        <v>1156</v>
      </c>
      <c r="BC1421">
        <v>7</v>
      </c>
      <c r="BH1421" t="s">
        <v>99</v>
      </c>
      <c r="BO1421" t="s">
        <v>111</v>
      </c>
      <c r="CD1421" t="s">
        <v>1170</v>
      </c>
      <c r="CE1421">
        <v>177275</v>
      </c>
      <c r="CF1421" t="s">
        <v>1171</v>
      </c>
      <c r="CG1421" t="s">
        <v>1172</v>
      </c>
      <c r="CH1421">
        <v>2018</v>
      </c>
    </row>
    <row r="1422" spans="1:86" hidden="1" x14ac:dyDescent="0.25">
      <c r="A1422">
        <v>330541</v>
      </c>
      <c r="B1422" t="s">
        <v>86</v>
      </c>
      <c r="D1422" t="s">
        <v>87</v>
      </c>
      <c r="E1422" t="s">
        <v>106</v>
      </c>
      <c r="F1422">
        <v>98</v>
      </c>
      <c r="K1422" t="s">
        <v>1135</v>
      </c>
      <c r="L1422" t="s">
        <v>1136</v>
      </c>
      <c r="M1422" t="s">
        <v>1100</v>
      </c>
      <c r="V1422" t="s">
        <v>507</v>
      </c>
      <c r="W1422" t="s">
        <v>92</v>
      </c>
      <c r="X1422" t="s">
        <v>93</v>
      </c>
      <c r="Y1422">
        <v>3</v>
      </c>
      <c r="Z1422" t="s">
        <v>94</v>
      </c>
      <c r="AB1422">
        <v>2.8401000000000001E-4</v>
      </c>
      <c r="AG1422" t="s">
        <v>95</v>
      </c>
      <c r="AX1422" t="s">
        <v>282</v>
      </c>
      <c r="AY1422" t="s">
        <v>1168</v>
      </c>
      <c r="AZ1422" t="s">
        <v>586</v>
      </c>
      <c r="BA1422" t="s">
        <v>1156</v>
      </c>
      <c r="BC1422">
        <v>7</v>
      </c>
      <c r="BH1422" t="s">
        <v>99</v>
      </c>
      <c r="BO1422" t="s">
        <v>111</v>
      </c>
      <c r="CD1422" t="s">
        <v>1170</v>
      </c>
      <c r="CE1422">
        <v>177275</v>
      </c>
      <c r="CF1422" t="s">
        <v>1171</v>
      </c>
      <c r="CG1422" t="s">
        <v>1172</v>
      </c>
      <c r="CH1422">
        <v>2018</v>
      </c>
    </row>
    <row r="1423" spans="1:86" hidden="1" x14ac:dyDescent="0.25">
      <c r="A1423">
        <v>330541</v>
      </c>
      <c r="B1423" t="s">
        <v>86</v>
      </c>
      <c r="D1423" t="s">
        <v>87</v>
      </c>
      <c r="E1423" t="s">
        <v>106</v>
      </c>
      <c r="F1423">
        <v>98</v>
      </c>
      <c r="K1423" t="s">
        <v>1135</v>
      </c>
      <c r="L1423" t="s">
        <v>1136</v>
      </c>
      <c r="M1423" t="s">
        <v>1100</v>
      </c>
      <c r="V1423" t="s">
        <v>507</v>
      </c>
      <c r="W1423" t="s">
        <v>92</v>
      </c>
      <c r="X1423" t="s">
        <v>93</v>
      </c>
      <c r="Y1423">
        <v>3</v>
      </c>
      <c r="Z1423" t="s">
        <v>94</v>
      </c>
      <c r="AB1423">
        <v>2.8401000000000001E-4</v>
      </c>
      <c r="AG1423" t="s">
        <v>95</v>
      </c>
      <c r="AX1423" t="s">
        <v>282</v>
      </c>
      <c r="AY1423" t="s">
        <v>485</v>
      </c>
      <c r="AZ1423" t="s">
        <v>586</v>
      </c>
      <c r="BA1423" t="s">
        <v>1169</v>
      </c>
      <c r="BC1423">
        <v>7</v>
      </c>
      <c r="BH1423" t="s">
        <v>99</v>
      </c>
      <c r="BO1423" t="s">
        <v>111</v>
      </c>
      <c r="CD1423" t="s">
        <v>1170</v>
      </c>
      <c r="CE1423">
        <v>177275</v>
      </c>
      <c r="CF1423" t="s">
        <v>1171</v>
      </c>
      <c r="CG1423" t="s">
        <v>1172</v>
      </c>
      <c r="CH1423">
        <v>2018</v>
      </c>
    </row>
    <row r="1424" spans="1:86" hidden="1" x14ac:dyDescent="0.25">
      <c r="A1424">
        <v>330541</v>
      </c>
      <c r="B1424" t="s">
        <v>86</v>
      </c>
      <c r="D1424" t="s">
        <v>87</v>
      </c>
      <c r="E1424" t="s">
        <v>106</v>
      </c>
      <c r="F1424">
        <v>98</v>
      </c>
      <c r="K1424" t="s">
        <v>1135</v>
      </c>
      <c r="L1424" t="s">
        <v>1136</v>
      </c>
      <c r="M1424" t="s">
        <v>1100</v>
      </c>
      <c r="V1424" t="s">
        <v>507</v>
      </c>
      <c r="W1424" t="s">
        <v>92</v>
      </c>
      <c r="X1424" t="s">
        <v>93</v>
      </c>
      <c r="Y1424">
        <v>3</v>
      </c>
      <c r="Z1424" t="s">
        <v>94</v>
      </c>
      <c r="AB1424">
        <v>2.8401000000000001E-4</v>
      </c>
      <c r="AG1424" t="s">
        <v>95</v>
      </c>
      <c r="AX1424" t="s">
        <v>282</v>
      </c>
      <c r="AY1424" t="s">
        <v>1205</v>
      </c>
      <c r="AZ1424" t="s">
        <v>586</v>
      </c>
      <c r="BA1424" t="s">
        <v>1156</v>
      </c>
      <c r="BC1424">
        <v>7</v>
      </c>
      <c r="BH1424" t="s">
        <v>99</v>
      </c>
      <c r="BO1424" t="s">
        <v>111</v>
      </c>
      <c r="CD1424" t="s">
        <v>1170</v>
      </c>
      <c r="CE1424">
        <v>177275</v>
      </c>
      <c r="CF1424" t="s">
        <v>1171</v>
      </c>
      <c r="CG1424" t="s">
        <v>1172</v>
      </c>
      <c r="CH1424">
        <v>2018</v>
      </c>
    </row>
    <row r="1425" spans="1:86" hidden="1" x14ac:dyDescent="0.25">
      <c r="A1425">
        <v>330541</v>
      </c>
      <c r="B1425" t="s">
        <v>86</v>
      </c>
      <c r="D1425" t="s">
        <v>87</v>
      </c>
      <c r="E1425" t="s">
        <v>106</v>
      </c>
      <c r="F1425">
        <v>98</v>
      </c>
      <c r="K1425" t="s">
        <v>1135</v>
      </c>
      <c r="L1425" t="s">
        <v>1136</v>
      </c>
      <c r="M1425" t="s">
        <v>1100</v>
      </c>
      <c r="V1425" t="s">
        <v>507</v>
      </c>
      <c r="W1425" t="s">
        <v>92</v>
      </c>
      <c r="X1425" t="s">
        <v>93</v>
      </c>
      <c r="Y1425">
        <v>3</v>
      </c>
      <c r="Z1425" t="s">
        <v>94</v>
      </c>
      <c r="AB1425">
        <v>2.8401000000000001E-4</v>
      </c>
      <c r="AG1425" t="s">
        <v>95</v>
      </c>
      <c r="AX1425" t="s">
        <v>282</v>
      </c>
      <c r="AY1425" t="s">
        <v>1174</v>
      </c>
      <c r="AZ1425" t="s">
        <v>586</v>
      </c>
      <c r="BA1425" t="s">
        <v>1169</v>
      </c>
      <c r="BC1425">
        <v>7</v>
      </c>
      <c r="BH1425" t="s">
        <v>99</v>
      </c>
      <c r="BO1425" t="s">
        <v>111</v>
      </c>
      <c r="CD1425" t="s">
        <v>1170</v>
      </c>
      <c r="CE1425">
        <v>177275</v>
      </c>
      <c r="CF1425" t="s">
        <v>1171</v>
      </c>
      <c r="CG1425" t="s">
        <v>1172</v>
      </c>
      <c r="CH1425">
        <v>2018</v>
      </c>
    </row>
    <row r="1426" spans="1:86" hidden="1" x14ac:dyDescent="0.25">
      <c r="A1426">
        <v>330541</v>
      </c>
      <c r="B1426" t="s">
        <v>86</v>
      </c>
      <c r="D1426" t="s">
        <v>87</v>
      </c>
      <c r="E1426" t="s">
        <v>106</v>
      </c>
      <c r="F1426">
        <v>98</v>
      </c>
      <c r="K1426" t="s">
        <v>1135</v>
      </c>
      <c r="L1426" t="s">
        <v>1136</v>
      </c>
      <c r="M1426" t="s">
        <v>1100</v>
      </c>
      <c r="V1426" t="s">
        <v>507</v>
      </c>
      <c r="W1426" t="s">
        <v>92</v>
      </c>
      <c r="X1426" t="s">
        <v>93</v>
      </c>
      <c r="Y1426">
        <v>3</v>
      </c>
      <c r="Z1426" t="s">
        <v>94</v>
      </c>
      <c r="AB1426">
        <v>2.8401000000000001E-4</v>
      </c>
      <c r="AG1426" t="s">
        <v>95</v>
      </c>
      <c r="AX1426" t="s">
        <v>282</v>
      </c>
      <c r="AY1426" t="s">
        <v>593</v>
      </c>
      <c r="AZ1426" t="s">
        <v>586</v>
      </c>
      <c r="BA1426" t="s">
        <v>1156</v>
      </c>
      <c r="BC1426">
        <v>7</v>
      </c>
      <c r="BH1426" t="s">
        <v>99</v>
      </c>
      <c r="BO1426" t="s">
        <v>111</v>
      </c>
      <c r="CD1426" t="s">
        <v>1170</v>
      </c>
      <c r="CE1426">
        <v>177275</v>
      </c>
      <c r="CF1426" t="s">
        <v>1171</v>
      </c>
      <c r="CG1426" t="s">
        <v>1172</v>
      </c>
      <c r="CH1426">
        <v>2018</v>
      </c>
    </row>
    <row r="1427" spans="1:86" hidden="1" x14ac:dyDescent="0.25">
      <c r="A1427">
        <v>330541</v>
      </c>
      <c r="B1427" t="s">
        <v>86</v>
      </c>
      <c r="D1427" t="s">
        <v>87</v>
      </c>
      <c r="E1427" t="s">
        <v>106</v>
      </c>
      <c r="F1427">
        <v>98</v>
      </c>
      <c r="K1427" t="s">
        <v>1135</v>
      </c>
      <c r="L1427" t="s">
        <v>1136</v>
      </c>
      <c r="M1427" t="s">
        <v>1100</v>
      </c>
      <c r="V1427" t="s">
        <v>507</v>
      </c>
      <c r="W1427" t="s">
        <v>92</v>
      </c>
      <c r="X1427" t="s">
        <v>93</v>
      </c>
      <c r="Y1427">
        <v>3</v>
      </c>
      <c r="Z1427" t="s">
        <v>94</v>
      </c>
      <c r="AB1427">
        <v>5.7349999999999998E-5</v>
      </c>
      <c r="AG1427" t="s">
        <v>95</v>
      </c>
      <c r="AX1427" t="s">
        <v>282</v>
      </c>
      <c r="AY1427" t="s">
        <v>1168</v>
      </c>
      <c r="AZ1427" t="s">
        <v>586</v>
      </c>
      <c r="BA1427" t="s">
        <v>1169</v>
      </c>
      <c r="BC1427">
        <v>7</v>
      </c>
      <c r="BH1427" t="s">
        <v>99</v>
      </c>
      <c r="BO1427" t="s">
        <v>111</v>
      </c>
      <c r="CD1427" t="s">
        <v>1170</v>
      </c>
      <c r="CE1427">
        <v>177275</v>
      </c>
      <c r="CF1427" t="s">
        <v>1171</v>
      </c>
      <c r="CG1427" t="s">
        <v>1172</v>
      </c>
      <c r="CH1427">
        <v>2018</v>
      </c>
    </row>
    <row r="1428" spans="1:86" hidden="1" x14ac:dyDescent="0.25">
      <c r="A1428">
        <v>330541</v>
      </c>
      <c r="B1428" t="s">
        <v>86</v>
      </c>
      <c r="D1428" t="s">
        <v>87</v>
      </c>
      <c r="E1428" t="s">
        <v>106</v>
      </c>
      <c r="F1428">
        <v>98</v>
      </c>
      <c r="K1428" t="s">
        <v>1135</v>
      </c>
      <c r="L1428" t="s">
        <v>1136</v>
      </c>
      <c r="M1428" t="s">
        <v>1100</v>
      </c>
      <c r="V1428" t="s">
        <v>507</v>
      </c>
      <c r="W1428" t="s">
        <v>92</v>
      </c>
      <c r="X1428" t="s">
        <v>93</v>
      </c>
      <c r="Y1428">
        <v>3</v>
      </c>
      <c r="Z1428" t="s">
        <v>94</v>
      </c>
      <c r="AB1428">
        <v>5.7349999999999998E-5</v>
      </c>
      <c r="AG1428" t="s">
        <v>95</v>
      </c>
      <c r="AX1428" t="s">
        <v>282</v>
      </c>
      <c r="AY1428" t="s">
        <v>1173</v>
      </c>
      <c r="AZ1428" t="s">
        <v>586</v>
      </c>
      <c r="BA1428" t="s">
        <v>1169</v>
      </c>
      <c r="BC1428">
        <v>7</v>
      </c>
      <c r="BH1428" t="s">
        <v>99</v>
      </c>
      <c r="BO1428" t="s">
        <v>111</v>
      </c>
      <c r="CD1428" t="s">
        <v>1170</v>
      </c>
      <c r="CE1428">
        <v>177275</v>
      </c>
      <c r="CF1428" t="s">
        <v>1171</v>
      </c>
      <c r="CG1428" t="s">
        <v>1172</v>
      </c>
      <c r="CH1428">
        <v>2018</v>
      </c>
    </row>
    <row r="1429" spans="1:86" hidden="1" x14ac:dyDescent="0.25">
      <c r="A1429">
        <v>330541</v>
      </c>
      <c r="B1429" t="s">
        <v>86</v>
      </c>
      <c r="D1429" t="s">
        <v>87</v>
      </c>
      <c r="E1429" t="s">
        <v>106</v>
      </c>
      <c r="F1429">
        <v>98</v>
      </c>
      <c r="K1429" t="s">
        <v>1135</v>
      </c>
      <c r="L1429" t="s">
        <v>1136</v>
      </c>
      <c r="M1429" t="s">
        <v>1100</v>
      </c>
      <c r="V1429" t="s">
        <v>507</v>
      </c>
      <c r="W1429" t="s">
        <v>92</v>
      </c>
      <c r="X1429" t="s">
        <v>93</v>
      </c>
      <c r="Y1429">
        <v>3</v>
      </c>
      <c r="Z1429" t="s">
        <v>94</v>
      </c>
      <c r="AB1429">
        <v>2.8401000000000001E-4</v>
      </c>
      <c r="AG1429" t="s">
        <v>95</v>
      </c>
      <c r="AX1429" t="s">
        <v>282</v>
      </c>
      <c r="AY1429" t="s">
        <v>1204</v>
      </c>
      <c r="AZ1429" t="s">
        <v>586</v>
      </c>
      <c r="BA1429" t="s">
        <v>1169</v>
      </c>
      <c r="BC1429">
        <v>7</v>
      </c>
      <c r="BH1429" t="s">
        <v>99</v>
      </c>
      <c r="BO1429" t="s">
        <v>111</v>
      </c>
      <c r="CD1429" t="s">
        <v>1170</v>
      </c>
      <c r="CE1429">
        <v>177275</v>
      </c>
      <c r="CF1429" t="s">
        <v>1171</v>
      </c>
      <c r="CG1429" t="s">
        <v>1172</v>
      </c>
      <c r="CH1429">
        <v>2018</v>
      </c>
    </row>
    <row r="1430" spans="1:86" hidden="1" x14ac:dyDescent="0.25">
      <c r="A1430">
        <v>330541</v>
      </c>
      <c r="B1430" t="s">
        <v>86</v>
      </c>
      <c r="D1430" t="s">
        <v>87</v>
      </c>
      <c r="E1430" t="s">
        <v>106</v>
      </c>
      <c r="F1430">
        <v>98</v>
      </c>
      <c r="K1430" t="s">
        <v>1135</v>
      </c>
      <c r="L1430" t="s">
        <v>1136</v>
      </c>
      <c r="M1430" t="s">
        <v>1100</v>
      </c>
      <c r="V1430" t="s">
        <v>507</v>
      </c>
      <c r="W1430" t="s">
        <v>92</v>
      </c>
      <c r="X1430" t="s">
        <v>93</v>
      </c>
      <c r="Y1430">
        <v>3</v>
      </c>
      <c r="Z1430" t="s">
        <v>94</v>
      </c>
      <c r="AB1430">
        <v>5.7349999999999998E-5</v>
      </c>
      <c r="AG1430" t="s">
        <v>95</v>
      </c>
      <c r="AX1430" t="s">
        <v>282</v>
      </c>
      <c r="AY1430" t="s">
        <v>1175</v>
      </c>
      <c r="AZ1430" t="s">
        <v>586</v>
      </c>
      <c r="BA1430" t="s">
        <v>1169</v>
      </c>
      <c r="BC1430">
        <v>7</v>
      </c>
      <c r="BH1430" t="s">
        <v>99</v>
      </c>
      <c r="BO1430" t="s">
        <v>111</v>
      </c>
      <c r="CD1430" t="s">
        <v>1170</v>
      </c>
      <c r="CE1430">
        <v>177275</v>
      </c>
      <c r="CF1430" t="s">
        <v>1171</v>
      </c>
      <c r="CG1430" t="s">
        <v>1172</v>
      </c>
      <c r="CH1430">
        <v>2018</v>
      </c>
    </row>
    <row r="1431" spans="1:86" hidden="1" x14ac:dyDescent="0.25">
      <c r="A1431">
        <v>330541</v>
      </c>
      <c r="B1431" t="s">
        <v>86</v>
      </c>
      <c r="D1431" t="s">
        <v>87</v>
      </c>
      <c r="E1431" t="s">
        <v>106</v>
      </c>
      <c r="F1431">
        <v>98</v>
      </c>
      <c r="K1431" t="s">
        <v>1135</v>
      </c>
      <c r="L1431" t="s">
        <v>1136</v>
      </c>
      <c r="M1431" t="s">
        <v>1100</v>
      </c>
      <c r="V1431" t="s">
        <v>507</v>
      </c>
      <c r="W1431" t="s">
        <v>92</v>
      </c>
      <c r="X1431" t="s">
        <v>93</v>
      </c>
      <c r="Y1431">
        <v>3</v>
      </c>
      <c r="Z1431" t="s">
        <v>94</v>
      </c>
      <c r="AB1431">
        <v>2.8401000000000001E-4</v>
      </c>
      <c r="AG1431" t="s">
        <v>95</v>
      </c>
      <c r="AX1431" t="s">
        <v>282</v>
      </c>
      <c r="AY1431" t="s">
        <v>1173</v>
      </c>
      <c r="AZ1431" t="s">
        <v>586</v>
      </c>
      <c r="BA1431" t="s">
        <v>1156</v>
      </c>
      <c r="BC1431">
        <v>7</v>
      </c>
      <c r="BH1431" t="s">
        <v>99</v>
      </c>
      <c r="BO1431" t="s">
        <v>111</v>
      </c>
      <c r="CD1431" t="s">
        <v>1170</v>
      </c>
      <c r="CE1431">
        <v>177275</v>
      </c>
      <c r="CF1431" t="s">
        <v>1171</v>
      </c>
      <c r="CG1431" t="s">
        <v>1172</v>
      </c>
      <c r="CH1431">
        <v>2018</v>
      </c>
    </row>
    <row r="1432" spans="1:86" hidden="1" x14ac:dyDescent="0.25">
      <c r="A1432">
        <v>330541</v>
      </c>
      <c r="B1432" t="s">
        <v>86</v>
      </c>
      <c r="C1432" t="s">
        <v>158</v>
      </c>
      <c r="D1432" t="s">
        <v>87</v>
      </c>
      <c r="K1432" t="s">
        <v>1135</v>
      </c>
      <c r="L1432" t="s">
        <v>1136</v>
      </c>
      <c r="M1432" t="s">
        <v>1100</v>
      </c>
      <c r="N1432" t="s">
        <v>1144</v>
      </c>
      <c r="W1432" t="s">
        <v>92</v>
      </c>
      <c r="X1432" t="s">
        <v>93</v>
      </c>
      <c r="Y1432">
        <v>2</v>
      </c>
      <c r="Z1432" t="s">
        <v>94</v>
      </c>
      <c r="AB1432">
        <v>6.7899999999999997E-5</v>
      </c>
      <c r="AG1432" t="s">
        <v>95</v>
      </c>
      <c r="AX1432" t="s">
        <v>1206</v>
      </c>
      <c r="AY1432" t="s">
        <v>1207</v>
      </c>
      <c r="AZ1432" t="s">
        <v>586</v>
      </c>
      <c r="BA1432" t="s">
        <v>1208</v>
      </c>
      <c r="BC1432">
        <v>25</v>
      </c>
      <c r="BH1432" t="s">
        <v>99</v>
      </c>
      <c r="BO1432" t="s">
        <v>111</v>
      </c>
      <c r="CD1432" t="s">
        <v>1146</v>
      </c>
      <c r="CE1432">
        <v>176040</v>
      </c>
      <c r="CF1432" t="s">
        <v>1147</v>
      </c>
      <c r="CG1432" t="s">
        <v>1148</v>
      </c>
      <c r="CH1432">
        <v>2016</v>
      </c>
    </row>
    <row r="1433" spans="1:86" hidden="1" x14ac:dyDescent="0.25">
      <c r="A1433">
        <v>330541</v>
      </c>
      <c r="B1433" t="s">
        <v>86</v>
      </c>
      <c r="C1433" t="s">
        <v>158</v>
      </c>
      <c r="D1433" t="s">
        <v>87</v>
      </c>
      <c r="K1433" t="s">
        <v>1135</v>
      </c>
      <c r="L1433" t="s">
        <v>1136</v>
      </c>
      <c r="M1433" t="s">
        <v>1100</v>
      </c>
      <c r="N1433" t="s">
        <v>1144</v>
      </c>
      <c r="W1433" t="s">
        <v>92</v>
      </c>
      <c r="X1433" t="s">
        <v>93</v>
      </c>
      <c r="Y1433">
        <v>2</v>
      </c>
      <c r="Z1433" t="s">
        <v>94</v>
      </c>
      <c r="AB1433">
        <v>6.7899999999999997E-5</v>
      </c>
      <c r="AG1433" t="s">
        <v>95</v>
      </c>
      <c r="AX1433" t="s">
        <v>938</v>
      </c>
      <c r="AY1433" t="s">
        <v>950</v>
      </c>
      <c r="AZ1433" t="s">
        <v>586</v>
      </c>
      <c r="BA1433" t="s">
        <v>179</v>
      </c>
      <c r="BC1433">
        <v>25</v>
      </c>
      <c r="BH1433" t="s">
        <v>99</v>
      </c>
      <c r="BO1433" t="s">
        <v>111</v>
      </c>
      <c r="CD1433" t="s">
        <v>1146</v>
      </c>
      <c r="CE1433">
        <v>176040</v>
      </c>
      <c r="CF1433" t="s">
        <v>1147</v>
      </c>
      <c r="CG1433" t="s">
        <v>1148</v>
      </c>
      <c r="CH1433">
        <v>2016</v>
      </c>
    </row>
    <row r="1434" spans="1:86" hidden="1" x14ac:dyDescent="0.25">
      <c r="A1434">
        <v>330541</v>
      </c>
      <c r="B1434" t="s">
        <v>86</v>
      </c>
      <c r="D1434" t="s">
        <v>115</v>
      </c>
      <c r="F1434">
        <v>99</v>
      </c>
      <c r="K1434" t="s">
        <v>1153</v>
      </c>
      <c r="L1434" t="s">
        <v>1154</v>
      </c>
      <c r="M1434" t="s">
        <v>1100</v>
      </c>
      <c r="N1434" t="s">
        <v>1000</v>
      </c>
      <c r="P1434">
        <v>1</v>
      </c>
      <c r="U1434" t="s">
        <v>934</v>
      </c>
      <c r="V1434" t="s">
        <v>507</v>
      </c>
      <c r="W1434" t="s">
        <v>92</v>
      </c>
      <c r="X1434" t="s">
        <v>93</v>
      </c>
      <c r="Y1434">
        <v>3</v>
      </c>
      <c r="Z1434" t="s">
        <v>94</v>
      </c>
      <c r="AB1434">
        <v>4.0000000000000003E-5</v>
      </c>
      <c r="AG1434" t="s">
        <v>95</v>
      </c>
      <c r="AX1434" t="s">
        <v>282</v>
      </c>
      <c r="AY1434" t="s">
        <v>1202</v>
      </c>
      <c r="AZ1434" t="s">
        <v>586</v>
      </c>
      <c r="BA1434" t="s">
        <v>1156</v>
      </c>
      <c r="BC1434">
        <v>7</v>
      </c>
      <c r="BH1434" t="s">
        <v>99</v>
      </c>
      <c r="BO1434" t="s">
        <v>111</v>
      </c>
      <c r="CD1434" t="s">
        <v>1157</v>
      </c>
      <c r="CE1434">
        <v>176116</v>
      </c>
      <c r="CF1434" t="s">
        <v>1158</v>
      </c>
      <c r="CG1434" t="s">
        <v>1159</v>
      </c>
      <c r="CH1434">
        <v>2016</v>
      </c>
    </row>
    <row r="1435" spans="1:86" hidden="1" x14ac:dyDescent="0.25">
      <c r="A1435">
        <v>330541</v>
      </c>
      <c r="B1435" t="s">
        <v>86</v>
      </c>
      <c r="D1435" t="s">
        <v>115</v>
      </c>
      <c r="F1435">
        <v>99</v>
      </c>
      <c r="K1435" t="s">
        <v>1153</v>
      </c>
      <c r="L1435" t="s">
        <v>1154</v>
      </c>
      <c r="M1435" t="s">
        <v>1100</v>
      </c>
      <c r="N1435" t="s">
        <v>1000</v>
      </c>
      <c r="P1435">
        <v>1</v>
      </c>
      <c r="U1435" t="s">
        <v>934</v>
      </c>
      <c r="V1435" t="s">
        <v>507</v>
      </c>
      <c r="W1435" t="s">
        <v>92</v>
      </c>
      <c r="X1435" t="s">
        <v>93</v>
      </c>
      <c r="Y1435">
        <v>3</v>
      </c>
      <c r="Z1435" t="s">
        <v>94</v>
      </c>
      <c r="AB1435">
        <v>4.0000000000000003E-5</v>
      </c>
      <c r="AG1435" t="s">
        <v>95</v>
      </c>
      <c r="AX1435" t="s">
        <v>282</v>
      </c>
      <c r="AY1435" t="s">
        <v>1183</v>
      </c>
      <c r="AZ1435" t="s">
        <v>586</v>
      </c>
      <c r="BA1435" t="s">
        <v>1184</v>
      </c>
      <c r="BC1435">
        <v>7</v>
      </c>
      <c r="BH1435" t="s">
        <v>99</v>
      </c>
      <c r="BO1435" t="s">
        <v>111</v>
      </c>
      <c r="CD1435" t="s">
        <v>1157</v>
      </c>
      <c r="CE1435">
        <v>176116</v>
      </c>
      <c r="CF1435" t="s">
        <v>1158</v>
      </c>
      <c r="CG1435" t="s">
        <v>1159</v>
      </c>
      <c r="CH1435">
        <v>2016</v>
      </c>
    </row>
    <row r="1436" spans="1:86" hidden="1" x14ac:dyDescent="0.25">
      <c r="A1436">
        <v>330541</v>
      </c>
      <c r="B1436" t="s">
        <v>86</v>
      </c>
      <c r="D1436" t="s">
        <v>115</v>
      </c>
      <c r="K1436" t="s">
        <v>1176</v>
      </c>
      <c r="L1436" t="s">
        <v>1177</v>
      </c>
      <c r="M1436" t="s">
        <v>1100</v>
      </c>
      <c r="V1436" t="s">
        <v>168</v>
      </c>
      <c r="W1436" t="s">
        <v>92</v>
      </c>
      <c r="X1436" t="s">
        <v>93</v>
      </c>
      <c r="Y1436">
        <v>3</v>
      </c>
      <c r="Z1436" t="s">
        <v>137</v>
      </c>
      <c r="AB1436">
        <v>15</v>
      </c>
      <c r="AG1436" t="s">
        <v>95</v>
      </c>
      <c r="AX1436" t="s">
        <v>615</v>
      </c>
      <c r="AY1436" t="s">
        <v>616</v>
      </c>
      <c r="AZ1436" t="s">
        <v>586</v>
      </c>
      <c r="BA1436" t="s">
        <v>1182</v>
      </c>
      <c r="BC1436">
        <v>4</v>
      </c>
      <c r="BH1436" t="s">
        <v>99</v>
      </c>
      <c r="BO1436" t="s">
        <v>111</v>
      </c>
      <c r="CD1436" t="s">
        <v>1179</v>
      </c>
      <c r="CE1436">
        <v>160633</v>
      </c>
      <c r="CF1436" t="s">
        <v>1180</v>
      </c>
      <c r="CG1436" t="s">
        <v>1181</v>
      </c>
      <c r="CH1436">
        <v>2011</v>
      </c>
    </row>
    <row r="1437" spans="1:86" hidden="1" x14ac:dyDescent="0.25">
      <c r="A1437">
        <v>330541</v>
      </c>
      <c r="B1437" t="s">
        <v>86</v>
      </c>
      <c r="D1437" t="s">
        <v>115</v>
      </c>
      <c r="K1437" t="s">
        <v>1176</v>
      </c>
      <c r="L1437" t="s">
        <v>1177</v>
      </c>
      <c r="M1437" t="s">
        <v>1100</v>
      </c>
      <c r="V1437" t="s">
        <v>168</v>
      </c>
      <c r="W1437" t="s">
        <v>92</v>
      </c>
      <c r="X1437" t="s">
        <v>93</v>
      </c>
      <c r="Y1437">
        <v>3</v>
      </c>
      <c r="Z1437" t="s">
        <v>137</v>
      </c>
      <c r="AB1437">
        <v>15</v>
      </c>
      <c r="AG1437" t="s">
        <v>95</v>
      </c>
      <c r="AX1437" t="s">
        <v>282</v>
      </c>
      <c r="AY1437" t="s">
        <v>1178</v>
      </c>
      <c r="AZ1437" t="s">
        <v>586</v>
      </c>
      <c r="BA1437" t="s">
        <v>1156</v>
      </c>
      <c r="BC1437">
        <v>4</v>
      </c>
      <c r="BH1437" t="s">
        <v>99</v>
      </c>
      <c r="BO1437" t="s">
        <v>111</v>
      </c>
      <c r="CD1437" t="s">
        <v>1179</v>
      </c>
      <c r="CE1437">
        <v>160633</v>
      </c>
      <c r="CF1437" t="s">
        <v>1180</v>
      </c>
      <c r="CG1437" t="s">
        <v>1181</v>
      </c>
      <c r="CH1437">
        <v>2011</v>
      </c>
    </row>
    <row r="1438" spans="1:86" hidden="1" x14ac:dyDescent="0.25">
      <c r="A1438">
        <v>330541</v>
      </c>
      <c r="B1438" t="s">
        <v>86</v>
      </c>
      <c r="D1438" t="s">
        <v>115</v>
      </c>
      <c r="F1438">
        <v>99</v>
      </c>
      <c r="K1438" t="s">
        <v>1153</v>
      </c>
      <c r="L1438" t="s">
        <v>1154</v>
      </c>
      <c r="M1438" t="s">
        <v>1100</v>
      </c>
      <c r="N1438" t="s">
        <v>1000</v>
      </c>
      <c r="P1438">
        <v>1</v>
      </c>
      <c r="U1438" t="s">
        <v>934</v>
      </c>
      <c r="V1438" t="s">
        <v>507</v>
      </c>
      <c r="W1438" t="s">
        <v>92</v>
      </c>
      <c r="X1438" t="s">
        <v>93</v>
      </c>
      <c r="Y1438">
        <v>3</v>
      </c>
      <c r="Z1438" t="s">
        <v>94</v>
      </c>
      <c r="AB1438">
        <v>2.0000000000000001E-4</v>
      </c>
      <c r="AG1438" t="s">
        <v>95</v>
      </c>
      <c r="AX1438" t="s">
        <v>282</v>
      </c>
      <c r="AY1438" t="s">
        <v>1209</v>
      </c>
      <c r="AZ1438" t="s">
        <v>586</v>
      </c>
      <c r="BA1438" t="s">
        <v>1156</v>
      </c>
      <c r="BC1438">
        <v>7</v>
      </c>
      <c r="BH1438" t="s">
        <v>99</v>
      </c>
      <c r="BO1438" t="s">
        <v>111</v>
      </c>
      <c r="CD1438" t="s">
        <v>1157</v>
      </c>
      <c r="CE1438">
        <v>176116</v>
      </c>
      <c r="CF1438" t="s">
        <v>1158</v>
      </c>
      <c r="CG1438" t="s">
        <v>1159</v>
      </c>
      <c r="CH1438">
        <v>2016</v>
      </c>
    </row>
    <row r="1439" spans="1:86" hidden="1" x14ac:dyDescent="0.25">
      <c r="A1439">
        <v>330541</v>
      </c>
      <c r="B1439" t="s">
        <v>86</v>
      </c>
      <c r="D1439" t="s">
        <v>115</v>
      </c>
      <c r="F1439">
        <v>99</v>
      </c>
      <c r="K1439" t="s">
        <v>1153</v>
      </c>
      <c r="L1439" t="s">
        <v>1154</v>
      </c>
      <c r="M1439" t="s">
        <v>1100</v>
      </c>
      <c r="N1439" t="s">
        <v>1000</v>
      </c>
      <c r="P1439">
        <v>1</v>
      </c>
      <c r="U1439" t="s">
        <v>934</v>
      </c>
      <c r="V1439" t="s">
        <v>507</v>
      </c>
      <c r="W1439" t="s">
        <v>92</v>
      </c>
      <c r="X1439" t="s">
        <v>93</v>
      </c>
      <c r="Y1439">
        <v>3</v>
      </c>
      <c r="Z1439" t="s">
        <v>94</v>
      </c>
      <c r="AB1439">
        <v>4.0000000000000003E-5</v>
      </c>
      <c r="AG1439" t="s">
        <v>95</v>
      </c>
      <c r="AX1439" t="s">
        <v>615</v>
      </c>
      <c r="AY1439" t="s">
        <v>1155</v>
      </c>
      <c r="AZ1439" t="s">
        <v>586</v>
      </c>
      <c r="BA1439" t="s">
        <v>1156</v>
      </c>
      <c r="BC1439">
        <v>7</v>
      </c>
      <c r="BH1439" t="s">
        <v>99</v>
      </c>
      <c r="BO1439" t="s">
        <v>111</v>
      </c>
      <c r="CD1439" t="s">
        <v>1157</v>
      </c>
      <c r="CE1439">
        <v>176116</v>
      </c>
      <c r="CF1439" t="s">
        <v>1158</v>
      </c>
      <c r="CG1439" t="s">
        <v>1159</v>
      </c>
      <c r="CH1439">
        <v>2016</v>
      </c>
    </row>
    <row r="1440" spans="1:86" hidden="1" x14ac:dyDescent="0.25">
      <c r="A1440">
        <v>330541</v>
      </c>
      <c r="B1440" t="s">
        <v>86</v>
      </c>
      <c r="D1440" t="s">
        <v>115</v>
      </c>
      <c r="K1440" t="s">
        <v>1176</v>
      </c>
      <c r="L1440" t="s">
        <v>1177</v>
      </c>
      <c r="M1440" t="s">
        <v>1100</v>
      </c>
      <c r="V1440" t="s">
        <v>168</v>
      </c>
      <c r="W1440" t="s">
        <v>92</v>
      </c>
      <c r="X1440" t="s">
        <v>93</v>
      </c>
      <c r="Y1440">
        <v>3</v>
      </c>
      <c r="Z1440" t="s">
        <v>137</v>
      </c>
      <c r="AB1440">
        <v>15</v>
      </c>
      <c r="AG1440" t="s">
        <v>95</v>
      </c>
      <c r="AX1440" t="s">
        <v>282</v>
      </c>
      <c r="AY1440" t="s">
        <v>593</v>
      </c>
      <c r="AZ1440" t="s">
        <v>586</v>
      </c>
      <c r="BA1440" t="s">
        <v>1156</v>
      </c>
      <c r="BC1440">
        <v>4</v>
      </c>
      <c r="BH1440" t="s">
        <v>99</v>
      </c>
      <c r="BO1440" t="s">
        <v>111</v>
      </c>
      <c r="CD1440" t="s">
        <v>1179</v>
      </c>
      <c r="CE1440">
        <v>160633</v>
      </c>
      <c r="CF1440" t="s">
        <v>1180</v>
      </c>
      <c r="CG1440" t="s">
        <v>1181</v>
      </c>
      <c r="CH1440">
        <v>2011</v>
      </c>
    </row>
    <row r="1441" spans="1:86" hidden="1" x14ac:dyDescent="0.25">
      <c r="A1441">
        <v>330541</v>
      </c>
      <c r="B1441" t="s">
        <v>86</v>
      </c>
      <c r="D1441" t="s">
        <v>115</v>
      </c>
      <c r="K1441" t="s">
        <v>1176</v>
      </c>
      <c r="L1441" t="s">
        <v>1177</v>
      </c>
      <c r="M1441" t="s">
        <v>1100</v>
      </c>
      <c r="V1441" t="s">
        <v>168</v>
      </c>
      <c r="W1441" t="s">
        <v>92</v>
      </c>
      <c r="X1441" t="s">
        <v>93</v>
      </c>
      <c r="Y1441">
        <v>3</v>
      </c>
      <c r="Z1441" t="s">
        <v>137</v>
      </c>
      <c r="AB1441">
        <v>30</v>
      </c>
      <c r="AG1441" t="s">
        <v>95</v>
      </c>
      <c r="AX1441" t="s">
        <v>282</v>
      </c>
      <c r="AY1441" t="s">
        <v>1210</v>
      </c>
      <c r="AZ1441" t="s">
        <v>586</v>
      </c>
      <c r="BA1441" t="s">
        <v>1211</v>
      </c>
      <c r="BC1441">
        <v>4</v>
      </c>
      <c r="BH1441" t="s">
        <v>99</v>
      </c>
      <c r="BO1441" t="s">
        <v>111</v>
      </c>
      <c r="CD1441" t="s">
        <v>1179</v>
      </c>
      <c r="CE1441">
        <v>160633</v>
      </c>
      <c r="CF1441" t="s">
        <v>1180</v>
      </c>
      <c r="CG1441" t="s">
        <v>1181</v>
      </c>
      <c r="CH1441">
        <v>2011</v>
      </c>
    </row>
    <row r="1442" spans="1:86" hidden="1" x14ac:dyDescent="0.25">
      <c r="A1442">
        <v>330541</v>
      </c>
      <c r="B1442" t="s">
        <v>86</v>
      </c>
      <c r="D1442" t="s">
        <v>115</v>
      </c>
      <c r="K1442" t="s">
        <v>1176</v>
      </c>
      <c r="L1442" t="s">
        <v>1177</v>
      </c>
      <c r="M1442" t="s">
        <v>1100</v>
      </c>
      <c r="V1442" t="s">
        <v>168</v>
      </c>
      <c r="W1442" t="s">
        <v>92</v>
      </c>
      <c r="X1442" t="s">
        <v>93</v>
      </c>
      <c r="Y1442">
        <v>3</v>
      </c>
      <c r="Z1442" t="s">
        <v>137</v>
      </c>
      <c r="AB1442">
        <v>30</v>
      </c>
      <c r="AG1442" t="s">
        <v>95</v>
      </c>
      <c r="AX1442" t="s">
        <v>144</v>
      </c>
      <c r="AY1442" t="s">
        <v>503</v>
      </c>
      <c r="AZ1442" t="s">
        <v>586</v>
      </c>
      <c r="BA1442" t="s">
        <v>1156</v>
      </c>
      <c r="BC1442">
        <v>4</v>
      </c>
      <c r="BH1442" t="s">
        <v>99</v>
      </c>
      <c r="BO1442" t="s">
        <v>111</v>
      </c>
      <c r="CD1442" t="s">
        <v>1179</v>
      </c>
      <c r="CE1442">
        <v>160633</v>
      </c>
      <c r="CF1442" t="s">
        <v>1180</v>
      </c>
      <c r="CG1442" t="s">
        <v>1181</v>
      </c>
      <c r="CH1442">
        <v>2011</v>
      </c>
    </row>
    <row r="1443" spans="1:86" hidden="1" x14ac:dyDescent="0.25">
      <c r="A1443">
        <v>330541</v>
      </c>
      <c r="B1443" t="s">
        <v>86</v>
      </c>
      <c r="C1443" t="s">
        <v>158</v>
      </c>
      <c r="D1443" t="s">
        <v>87</v>
      </c>
      <c r="K1443" t="s">
        <v>1135</v>
      </c>
      <c r="L1443" t="s">
        <v>1136</v>
      </c>
      <c r="M1443" t="s">
        <v>1100</v>
      </c>
      <c r="N1443" t="s">
        <v>1144</v>
      </c>
      <c r="P1443">
        <v>180</v>
      </c>
      <c r="U1443" t="s">
        <v>920</v>
      </c>
      <c r="V1443" t="s">
        <v>507</v>
      </c>
      <c r="W1443" t="s">
        <v>92</v>
      </c>
      <c r="X1443" t="s">
        <v>93</v>
      </c>
      <c r="Y1443">
        <v>2</v>
      </c>
      <c r="Z1443" t="s">
        <v>94</v>
      </c>
      <c r="AB1443">
        <v>2.1064E-4</v>
      </c>
      <c r="AG1443" t="s">
        <v>95</v>
      </c>
      <c r="AX1443" t="s">
        <v>912</v>
      </c>
      <c r="AY1443" t="s">
        <v>1212</v>
      </c>
      <c r="AZ1443" t="s">
        <v>586</v>
      </c>
      <c r="BC1443">
        <v>25</v>
      </c>
      <c r="BH1443" t="s">
        <v>99</v>
      </c>
      <c r="BO1443" t="s">
        <v>111</v>
      </c>
      <c r="CD1443" t="s">
        <v>1150</v>
      </c>
      <c r="CE1443">
        <v>177268</v>
      </c>
      <c r="CF1443" t="s">
        <v>1151</v>
      </c>
      <c r="CG1443" t="s">
        <v>1152</v>
      </c>
      <c r="CH1443">
        <v>2015</v>
      </c>
    </row>
    <row r="1444" spans="1:86" hidden="1" x14ac:dyDescent="0.25">
      <c r="A1444">
        <v>330541</v>
      </c>
      <c r="B1444" t="s">
        <v>86</v>
      </c>
      <c r="C1444" t="s">
        <v>158</v>
      </c>
      <c r="D1444" t="s">
        <v>87</v>
      </c>
      <c r="K1444" t="s">
        <v>1135</v>
      </c>
      <c r="L1444" t="s">
        <v>1136</v>
      </c>
      <c r="M1444" t="s">
        <v>1100</v>
      </c>
      <c r="N1444" t="s">
        <v>1144</v>
      </c>
      <c r="P1444">
        <v>180</v>
      </c>
      <c r="U1444" t="s">
        <v>920</v>
      </c>
      <c r="V1444" t="s">
        <v>507</v>
      </c>
      <c r="W1444" t="s">
        <v>92</v>
      </c>
      <c r="X1444" t="s">
        <v>93</v>
      </c>
      <c r="Y1444">
        <v>2</v>
      </c>
      <c r="Z1444" t="s">
        <v>94</v>
      </c>
      <c r="AB1444">
        <v>2.1064E-4</v>
      </c>
      <c r="AG1444" t="s">
        <v>95</v>
      </c>
      <c r="AX1444" t="s">
        <v>966</v>
      </c>
      <c r="AY1444" t="s">
        <v>1186</v>
      </c>
      <c r="AZ1444" t="s">
        <v>586</v>
      </c>
      <c r="BA1444" t="s">
        <v>1187</v>
      </c>
      <c r="BC1444">
        <v>25</v>
      </c>
      <c r="BH1444" t="s">
        <v>99</v>
      </c>
      <c r="BO1444" t="s">
        <v>111</v>
      </c>
      <c r="CD1444" t="s">
        <v>1150</v>
      </c>
      <c r="CE1444">
        <v>177268</v>
      </c>
      <c r="CF1444" t="s">
        <v>1151</v>
      </c>
      <c r="CG1444" t="s">
        <v>1152</v>
      </c>
      <c r="CH1444">
        <v>2015</v>
      </c>
    </row>
    <row r="1445" spans="1:86" hidden="1" x14ac:dyDescent="0.25">
      <c r="A1445">
        <v>330541</v>
      </c>
      <c r="B1445" t="s">
        <v>86</v>
      </c>
      <c r="C1445" t="s">
        <v>158</v>
      </c>
      <c r="D1445" t="s">
        <v>87</v>
      </c>
      <c r="K1445" t="s">
        <v>1135</v>
      </c>
      <c r="L1445" t="s">
        <v>1136</v>
      </c>
      <c r="M1445" t="s">
        <v>1100</v>
      </c>
      <c r="N1445" t="s">
        <v>1144</v>
      </c>
      <c r="P1445">
        <v>180</v>
      </c>
      <c r="U1445" t="s">
        <v>920</v>
      </c>
      <c r="V1445" t="s">
        <v>507</v>
      </c>
      <c r="W1445" t="s">
        <v>92</v>
      </c>
      <c r="X1445" t="s">
        <v>93</v>
      </c>
      <c r="Y1445">
        <v>2</v>
      </c>
      <c r="Z1445" t="s">
        <v>94</v>
      </c>
      <c r="AB1445">
        <v>2.1064E-4</v>
      </c>
      <c r="AG1445" t="s">
        <v>95</v>
      </c>
      <c r="AX1445" t="s">
        <v>602</v>
      </c>
      <c r="AY1445" t="s">
        <v>1213</v>
      </c>
      <c r="AZ1445" t="s">
        <v>586</v>
      </c>
      <c r="BC1445">
        <v>25</v>
      </c>
      <c r="BH1445" t="s">
        <v>99</v>
      </c>
      <c r="BO1445" t="s">
        <v>111</v>
      </c>
      <c r="CD1445" t="s">
        <v>1150</v>
      </c>
      <c r="CE1445">
        <v>177268</v>
      </c>
      <c r="CF1445" t="s">
        <v>1151</v>
      </c>
      <c r="CG1445" t="s">
        <v>1152</v>
      </c>
      <c r="CH1445">
        <v>2015</v>
      </c>
    </row>
    <row r="1446" spans="1:86" hidden="1" x14ac:dyDescent="0.25">
      <c r="A1446">
        <v>330541</v>
      </c>
      <c r="B1446" t="s">
        <v>86</v>
      </c>
      <c r="C1446" t="s">
        <v>158</v>
      </c>
      <c r="D1446" t="s">
        <v>87</v>
      </c>
      <c r="K1446" t="s">
        <v>1135</v>
      </c>
      <c r="L1446" t="s">
        <v>1136</v>
      </c>
      <c r="M1446" t="s">
        <v>1100</v>
      </c>
      <c r="N1446" t="s">
        <v>1144</v>
      </c>
      <c r="P1446">
        <v>180</v>
      </c>
      <c r="U1446" t="s">
        <v>920</v>
      </c>
      <c r="V1446" t="s">
        <v>507</v>
      </c>
      <c r="W1446" t="s">
        <v>92</v>
      </c>
      <c r="X1446" t="s">
        <v>93</v>
      </c>
      <c r="Y1446">
        <v>2</v>
      </c>
      <c r="Z1446" t="s">
        <v>94</v>
      </c>
      <c r="AB1446">
        <v>2.1064E-4</v>
      </c>
      <c r="AG1446" t="s">
        <v>95</v>
      </c>
      <c r="AX1446" t="s">
        <v>938</v>
      </c>
      <c r="AY1446" t="s">
        <v>1214</v>
      </c>
      <c r="AZ1446" t="s">
        <v>586</v>
      </c>
      <c r="BA1446" t="s">
        <v>1149</v>
      </c>
      <c r="BC1446">
        <v>25</v>
      </c>
      <c r="BH1446" t="s">
        <v>99</v>
      </c>
      <c r="BO1446" t="s">
        <v>111</v>
      </c>
      <c r="CD1446" t="s">
        <v>1150</v>
      </c>
      <c r="CE1446">
        <v>177268</v>
      </c>
      <c r="CF1446" t="s">
        <v>1151</v>
      </c>
      <c r="CG1446" t="s">
        <v>1152</v>
      </c>
      <c r="CH1446">
        <v>2015</v>
      </c>
    </row>
    <row r="1447" spans="1:86" hidden="1" x14ac:dyDescent="0.25">
      <c r="A1447">
        <v>330541</v>
      </c>
      <c r="B1447" t="s">
        <v>86</v>
      </c>
      <c r="C1447" t="s">
        <v>158</v>
      </c>
      <c r="D1447" t="s">
        <v>87</v>
      </c>
      <c r="K1447" t="s">
        <v>1135</v>
      </c>
      <c r="L1447" t="s">
        <v>1136</v>
      </c>
      <c r="M1447" t="s">
        <v>1100</v>
      </c>
      <c r="N1447" t="s">
        <v>1144</v>
      </c>
      <c r="P1447">
        <v>180</v>
      </c>
      <c r="U1447" t="s">
        <v>920</v>
      </c>
      <c r="V1447" t="s">
        <v>507</v>
      </c>
      <c r="W1447" t="s">
        <v>92</v>
      </c>
      <c r="X1447" t="s">
        <v>93</v>
      </c>
      <c r="Y1447">
        <v>2</v>
      </c>
      <c r="Z1447" t="s">
        <v>94</v>
      </c>
      <c r="AB1447">
        <v>2.1064E-4</v>
      </c>
      <c r="AG1447" t="s">
        <v>95</v>
      </c>
      <c r="AX1447" t="s">
        <v>602</v>
      </c>
      <c r="AY1447" t="s">
        <v>1215</v>
      </c>
      <c r="AZ1447" t="s">
        <v>586</v>
      </c>
      <c r="BC1447">
        <v>25</v>
      </c>
      <c r="BH1447" t="s">
        <v>99</v>
      </c>
      <c r="BO1447" t="s">
        <v>111</v>
      </c>
      <c r="CD1447" t="s">
        <v>1150</v>
      </c>
      <c r="CE1447">
        <v>177268</v>
      </c>
      <c r="CF1447" t="s">
        <v>1151</v>
      </c>
      <c r="CG1447" t="s">
        <v>1152</v>
      </c>
      <c r="CH1447">
        <v>2015</v>
      </c>
    </row>
    <row r="1448" spans="1:86" hidden="1" x14ac:dyDescent="0.25">
      <c r="A1448">
        <v>330541</v>
      </c>
      <c r="B1448" t="s">
        <v>86</v>
      </c>
      <c r="C1448" t="s">
        <v>158</v>
      </c>
      <c r="D1448" t="s">
        <v>87</v>
      </c>
      <c r="K1448" t="s">
        <v>1135</v>
      </c>
      <c r="L1448" t="s">
        <v>1136</v>
      </c>
      <c r="M1448" t="s">
        <v>1100</v>
      </c>
      <c r="N1448" t="s">
        <v>1144</v>
      </c>
      <c r="P1448">
        <v>180</v>
      </c>
      <c r="U1448" t="s">
        <v>920</v>
      </c>
      <c r="V1448" t="s">
        <v>507</v>
      </c>
      <c r="W1448" t="s">
        <v>92</v>
      </c>
      <c r="X1448" t="s">
        <v>93</v>
      </c>
      <c r="Y1448">
        <v>2</v>
      </c>
      <c r="Z1448" t="s">
        <v>94</v>
      </c>
      <c r="AB1448">
        <v>2.1064E-4</v>
      </c>
      <c r="AG1448" t="s">
        <v>95</v>
      </c>
      <c r="AX1448" t="s">
        <v>966</v>
      </c>
      <c r="AY1448" t="s">
        <v>1216</v>
      </c>
      <c r="AZ1448" t="s">
        <v>586</v>
      </c>
      <c r="BA1448" t="s">
        <v>1217</v>
      </c>
      <c r="BC1448">
        <v>25</v>
      </c>
      <c r="BH1448" t="s">
        <v>99</v>
      </c>
      <c r="BO1448" t="s">
        <v>111</v>
      </c>
      <c r="CD1448" t="s">
        <v>1150</v>
      </c>
      <c r="CE1448">
        <v>177268</v>
      </c>
      <c r="CF1448" t="s">
        <v>1151</v>
      </c>
      <c r="CG1448" t="s">
        <v>1152</v>
      </c>
      <c r="CH1448">
        <v>2015</v>
      </c>
    </row>
    <row r="1449" spans="1:86" hidden="1" x14ac:dyDescent="0.25">
      <c r="A1449">
        <v>330541</v>
      </c>
      <c r="B1449" t="s">
        <v>86</v>
      </c>
      <c r="C1449" t="s">
        <v>158</v>
      </c>
      <c r="D1449" t="s">
        <v>87</v>
      </c>
      <c r="K1449" t="s">
        <v>1135</v>
      </c>
      <c r="L1449" t="s">
        <v>1136</v>
      </c>
      <c r="M1449" t="s">
        <v>1100</v>
      </c>
      <c r="N1449" t="s">
        <v>1144</v>
      </c>
      <c r="P1449">
        <v>180</v>
      </c>
      <c r="U1449" t="s">
        <v>920</v>
      </c>
      <c r="V1449" t="s">
        <v>507</v>
      </c>
      <c r="W1449" t="s">
        <v>92</v>
      </c>
      <c r="X1449" t="s">
        <v>93</v>
      </c>
      <c r="Y1449">
        <v>2</v>
      </c>
      <c r="Z1449" t="s">
        <v>94</v>
      </c>
      <c r="AB1449">
        <v>2.1064E-4</v>
      </c>
      <c r="AG1449" t="s">
        <v>95</v>
      </c>
      <c r="AX1449" t="s">
        <v>602</v>
      </c>
      <c r="AY1449" t="s">
        <v>1215</v>
      </c>
      <c r="AZ1449" t="s">
        <v>586</v>
      </c>
      <c r="BC1449">
        <v>25</v>
      </c>
      <c r="BH1449" t="s">
        <v>99</v>
      </c>
      <c r="BO1449" t="s">
        <v>111</v>
      </c>
      <c r="CD1449" t="s">
        <v>1150</v>
      </c>
      <c r="CE1449">
        <v>177268</v>
      </c>
      <c r="CF1449" t="s">
        <v>1151</v>
      </c>
      <c r="CG1449" t="s">
        <v>1152</v>
      </c>
      <c r="CH1449">
        <v>2015</v>
      </c>
    </row>
    <row r="1450" spans="1:86" hidden="1" x14ac:dyDescent="0.25">
      <c r="A1450">
        <v>330541</v>
      </c>
      <c r="B1450" t="s">
        <v>86</v>
      </c>
      <c r="C1450" t="s">
        <v>158</v>
      </c>
      <c r="D1450" t="s">
        <v>87</v>
      </c>
      <c r="K1450" t="s">
        <v>1135</v>
      </c>
      <c r="L1450" t="s">
        <v>1136</v>
      </c>
      <c r="M1450" t="s">
        <v>1100</v>
      </c>
      <c r="N1450" t="s">
        <v>1144</v>
      </c>
      <c r="P1450">
        <v>180</v>
      </c>
      <c r="U1450" t="s">
        <v>920</v>
      </c>
      <c r="V1450" t="s">
        <v>507</v>
      </c>
      <c r="W1450" t="s">
        <v>92</v>
      </c>
      <c r="X1450" t="s">
        <v>93</v>
      </c>
      <c r="Y1450">
        <v>2</v>
      </c>
      <c r="Z1450" t="s">
        <v>94</v>
      </c>
      <c r="AB1450">
        <v>2.1064E-4</v>
      </c>
      <c r="AG1450" t="s">
        <v>95</v>
      </c>
      <c r="AX1450" t="s">
        <v>602</v>
      </c>
      <c r="AY1450" t="s">
        <v>1218</v>
      </c>
      <c r="AZ1450" t="s">
        <v>586</v>
      </c>
      <c r="BC1450">
        <v>25</v>
      </c>
      <c r="BH1450" t="s">
        <v>99</v>
      </c>
      <c r="BO1450" t="s">
        <v>111</v>
      </c>
      <c r="CD1450" t="s">
        <v>1150</v>
      </c>
      <c r="CE1450">
        <v>177268</v>
      </c>
      <c r="CF1450" t="s">
        <v>1151</v>
      </c>
      <c r="CG1450" t="s">
        <v>1152</v>
      </c>
      <c r="CH1450">
        <v>2015</v>
      </c>
    </row>
    <row r="1451" spans="1:86" hidden="1" x14ac:dyDescent="0.25">
      <c r="A1451">
        <v>330541</v>
      </c>
      <c r="B1451" t="s">
        <v>86</v>
      </c>
      <c r="C1451" t="s">
        <v>158</v>
      </c>
      <c r="D1451" t="s">
        <v>87</v>
      </c>
      <c r="K1451" t="s">
        <v>1135</v>
      </c>
      <c r="L1451" t="s">
        <v>1136</v>
      </c>
      <c r="M1451" t="s">
        <v>1100</v>
      </c>
      <c r="N1451" t="s">
        <v>1144</v>
      </c>
      <c r="P1451">
        <v>180</v>
      </c>
      <c r="U1451" t="s">
        <v>920</v>
      </c>
      <c r="V1451" t="s">
        <v>507</v>
      </c>
      <c r="W1451" t="s">
        <v>92</v>
      </c>
      <c r="X1451" t="s">
        <v>93</v>
      </c>
      <c r="Y1451">
        <v>2</v>
      </c>
      <c r="Z1451" t="s">
        <v>94</v>
      </c>
      <c r="AB1451">
        <v>2.1064E-4</v>
      </c>
      <c r="AG1451" t="s">
        <v>95</v>
      </c>
      <c r="AX1451" t="s">
        <v>602</v>
      </c>
      <c r="AY1451" t="s">
        <v>1213</v>
      </c>
      <c r="AZ1451" t="s">
        <v>586</v>
      </c>
      <c r="BC1451">
        <v>25</v>
      </c>
      <c r="BH1451" t="s">
        <v>99</v>
      </c>
      <c r="BO1451" t="s">
        <v>111</v>
      </c>
      <c r="CD1451" t="s">
        <v>1150</v>
      </c>
      <c r="CE1451">
        <v>177268</v>
      </c>
      <c r="CF1451" t="s">
        <v>1151</v>
      </c>
      <c r="CG1451" t="s">
        <v>1152</v>
      </c>
      <c r="CH1451">
        <v>2015</v>
      </c>
    </row>
    <row r="1452" spans="1:86" hidden="1" x14ac:dyDescent="0.25">
      <c r="A1452">
        <v>330541</v>
      </c>
      <c r="B1452" t="s">
        <v>86</v>
      </c>
      <c r="C1452" t="s">
        <v>158</v>
      </c>
      <c r="D1452" t="s">
        <v>87</v>
      </c>
      <c r="K1452" t="s">
        <v>1135</v>
      </c>
      <c r="L1452" t="s">
        <v>1136</v>
      </c>
      <c r="M1452" t="s">
        <v>1100</v>
      </c>
      <c r="N1452" t="s">
        <v>1144</v>
      </c>
      <c r="P1452">
        <v>180</v>
      </c>
      <c r="U1452" t="s">
        <v>920</v>
      </c>
      <c r="V1452" t="s">
        <v>507</v>
      </c>
      <c r="W1452" t="s">
        <v>92</v>
      </c>
      <c r="X1452" t="s">
        <v>93</v>
      </c>
      <c r="Y1452">
        <v>2</v>
      </c>
      <c r="Z1452" t="s">
        <v>94</v>
      </c>
      <c r="AB1452">
        <v>2.1064E-4</v>
      </c>
      <c r="AG1452" t="s">
        <v>95</v>
      </c>
      <c r="AX1452" t="s">
        <v>602</v>
      </c>
      <c r="AY1452" t="s">
        <v>1218</v>
      </c>
      <c r="AZ1452" t="s">
        <v>586</v>
      </c>
      <c r="BC1452">
        <v>25</v>
      </c>
      <c r="BH1452" t="s">
        <v>99</v>
      </c>
      <c r="BO1452" t="s">
        <v>111</v>
      </c>
      <c r="CD1452" t="s">
        <v>1150</v>
      </c>
      <c r="CE1452">
        <v>177268</v>
      </c>
      <c r="CF1452" t="s">
        <v>1151</v>
      </c>
      <c r="CG1452" t="s">
        <v>1152</v>
      </c>
      <c r="CH1452">
        <v>2015</v>
      </c>
    </row>
    <row r="1453" spans="1:86" hidden="1" x14ac:dyDescent="0.25">
      <c r="A1453">
        <v>330541</v>
      </c>
      <c r="B1453" t="s">
        <v>86</v>
      </c>
      <c r="C1453" t="s">
        <v>158</v>
      </c>
      <c r="D1453" t="s">
        <v>87</v>
      </c>
      <c r="K1453" t="s">
        <v>1135</v>
      </c>
      <c r="L1453" t="s">
        <v>1136</v>
      </c>
      <c r="M1453" t="s">
        <v>1100</v>
      </c>
      <c r="N1453" t="s">
        <v>1144</v>
      </c>
      <c r="W1453" t="s">
        <v>92</v>
      </c>
      <c r="X1453" t="s">
        <v>93</v>
      </c>
      <c r="Y1453">
        <v>2</v>
      </c>
      <c r="Z1453" t="s">
        <v>94</v>
      </c>
      <c r="AB1453">
        <v>6.7899999999999997E-5</v>
      </c>
      <c r="AG1453" t="s">
        <v>95</v>
      </c>
      <c r="AX1453" t="s">
        <v>602</v>
      </c>
      <c r="AY1453" t="s">
        <v>1219</v>
      </c>
      <c r="AZ1453" t="s">
        <v>586</v>
      </c>
      <c r="BC1453">
        <v>25</v>
      </c>
      <c r="BH1453" t="s">
        <v>99</v>
      </c>
      <c r="BO1453" t="s">
        <v>111</v>
      </c>
      <c r="CD1453" t="s">
        <v>1146</v>
      </c>
      <c r="CE1453">
        <v>176040</v>
      </c>
      <c r="CF1453" t="s">
        <v>1147</v>
      </c>
      <c r="CG1453" t="s">
        <v>1148</v>
      </c>
      <c r="CH1453">
        <v>2016</v>
      </c>
    </row>
    <row r="1454" spans="1:86" hidden="1" x14ac:dyDescent="0.25">
      <c r="A1454">
        <v>330541</v>
      </c>
      <c r="B1454" t="s">
        <v>86</v>
      </c>
      <c r="C1454" t="s">
        <v>183</v>
      </c>
      <c r="D1454" t="s">
        <v>115</v>
      </c>
      <c r="F1454">
        <v>98</v>
      </c>
      <c r="K1454" t="s">
        <v>1108</v>
      </c>
      <c r="L1454" t="s">
        <v>1109</v>
      </c>
      <c r="M1454" t="s">
        <v>1100</v>
      </c>
      <c r="N1454" t="s">
        <v>1110</v>
      </c>
      <c r="O1454" t="s">
        <v>499</v>
      </c>
      <c r="P1454">
        <v>72</v>
      </c>
      <c r="U1454" t="s">
        <v>1111</v>
      </c>
      <c r="V1454" t="s">
        <v>507</v>
      </c>
      <c r="W1454" t="s">
        <v>107</v>
      </c>
      <c r="X1454" t="s">
        <v>93</v>
      </c>
      <c r="Y1454">
        <v>8</v>
      </c>
      <c r="Z1454" t="s">
        <v>94</v>
      </c>
      <c r="AB1454">
        <v>40</v>
      </c>
      <c r="AG1454" t="s">
        <v>95</v>
      </c>
      <c r="AX1454" t="s">
        <v>523</v>
      </c>
      <c r="AY1454" t="s">
        <v>523</v>
      </c>
      <c r="AZ1454" t="s">
        <v>626</v>
      </c>
      <c r="BC1454">
        <v>6</v>
      </c>
      <c r="BH1454" t="s">
        <v>99</v>
      </c>
      <c r="BO1454" t="s">
        <v>111</v>
      </c>
      <c r="CD1454" t="s">
        <v>1112</v>
      </c>
      <c r="CE1454">
        <v>160499</v>
      </c>
      <c r="CF1454" t="s">
        <v>1113</v>
      </c>
      <c r="CG1454" t="s">
        <v>1114</v>
      </c>
      <c r="CH1454">
        <v>2012</v>
      </c>
    </row>
    <row r="1455" spans="1:86" hidden="1" x14ac:dyDescent="0.25">
      <c r="A1455">
        <v>330541</v>
      </c>
      <c r="B1455" t="s">
        <v>86</v>
      </c>
      <c r="D1455" t="s">
        <v>115</v>
      </c>
      <c r="F1455">
        <v>80</v>
      </c>
      <c r="K1455" t="s">
        <v>1220</v>
      </c>
      <c r="L1455" t="s">
        <v>1221</v>
      </c>
      <c r="M1455" t="s">
        <v>1100</v>
      </c>
      <c r="N1455" t="s">
        <v>1103</v>
      </c>
      <c r="V1455" t="s">
        <v>91</v>
      </c>
      <c r="W1455" t="s">
        <v>92</v>
      </c>
      <c r="X1455" t="s">
        <v>93</v>
      </c>
      <c r="Z1455" t="s">
        <v>137</v>
      </c>
      <c r="AB1455">
        <v>100</v>
      </c>
      <c r="AG1455" t="s">
        <v>95</v>
      </c>
      <c r="AX1455" t="s">
        <v>523</v>
      </c>
      <c r="AY1455" t="s">
        <v>523</v>
      </c>
      <c r="AZ1455" t="s">
        <v>626</v>
      </c>
      <c r="BC1455">
        <v>1.38E-2</v>
      </c>
      <c r="BH1455" t="s">
        <v>99</v>
      </c>
      <c r="BO1455" t="s">
        <v>111</v>
      </c>
      <c r="CD1455" t="s">
        <v>1222</v>
      </c>
      <c r="CE1455">
        <v>5636</v>
      </c>
      <c r="CF1455" t="s">
        <v>1223</v>
      </c>
      <c r="CG1455" t="s">
        <v>1224</v>
      </c>
      <c r="CH1455">
        <v>1978</v>
      </c>
    </row>
    <row r="1456" spans="1:86" hidden="1" x14ac:dyDescent="0.25">
      <c r="A1456">
        <v>330541</v>
      </c>
      <c r="B1456" t="s">
        <v>86</v>
      </c>
      <c r="D1456" t="s">
        <v>115</v>
      </c>
      <c r="K1456" t="s">
        <v>1133</v>
      </c>
      <c r="L1456" t="s">
        <v>1134</v>
      </c>
      <c r="M1456" t="s">
        <v>1100</v>
      </c>
      <c r="N1456" t="s">
        <v>1225</v>
      </c>
      <c r="W1456" t="s">
        <v>92</v>
      </c>
      <c r="X1456" t="s">
        <v>93</v>
      </c>
      <c r="Z1456" t="s">
        <v>137</v>
      </c>
      <c r="AB1456">
        <v>16</v>
      </c>
      <c r="AG1456" t="s">
        <v>95</v>
      </c>
      <c r="AX1456" t="s">
        <v>523</v>
      </c>
      <c r="AY1456" t="s">
        <v>523</v>
      </c>
      <c r="AZ1456" t="s">
        <v>626</v>
      </c>
      <c r="BE1456">
        <v>3</v>
      </c>
      <c r="BG1456">
        <v>4</v>
      </c>
      <c r="BH1456" t="s">
        <v>99</v>
      </c>
      <c r="BO1456" t="s">
        <v>111</v>
      </c>
      <c r="CD1456" t="s">
        <v>1226</v>
      </c>
      <c r="CE1456">
        <v>6499</v>
      </c>
      <c r="CF1456" t="s">
        <v>1227</v>
      </c>
      <c r="CG1456" t="s">
        <v>1228</v>
      </c>
      <c r="CH1456">
        <v>1976</v>
      </c>
    </row>
    <row r="1457" spans="1:86" hidden="1" x14ac:dyDescent="0.25">
      <c r="A1457">
        <v>330541</v>
      </c>
      <c r="B1457" t="s">
        <v>86</v>
      </c>
      <c r="C1457" t="s">
        <v>158</v>
      </c>
      <c r="D1457" t="s">
        <v>87</v>
      </c>
      <c r="K1457" t="s">
        <v>1135</v>
      </c>
      <c r="L1457" t="s">
        <v>1136</v>
      </c>
      <c r="M1457" t="s">
        <v>1100</v>
      </c>
      <c r="N1457" t="s">
        <v>1144</v>
      </c>
      <c r="P1457">
        <v>180</v>
      </c>
      <c r="U1457" t="s">
        <v>920</v>
      </c>
      <c r="V1457" t="s">
        <v>507</v>
      </c>
      <c r="W1457" t="s">
        <v>92</v>
      </c>
      <c r="X1457" t="s">
        <v>93</v>
      </c>
      <c r="Y1457">
        <v>2</v>
      </c>
      <c r="Z1457" t="s">
        <v>94</v>
      </c>
      <c r="AB1457">
        <v>2.1064E-4</v>
      </c>
      <c r="AG1457" t="s">
        <v>95</v>
      </c>
      <c r="AX1457" t="s">
        <v>523</v>
      </c>
      <c r="AY1457" t="s">
        <v>523</v>
      </c>
      <c r="AZ1457" t="s">
        <v>1094</v>
      </c>
      <c r="BC1457">
        <v>25</v>
      </c>
      <c r="BH1457" t="s">
        <v>99</v>
      </c>
      <c r="BO1457" t="s">
        <v>111</v>
      </c>
      <c r="CD1457" t="s">
        <v>1150</v>
      </c>
      <c r="CE1457">
        <v>177268</v>
      </c>
      <c r="CF1457" t="s">
        <v>1151</v>
      </c>
      <c r="CG1457" t="s">
        <v>1152</v>
      </c>
      <c r="CH1457">
        <v>2015</v>
      </c>
    </row>
    <row r="1458" spans="1:86" hidden="1" x14ac:dyDescent="0.25">
      <c r="A1458">
        <v>330541</v>
      </c>
      <c r="B1458" t="s">
        <v>86</v>
      </c>
      <c r="C1458" t="s">
        <v>183</v>
      </c>
      <c r="D1458" t="s">
        <v>115</v>
      </c>
      <c r="K1458" t="s">
        <v>1098</v>
      </c>
      <c r="L1458" t="s">
        <v>1099</v>
      </c>
      <c r="M1458" t="s">
        <v>1100</v>
      </c>
      <c r="V1458" t="s">
        <v>91</v>
      </c>
      <c r="W1458" t="s">
        <v>92</v>
      </c>
      <c r="X1458" t="s">
        <v>93</v>
      </c>
      <c r="Z1458" t="s">
        <v>94</v>
      </c>
      <c r="AB1458">
        <v>10</v>
      </c>
      <c r="AG1458" t="s">
        <v>95</v>
      </c>
      <c r="AX1458" t="s">
        <v>523</v>
      </c>
      <c r="AY1458" t="s">
        <v>523</v>
      </c>
      <c r="AZ1458" t="s">
        <v>1094</v>
      </c>
      <c r="BC1458">
        <v>1</v>
      </c>
      <c r="BH1458" t="s">
        <v>99</v>
      </c>
      <c r="BO1458" t="s">
        <v>111</v>
      </c>
      <c r="CD1458" t="s">
        <v>1139</v>
      </c>
      <c r="CE1458">
        <v>60691</v>
      </c>
      <c r="CF1458" t="s">
        <v>1140</v>
      </c>
      <c r="CG1458" t="s">
        <v>1141</v>
      </c>
      <c r="CH1458">
        <v>1976</v>
      </c>
    </row>
    <row r="1459" spans="1:86" hidden="1" x14ac:dyDescent="0.25">
      <c r="A1459">
        <v>330541</v>
      </c>
      <c r="B1459" t="s">
        <v>86</v>
      </c>
      <c r="D1459" t="s">
        <v>87</v>
      </c>
      <c r="E1459" t="s">
        <v>106</v>
      </c>
      <c r="F1459">
        <v>98</v>
      </c>
      <c r="K1459" t="s">
        <v>1135</v>
      </c>
      <c r="L1459" t="s">
        <v>1136</v>
      </c>
      <c r="M1459" t="s">
        <v>1100</v>
      </c>
      <c r="V1459" t="s">
        <v>507</v>
      </c>
      <c r="W1459" t="s">
        <v>92</v>
      </c>
      <c r="X1459" t="s">
        <v>93</v>
      </c>
      <c r="Y1459">
        <v>3</v>
      </c>
      <c r="Z1459" t="s">
        <v>94</v>
      </c>
      <c r="AB1459">
        <v>2.8401000000000001E-4</v>
      </c>
      <c r="AG1459" t="s">
        <v>95</v>
      </c>
      <c r="AX1459" t="s">
        <v>523</v>
      </c>
      <c r="AY1459" t="s">
        <v>523</v>
      </c>
      <c r="AZ1459" t="s">
        <v>1094</v>
      </c>
      <c r="BC1459">
        <v>7</v>
      </c>
      <c r="BH1459" t="s">
        <v>99</v>
      </c>
      <c r="BO1459" t="s">
        <v>111</v>
      </c>
      <c r="CD1459" t="s">
        <v>1170</v>
      </c>
      <c r="CE1459">
        <v>177275</v>
      </c>
      <c r="CF1459" t="s">
        <v>1171</v>
      </c>
      <c r="CG1459" t="s">
        <v>1172</v>
      </c>
      <c r="CH1459">
        <v>2018</v>
      </c>
    </row>
    <row r="1460" spans="1:86" hidden="1" x14ac:dyDescent="0.25">
      <c r="A1460">
        <v>330541</v>
      </c>
      <c r="B1460" t="s">
        <v>86</v>
      </c>
      <c r="C1460" t="s">
        <v>158</v>
      </c>
      <c r="D1460" t="s">
        <v>87</v>
      </c>
      <c r="K1460" t="s">
        <v>1135</v>
      </c>
      <c r="L1460" t="s">
        <v>1136</v>
      </c>
      <c r="M1460" t="s">
        <v>1100</v>
      </c>
      <c r="N1460" t="s">
        <v>1144</v>
      </c>
      <c r="W1460" t="s">
        <v>92</v>
      </c>
      <c r="X1460" t="s">
        <v>93</v>
      </c>
      <c r="Y1460">
        <v>2</v>
      </c>
      <c r="Z1460" t="s">
        <v>94</v>
      </c>
      <c r="AB1460">
        <v>6.7899999999999997E-5</v>
      </c>
      <c r="AG1460" t="s">
        <v>95</v>
      </c>
      <c r="AX1460" t="s">
        <v>523</v>
      </c>
      <c r="AY1460" t="s">
        <v>523</v>
      </c>
      <c r="AZ1460" t="s">
        <v>1094</v>
      </c>
      <c r="BC1460">
        <v>25</v>
      </c>
      <c r="BH1460" t="s">
        <v>99</v>
      </c>
      <c r="BO1460" t="s">
        <v>111</v>
      </c>
      <c r="CD1460" t="s">
        <v>1146</v>
      </c>
      <c r="CE1460">
        <v>176040</v>
      </c>
      <c r="CF1460" t="s">
        <v>1147</v>
      </c>
      <c r="CG1460" t="s">
        <v>1148</v>
      </c>
      <c r="CH1460">
        <v>2016</v>
      </c>
    </row>
    <row r="1461" spans="1:86" hidden="1" x14ac:dyDescent="0.25">
      <c r="A1461">
        <v>330541</v>
      </c>
      <c r="B1461" t="s">
        <v>86</v>
      </c>
      <c r="D1461" t="s">
        <v>87</v>
      </c>
      <c r="K1461" t="s">
        <v>1229</v>
      </c>
      <c r="L1461" t="s">
        <v>1230</v>
      </c>
      <c r="M1461" t="s">
        <v>1100</v>
      </c>
      <c r="V1461" t="s">
        <v>491</v>
      </c>
      <c r="W1461" t="s">
        <v>92</v>
      </c>
      <c r="X1461" t="s">
        <v>1231</v>
      </c>
      <c r="Z1461" t="s">
        <v>94</v>
      </c>
      <c r="AA1461" t="s">
        <v>499</v>
      </c>
      <c r="AB1461">
        <v>0.4</v>
      </c>
      <c r="AG1461" t="s">
        <v>95</v>
      </c>
      <c r="AX1461" t="s">
        <v>201</v>
      </c>
      <c r="AY1461" t="s">
        <v>1232</v>
      </c>
      <c r="BA1461" t="s">
        <v>956</v>
      </c>
      <c r="BC1461">
        <v>76.099999999999994</v>
      </c>
      <c r="BH1461" t="s">
        <v>99</v>
      </c>
      <c r="BO1461" t="s">
        <v>111</v>
      </c>
      <c r="CD1461" t="s">
        <v>1233</v>
      </c>
      <c r="CE1461">
        <v>9173</v>
      </c>
      <c r="CF1461" t="s">
        <v>1234</v>
      </c>
      <c r="CG1461" t="s">
        <v>1235</v>
      </c>
      <c r="CH1461">
        <v>1972</v>
      </c>
    </row>
    <row r="1462" spans="1:86" hidden="1" x14ac:dyDescent="0.25">
      <c r="A1462">
        <v>330541</v>
      </c>
      <c r="B1462" t="s">
        <v>86</v>
      </c>
      <c r="D1462" t="s">
        <v>115</v>
      </c>
      <c r="K1462" t="s">
        <v>1153</v>
      </c>
      <c r="L1462" t="s">
        <v>1154</v>
      </c>
      <c r="M1462" t="s">
        <v>1100</v>
      </c>
      <c r="V1462" t="s">
        <v>91</v>
      </c>
      <c r="W1462" t="s">
        <v>92</v>
      </c>
      <c r="X1462" t="s">
        <v>93</v>
      </c>
      <c r="Z1462" t="s">
        <v>137</v>
      </c>
      <c r="AB1462">
        <v>0.22</v>
      </c>
      <c r="AG1462" t="s">
        <v>95</v>
      </c>
      <c r="AX1462" t="s">
        <v>144</v>
      </c>
      <c r="AY1462" t="s">
        <v>661</v>
      </c>
      <c r="BE1462">
        <v>7</v>
      </c>
      <c r="BG1462">
        <v>90</v>
      </c>
      <c r="BH1462" t="s">
        <v>99</v>
      </c>
      <c r="BO1462" t="s">
        <v>111</v>
      </c>
      <c r="CD1462" t="s">
        <v>1236</v>
      </c>
      <c r="CE1462">
        <v>5786</v>
      </c>
      <c r="CF1462" t="s">
        <v>1237</v>
      </c>
      <c r="CG1462" t="s">
        <v>1238</v>
      </c>
      <c r="CH1462">
        <v>1992</v>
      </c>
    </row>
    <row r="1463" spans="1:86" hidden="1" x14ac:dyDescent="0.25">
      <c r="A1463">
        <v>330541</v>
      </c>
      <c r="B1463" t="s">
        <v>86</v>
      </c>
      <c r="D1463" t="s">
        <v>115</v>
      </c>
      <c r="K1463" t="s">
        <v>1098</v>
      </c>
      <c r="L1463" t="s">
        <v>1099</v>
      </c>
      <c r="M1463" t="s">
        <v>1100</v>
      </c>
      <c r="W1463" t="s">
        <v>92</v>
      </c>
      <c r="X1463" t="s">
        <v>93</v>
      </c>
      <c r="Z1463" t="s">
        <v>137</v>
      </c>
      <c r="AB1463">
        <v>10</v>
      </c>
      <c r="AG1463" t="s">
        <v>95</v>
      </c>
      <c r="AX1463" t="s">
        <v>523</v>
      </c>
      <c r="AY1463" t="s">
        <v>523</v>
      </c>
      <c r="BC1463">
        <v>1</v>
      </c>
      <c r="BH1463" t="s">
        <v>99</v>
      </c>
      <c r="BO1463" t="s">
        <v>111</v>
      </c>
      <c r="CD1463" t="s">
        <v>1239</v>
      </c>
      <c r="CE1463">
        <v>946</v>
      </c>
      <c r="CF1463" t="s">
        <v>1240</v>
      </c>
      <c r="CG1463" t="s">
        <v>1241</v>
      </c>
      <c r="CH1463">
        <v>1974</v>
      </c>
    </row>
    <row r="1464" spans="1:86" hidden="1" x14ac:dyDescent="0.25">
      <c r="A1464">
        <v>330541</v>
      </c>
      <c r="B1464" t="s">
        <v>86</v>
      </c>
      <c r="D1464" t="s">
        <v>115</v>
      </c>
      <c r="K1464" t="s">
        <v>1242</v>
      </c>
      <c r="L1464" t="s">
        <v>1243</v>
      </c>
      <c r="M1464" t="s">
        <v>1100</v>
      </c>
      <c r="W1464" t="s">
        <v>92</v>
      </c>
      <c r="X1464" t="s">
        <v>93</v>
      </c>
      <c r="Z1464" t="s">
        <v>137</v>
      </c>
      <c r="AB1464">
        <v>0.2</v>
      </c>
      <c r="AG1464" t="s">
        <v>95</v>
      </c>
      <c r="AX1464" t="s">
        <v>201</v>
      </c>
      <c r="AY1464" t="s">
        <v>1232</v>
      </c>
      <c r="BC1464">
        <v>3</v>
      </c>
      <c r="BH1464" t="s">
        <v>99</v>
      </c>
      <c r="BO1464" t="s">
        <v>111</v>
      </c>
      <c r="CD1464" t="s">
        <v>1233</v>
      </c>
      <c r="CE1464">
        <v>9670</v>
      </c>
      <c r="CF1464" t="s">
        <v>1244</v>
      </c>
      <c r="CG1464" t="s">
        <v>1245</v>
      </c>
      <c r="CH1464">
        <v>1970</v>
      </c>
    </row>
    <row r="1465" spans="1:86" hidden="1" x14ac:dyDescent="0.25">
      <c r="A1465">
        <v>330541</v>
      </c>
      <c r="B1465" t="s">
        <v>86</v>
      </c>
      <c r="D1465" t="s">
        <v>115</v>
      </c>
      <c r="K1465" t="s">
        <v>1242</v>
      </c>
      <c r="L1465" t="s">
        <v>1243</v>
      </c>
      <c r="M1465" t="s">
        <v>1100</v>
      </c>
      <c r="V1465" t="s">
        <v>168</v>
      </c>
      <c r="W1465" t="s">
        <v>92</v>
      </c>
      <c r="X1465" t="s">
        <v>93</v>
      </c>
      <c r="Z1465" t="s">
        <v>137</v>
      </c>
      <c r="AB1465">
        <v>0.2</v>
      </c>
      <c r="AG1465" t="s">
        <v>95</v>
      </c>
      <c r="AX1465" t="s">
        <v>523</v>
      </c>
      <c r="AY1465" t="s">
        <v>523</v>
      </c>
      <c r="BC1465">
        <v>75</v>
      </c>
      <c r="BH1465" t="s">
        <v>99</v>
      </c>
      <c r="BO1465" t="s">
        <v>111</v>
      </c>
      <c r="CD1465" t="s">
        <v>1233</v>
      </c>
      <c r="CE1465">
        <v>9670</v>
      </c>
      <c r="CF1465" t="s">
        <v>1244</v>
      </c>
      <c r="CG1465" t="s">
        <v>1245</v>
      </c>
      <c r="CH1465">
        <v>1970</v>
      </c>
    </row>
    <row r="1466" spans="1:86" hidden="1" x14ac:dyDescent="0.25">
      <c r="A1466">
        <v>330541</v>
      </c>
      <c r="B1466" t="s">
        <v>86</v>
      </c>
      <c r="D1466" t="s">
        <v>115</v>
      </c>
      <c r="F1466">
        <v>80</v>
      </c>
      <c r="K1466" t="s">
        <v>1246</v>
      </c>
      <c r="L1466" t="s">
        <v>1247</v>
      </c>
      <c r="M1466" t="s">
        <v>1100</v>
      </c>
      <c r="V1466" t="s">
        <v>491</v>
      </c>
      <c r="W1466" t="s">
        <v>92</v>
      </c>
      <c r="X1466" t="s">
        <v>1231</v>
      </c>
      <c r="Z1466" t="s">
        <v>137</v>
      </c>
      <c r="AB1466"/>
      <c r="AD1466">
        <v>2</v>
      </c>
      <c r="AF1466">
        <v>24</v>
      </c>
      <c r="AG1466" t="s">
        <v>674</v>
      </c>
      <c r="AX1466" t="s">
        <v>196</v>
      </c>
      <c r="AY1466" t="s">
        <v>197</v>
      </c>
      <c r="BE1466">
        <v>3</v>
      </c>
      <c r="BG1466">
        <v>75</v>
      </c>
      <c r="BH1466" t="s">
        <v>99</v>
      </c>
      <c r="BO1466" t="s">
        <v>111</v>
      </c>
      <c r="CD1466" t="s">
        <v>1233</v>
      </c>
      <c r="CE1466">
        <v>8175</v>
      </c>
      <c r="CF1466" t="s">
        <v>1248</v>
      </c>
      <c r="CG1466" t="s">
        <v>1249</v>
      </c>
      <c r="CH1466">
        <v>1975</v>
      </c>
    </row>
    <row r="1467" spans="1:86" hidden="1" x14ac:dyDescent="0.25">
      <c r="A1467">
        <v>330541</v>
      </c>
      <c r="B1467" t="s">
        <v>86</v>
      </c>
      <c r="D1467" t="s">
        <v>115</v>
      </c>
      <c r="F1467">
        <v>80</v>
      </c>
      <c r="K1467" t="s">
        <v>1246</v>
      </c>
      <c r="L1467" t="s">
        <v>1247</v>
      </c>
      <c r="M1467" t="s">
        <v>1100</v>
      </c>
      <c r="V1467" t="s">
        <v>491</v>
      </c>
      <c r="W1467" t="s">
        <v>92</v>
      </c>
      <c r="X1467" t="s">
        <v>1231</v>
      </c>
      <c r="Z1467" t="s">
        <v>137</v>
      </c>
      <c r="AB1467"/>
      <c r="AD1467">
        <v>2</v>
      </c>
      <c r="AF1467">
        <v>24</v>
      </c>
      <c r="AG1467" t="s">
        <v>674</v>
      </c>
      <c r="AX1467" t="s">
        <v>523</v>
      </c>
      <c r="AY1467" t="s">
        <v>523</v>
      </c>
      <c r="BE1467">
        <v>3</v>
      </c>
      <c r="BG1467">
        <v>75</v>
      </c>
      <c r="BH1467" t="s">
        <v>99</v>
      </c>
      <c r="BO1467" t="s">
        <v>111</v>
      </c>
      <c r="CD1467" t="s">
        <v>1233</v>
      </c>
      <c r="CE1467">
        <v>8175</v>
      </c>
      <c r="CF1467" t="s">
        <v>1248</v>
      </c>
      <c r="CG1467" t="s">
        <v>1249</v>
      </c>
      <c r="CH1467">
        <v>1975</v>
      </c>
    </row>
    <row r="1468" spans="1:86" hidden="1" x14ac:dyDescent="0.25">
      <c r="A1468">
        <v>330541</v>
      </c>
      <c r="B1468" t="s">
        <v>86</v>
      </c>
      <c r="D1468" t="s">
        <v>115</v>
      </c>
      <c r="F1468">
        <v>80</v>
      </c>
      <c r="K1468" t="s">
        <v>1246</v>
      </c>
      <c r="L1468" t="s">
        <v>1247</v>
      </c>
      <c r="M1468" t="s">
        <v>1100</v>
      </c>
      <c r="V1468" t="s">
        <v>491</v>
      </c>
      <c r="W1468" t="s">
        <v>92</v>
      </c>
      <c r="X1468" t="s">
        <v>1231</v>
      </c>
      <c r="Z1468" t="s">
        <v>137</v>
      </c>
      <c r="AB1468"/>
      <c r="AD1468">
        <v>2</v>
      </c>
      <c r="AF1468">
        <v>24</v>
      </c>
      <c r="AG1468" t="s">
        <v>674</v>
      </c>
      <c r="AX1468" t="s">
        <v>201</v>
      </c>
      <c r="AY1468" t="s">
        <v>1232</v>
      </c>
      <c r="BA1468" t="s">
        <v>956</v>
      </c>
      <c r="BE1468">
        <v>3</v>
      </c>
      <c r="BG1468">
        <v>75</v>
      </c>
      <c r="BH1468" t="s">
        <v>99</v>
      </c>
      <c r="BO1468" t="s">
        <v>111</v>
      </c>
      <c r="CD1468" t="s">
        <v>1233</v>
      </c>
      <c r="CE1468">
        <v>8175</v>
      </c>
      <c r="CF1468" t="s">
        <v>1248</v>
      </c>
      <c r="CG1468" t="s">
        <v>1249</v>
      </c>
      <c r="CH1468">
        <v>1975</v>
      </c>
    </row>
    <row r="1469" spans="1:86" hidden="1" x14ac:dyDescent="0.25">
      <c r="A1469">
        <v>330541</v>
      </c>
      <c r="B1469" t="s">
        <v>86</v>
      </c>
      <c r="D1469" t="s">
        <v>115</v>
      </c>
      <c r="F1469">
        <v>80</v>
      </c>
      <c r="K1469" t="s">
        <v>1229</v>
      </c>
      <c r="L1469" t="s">
        <v>1230</v>
      </c>
      <c r="M1469" t="s">
        <v>1100</v>
      </c>
      <c r="V1469" t="s">
        <v>491</v>
      </c>
      <c r="W1469" t="s">
        <v>92</v>
      </c>
      <c r="X1469" t="s">
        <v>1231</v>
      </c>
      <c r="Z1469" t="s">
        <v>137</v>
      </c>
      <c r="AB1469"/>
      <c r="AD1469">
        <v>2</v>
      </c>
      <c r="AF1469">
        <v>24</v>
      </c>
      <c r="AG1469" t="s">
        <v>674</v>
      </c>
      <c r="AX1469" t="s">
        <v>523</v>
      </c>
      <c r="AY1469" t="s">
        <v>523</v>
      </c>
      <c r="BE1469">
        <v>3</v>
      </c>
      <c r="BG1469">
        <v>75</v>
      </c>
      <c r="BH1469" t="s">
        <v>99</v>
      </c>
      <c r="BO1469" t="s">
        <v>111</v>
      </c>
      <c r="CD1469" t="s">
        <v>1233</v>
      </c>
      <c r="CE1469">
        <v>8175</v>
      </c>
      <c r="CF1469" t="s">
        <v>1248</v>
      </c>
      <c r="CG1469" t="s">
        <v>1249</v>
      </c>
      <c r="CH1469">
        <v>1975</v>
      </c>
    </row>
    <row r="1470" spans="1:86" hidden="1" x14ac:dyDescent="0.25">
      <c r="A1470">
        <v>330541</v>
      </c>
      <c r="B1470" t="s">
        <v>86</v>
      </c>
      <c r="D1470" t="s">
        <v>87</v>
      </c>
      <c r="E1470" t="s">
        <v>106</v>
      </c>
      <c r="F1470">
        <v>98</v>
      </c>
      <c r="K1470" t="s">
        <v>1135</v>
      </c>
      <c r="L1470" t="s">
        <v>1136</v>
      </c>
      <c r="M1470" t="s">
        <v>1100</v>
      </c>
      <c r="V1470" t="s">
        <v>507</v>
      </c>
      <c r="W1470" t="s">
        <v>92</v>
      </c>
      <c r="X1470" t="s">
        <v>93</v>
      </c>
      <c r="Y1470">
        <v>3</v>
      </c>
      <c r="Z1470" t="s">
        <v>94</v>
      </c>
      <c r="AB1470"/>
      <c r="AD1470">
        <v>5.7349999999999998E-5</v>
      </c>
      <c r="AF1470">
        <v>2.8401000000000001E-4</v>
      </c>
      <c r="AG1470" t="s">
        <v>95</v>
      </c>
      <c r="AX1470" t="s">
        <v>282</v>
      </c>
      <c r="AY1470" t="s">
        <v>593</v>
      </c>
      <c r="BA1470" t="s">
        <v>1169</v>
      </c>
      <c r="BC1470">
        <v>7</v>
      </c>
      <c r="BH1470" t="s">
        <v>99</v>
      </c>
      <c r="BO1470" t="s">
        <v>111</v>
      </c>
      <c r="CD1470" t="s">
        <v>1170</v>
      </c>
      <c r="CE1470">
        <v>177275</v>
      </c>
      <c r="CF1470" t="s">
        <v>1171</v>
      </c>
      <c r="CG1470" t="s">
        <v>1172</v>
      </c>
      <c r="CH1470">
        <v>2018</v>
      </c>
    </row>
    <row r="1471" spans="1:86" hidden="1" x14ac:dyDescent="0.25">
      <c r="A1471">
        <v>330541</v>
      </c>
      <c r="B1471" t="s">
        <v>86</v>
      </c>
      <c r="D1471" t="s">
        <v>115</v>
      </c>
      <c r="K1471" t="s">
        <v>1250</v>
      </c>
      <c r="L1471" t="s">
        <v>1251</v>
      </c>
      <c r="M1471" t="s">
        <v>1100</v>
      </c>
      <c r="N1471" t="s">
        <v>1103</v>
      </c>
      <c r="W1471" t="s">
        <v>92</v>
      </c>
      <c r="X1471" t="s">
        <v>93</v>
      </c>
      <c r="Z1471" t="s">
        <v>94</v>
      </c>
      <c r="AB1471">
        <v>42</v>
      </c>
      <c r="AG1471" t="s">
        <v>95</v>
      </c>
      <c r="AX1471" t="s">
        <v>523</v>
      </c>
      <c r="AY1471" t="s">
        <v>523</v>
      </c>
      <c r="BC1471">
        <v>2</v>
      </c>
      <c r="BH1471" t="s">
        <v>99</v>
      </c>
      <c r="BO1471" t="s">
        <v>111</v>
      </c>
      <c r="CD1471" t="s">
        <v>1252</v>
      </c>
      <c r="CE1471">
        <v>876</v>
      </c>
      <c r="CF1471" t="s">
        <v>1253</v>
      </c>
      <c r="CG1471" t="s">
        <v>1254</v>
      </c>
      <c r="CH1471">
        <v>1960</v>
      </c>
    </row>
    <row r="1472" spans="1:86" hidden="1" x14ac:dyDescent="0.25">
      <c r="A1472">
        <v>330541</v>
      </c>
      <c r="B1472" t="s">
        <v>86</v>
      </c>
      <c r="D1472" t="s">
        <v>115</v>
      </c>
      <c r="K1472" t="s">
        <v>1153</v>
      </c>
      <c r="L1472" t="s">
        <v>1154</v>
      </c>
      <c r="M1472" t="s">
        <v>1100</v>
      </c>
      <c r="V1472" t="s">
        <v>91</v>
      </c>
      <c r="W1472" t="s">
        <v>92</v>
      </c>
      <c r="X1472" t="s">
        <v>93</v>
      </c>
      <c r="Z1472" t="s">
        <v>137</v>
      </c>
      <c r="AB1472">
        <v>0.55000000000000004</v>
      </c>
      <c r="AG1472" t="s">
        <v>95</v>
      </c>
      <c r="AX1472" t="s">
        <v>144</v>
      </c>
      <c r="AY1472" t="s">
        <v>661</v>
      </c>
      <c r="BE1472">
        <v>7</v>
      </c>
      <c r="BG1472">
        <v>90</v>
      </c>
      <c r="BH1472" t="s">
        <v>99</v>
      </c>
      <c r="BO1472" t="s">
        <v>111</v>
      </c>
      <c r="CD1472" t="s">
        <v>1236</v>
      </c>
      <c r="CE1472">
        <v>5786</v>
      </c>
      <c r="CF1472" t="s">
        <v>1237</v>
      </c>
      <c r="CG1472" t="s">
        <v>1238</v>
      </c>
      <c r="CH1472">
        <v>1992</v>
      </c>
    </row>
    <row r="1473" spans="1:86" hidden="1" x14ac:dyDescent="0.25">
      <c r="A1473">
        <v>330541</v>
      </c>
      <c r="B1473" t="s">
        <v>86</v>
      </c>
      <c r="D1473" t="s">
        <v>115</v>
      </c>
      <c r="K1473" t="s">
        <v>1176</v>
      </c>
      <c r="L1473" t="s">
        <v>1177</v>
      </c>
      <c r="M1473" t="s">
        <v>1100</v>
      </c>
      <c r="V1473" t="s">
        <v>168</v>
      </c>
      <c r="W1473" t="s">
        <v>92</v>
      </c>
      <c r="X1473" t="s">
        <v>93</v>
      </c>
      <c r="Y1473">
        <v>3</v>
      </c>
      <c r="Z1473" t="s">
        <v>137</v>
      </c>
      <c r="AB1473"/>
      <c r="AD1473">
        <v>15</v>
      </c>
      <c r="AF1473">
        <v>30</v>
      </c>
      <c r="AG1473" t="s">
        <v>95</v>
      </c>
      <c r="AX1473" t="s">
        <v>1206</v>
      </c>
      <c r="AY1473" t="s">
        <v>1255</v>
      </c>
      <c r="BA1473" t="s">
        <v>1169</v>
      </c>
      <c r="BC1473">
        <v>4</v>
      </c>
      <c r="BH1473" t="s">
        <v>99</v>
      </c>
      <c r="BO1473" t="s">
        <v>111</v>
      </c>
      <c r="CD1473" t="s">
        <v>1179</v>
      </c>
      <c r="CE1473">
        <v>160633</v>
      </c>
      <c r="CF1473" t="s">
        <v>1180</v>
      </c>
      <c r="CG1473" t="s">
        <v>1181</v>
      </c>
      <c r="CH1473">
        <v>2011</v>
      </c>
    </row>
    <row r="1474" spans="1:86" hidden="1" x14ac:dyDescent="0.25">
      <c r="A1474">
        <v>330541</v>
      </c>
      <c r="B1474" t="s">
        <v>86</v>
      </c>
      <c r="D1474" t="s">
        <v>87</v>
      </c>
      <c r="K1474" t="s">
        <v>1246</v>
      </c>
      <c r="L1474" t="s">
        <v>1247</v>
      </c>
      <c r="M1474" t="s">
        <v>1100</v>
      </c>
      <c r="V1474" t="s">
        <v>491</v>
      </c>
      <c r="W1474" t="s">
        <v>92</v>
      </c>
      <c r="X1474" t="s">
        <v>1231</v>
      </c>
      <c r="Z1474" t="s">
        <v>94</v>
      </c>
      <c r="AA1474" t="s">
        <v>499</v>
      </c>
      <c r="AB1474">
        <v>0.4</v>
      </c>
      <c r="AG1474" t="s">
        <v>95</v>
      </c>
      <c r="AX1474" t="s">
        <v>523</v>
      </c>
      <c r="AY1474" t="s">
        <v>523</v>
      </c>
      <c r="BC1474">
        <v>76.099999999999994</v>
      </c>
      <c r="BH1474" t="s">
        <v>99</v>
      </c>
      <c r="BO1474" t="s">
        <v>111</v>
      </c>
      <c r="CD1474" t="s">
        <v>1233</v>
      </c>
      <c r="CE1474">
        <v>9173</v>
      </c>
      <c r="CF1474" t="s">
        <v>1234</v>
      </c>
      <c r="CG1474" t="s">
        <v>1235</v>
      </c>
      <c r="CH1474">
        <v>1972</v>
      </c>
    </row>
    <row r="1475" spans="1:86" hidden="1" x14ac:dyDescent="0.25">
      <c r="A1475">
        <v>330541</v>
      </c>
      <c r="B1475" t="s">
        <v>86</v>
      </c>
      <c r="D1475" t="s">
        <v>87</v>
      </c>
      <c r="K1475" t="s">
        <v>1246</v>
      </c>
      <c r="L1475" t="s">
        <v>1247</v>
      </c>
      <c r="M1475" t="s">
        <v>1100</v>
      </c>
      <c r="V1475" t="s">
        <v>491</v>
      </c>
      <c r="W1475" t="s">
        <v>92</v>
      </c>
      <c r="X1475" t="s">
        <v>1231</v>
      </c>
      <c r="Z1475" t="s">
        <v>94</v>
      </c>
      <c r="AA1475" t="s">
        <v>499</v>
      </c>
      <c r="AB1475">
        <v>0.4</v>
      </c>
      <c r="AG1475" t="s">
        <v>95</v>
      </c>
      <c r="AX1475" t="s">
        <v>201</v>
      </c>
      <c r="AY1475" t="s">
        <v>1232</v>
      </c>
      <c r="BA1475" t="s">
        <v>956</v>
      </c>
      <c r="BC1475">
        <v>76.099999999999994</v>
      </c>
      <c r="BH1475" t="s">
        <v>99</v>
      </c>
      <c r="BO1475" t="s">
        <v>111</v>
      </c>
      <c r="CD1475" t="s">
        <v>1233</v>
      </c>
      <c r="CE1475">
        <v>9173</v>
      </c>
      <c r="CF1475" t="s">
        <v>1234</v>
      </c>
      <c r="CG1475" t="s">
        <v>1235</v>
      </c>
      <c r="CH1475">
        <v>1972</v>
      </c>
    </row>
    <row r="1476" spans="1:86" hidden="1" x14ac:dyDescent="0.25">
      <c r="A1476">
        <v>330541</v>
      </c>
      <c r="B1476" t="s">
        <v>86</v>
      </c>
      <c r="C1476" t="s">
        <v>158</v>
      </c>
      <c r="D1476" t="s">
        <v>87</v>
      </c>
      <c r="K1476" t="s">
        <v>1135</v>
      </c>
      <c r="L1476" t="s">
        <v>1136</v>
      </c>
      <c r="M1476" t="s">
        <v>1100</v>
      </c>
      <c r="N1476" t="s">
        <v>1144</v>
      </c>
      <c r="P1476">
        <v>180</v>
      </c>
      <c r="U1476" t="s">
        <v>920</v>
      </c>
      <c r="V1476" t="s">
        <v>507</v>
      </c>
      <c r="W1476" t="s">
        <v>92</v>
      </c>
      <c r="X1476" t="s">
        <v>93</v>
      </c>
      <c r="Y1476">
        <v>2</v>
      </c>
      <c r="Z1476" t="s">
        <v>94</v>
      </c>
      <c r="AB1476">
        <v>2.1064E-4</v>
      </c>
      <c r="AG1476" t="s">
        <v>95</v>
      </c>
      <c r="AX1476" t="s">
        <v>1190</v>
      </c>
      <c r="AY1476" t="s">
        <v>1191</v>
      </c>
      <c r="BC1476">
        <v>25</v>
      </c>
      <c r="BH1476" t="s">
        <v>99</v>
      </c>
      <c r="BO1476" t="s">
        <v>111</v>
      </c>
      <c r="CD1476" t="s">
        <v>1150</v>
      </c>
      <c r="CE1476">
        <v>177268</v>
      </c>
      <c r="CF1476" t="s">
        <v>1151</v>
      </c>
      <c r="CG1476" t="s">
        <v>1152</v>
      </c>
      <c r="CH1476">
        <v>2015</v>
      </c>
    </row>
    <row r="1477" spans="1:86" hidden="1" x14ac:dyDescent="0.25">
      <c r="A1477">
        <v>330541</v>
      </c>
      <c r="B1477" t="s">
        <v>86</v>
      </c>
      <c r="C1477" t="s">
        <v>158</v>
      </c>
      <c r="D1477" t="s">
        <v>87</v>
      </c>
      <c r="K1477" t="s">
        <v>1135</v>
      </c>
      <c r="L1477" t="s">
        <v>1136</v>
      </c>
      <c r="M1477" t="s">
        <v>1100</v>
      </c>
      <c r="N1477" t="s">
        <v>1144</v>
      </c>
      <c r="P1477">
        <v>180</v>
      </c>
      <c r="U1477" t="s">
        <v>920</v>
      </c>
      <c r="V1477" t="s">
        <v>507</v>
      </c>
      <c r="W1477" t="s">
        <v>92</v>
      </c>
      <c r="X1477" t="s">
        <v>93</v>
      </c>
      <c r="Y1477">
        <v>2</v>
      </c>
      <c r="Z1477" t="s">
        <v>94</v>
      </c>
      <c r="AB1477">
        <v>2.1064E-4</v>
      </c>
      <c r="AG1477" t="s">
        <v>95</v>
      </c>
      <c r="AX1477" t="s">
        <v>196</v>
      </c>
      <c r="AY1477" t="s">
        <v>928</v>
      </c>
      <c r="BA1477" t="s">
        <v>179</v>
      </c>
      <c r="BC1477">
        <v>25</v>
      </c>
      <c r="BH1477" t="s">
        <v>99</v>
      </c>
      <c r="BO1477" t="s">
        <v>111</v>
      </c>
      <c r="CD1477" t="s">
        <v>1150</v>
      </c>
      <c r="CE1477">
        <v>177268</v>
      </c>
      <c r="CF1477" t="s">
        <v>1151</v>
      </c>
      <c r="CG1477" t="s">
        <v>1152</v>
      </c>
      <c r="CH1477">
        <v>2015</v>
      </c>
    </row>
    <row r="1478" spans="1:86" hidden="1" x14ac:dyDescent="0.25">
      <c r="A1478">
        <v>330541</v>
      </c>
      <c r="B1478" t="s">
        <v>86</v>
      </c>
      <c r="D1478" t="s">
        <v>115</v>
      </c>
      <c r="F1478">
        <v>80</v>
      </c>
      <c r="K1478" t="s">
        <v>1246</v>
      </c>
      <c r="L1478" t="s">
        <v>1247</v>
      </c>
      <c r="M1478" t="s">
        <v>1100</v>
      </c>
      <c r="V1478" t="s">
        <v>491</v>
      </c>
      <c r="W1478" t="s">
        <v>92</v>
      </c>
      <c r="X1478" t="s">
        <v>1231</v>
      </c>
      <c r="Z1478" t="s">
        <v>137</v>
      </c>
      <c r="AB1478"/>
      <c r="AD1478">
        <v>2</v>
      </c>
      <c r="AF1478">
        <v>24</v>
      </c>
      <c r="AG1478" t="s">
        <v>674</v>
      </c>
      <c r="AX1478" t="s">
        <v>201</v>
      </c>
      <c r="AY1478" t="s">
        <v>646</v>
      </c>
      <c r="BE1478">
        <v>3</v>
      </c>
      <c r="BG1478">
        <v>75</v>
      </c>
      <c r="BH1478" t="s">
        <v>99</v>
      </c>
      <c r="BO1478" t="s">
        <v>111</v>
      </c>
      <c r="CD1478" t="s">
        <v>1233</v>
      </c>
      <c r="CE1478">
        <v>8175</v>
      </c>
      <c r="CF1478" t="s">
        <v>1248</v>
      </c>
      <c r="CG1478" t="s">
        <v>1249</v>
      </c>
      <c r="CH1478">
        <v>1975</v>
      </c>
    </row>
    <row r="1479" spans="1:86" hidden="1" x14ac:dyDescent="0.25">
      <c r="A1479">
        <v>330541</v>
      </c>
      <c r="B1479" t="s">
        <v>86</v>
      </c>
      <c r="D1479" t="s">
        <v>115</v>
      </c>
      <c r="F1479">
        <v>80</v>
      </c>
      <c r="K1479" t="s">
        <v>1220</v>
      </c>
      <c r="L1479" t="s">
        <v>1221</v>
      </c>
      <c r="M1479" t="s">
        <v>1100</v>
      </c>
      <c r="N1479" t="s">
        <v>1103</v>
      </c>
      <c r="V1479" t="s">
        <v>91</v>
      </c>
      <c r="W1479" t="s">
        <v>92</v>
      </c>
      <c r="X1479" t="s">
        <v>93</v>
      </c>
      <c r="Z1479" t="s">
        <v>137</v>
      </c>
      <c r="AB1479">
        <v>2.5</v>
      </c>
      <c r="AG1479" t="s">
        <v>95</v>
      </c>
      <c r="AX1479" t="s">
        <v>523</v>
      </c>
      <c r="AY1479" t="s">
        <v>523</v>
      </c>
      <c r="BC1479">
        <v>24</v>
      </c>
      <c r="BH1479" t="s">
        <v>99</v>
      </c>
      <c r="BO1479" t="s">
        <v>111</v>
      </c>
      <c r="CD1479" t="s">
        <v>1222</v>
      </c>
      <c r="CE1479">
        <v>5636</v>
      </c>
      <c r="CF1479" t="s">
        <v>1223</v>
      </c>
      <c r="CG1479" t="s">
        <v>1224</v>
      </c>
      <c r="CH1479">
        <v>1978</v>
      </c>
    </row>
    <row r="1480" spans="1:86" hidden="1" x14ac:dyDescent="0.25">
      <c r="A1480">
        <v>330541</v>
      </c>
      <c r="B1480" t="s">
        <v>86</v>
      </c>
      <c r="D1480" t="s">
        <v>115</v>
      </c>
      <c r="K1480" t="s">
        <v>1153</v>
      </c>
      <c r="L1480" t="s">
        <v>1154</v>
      </c>
      <c r="M1480" t="s">
        <v>1100</v>
      </c>
      <c r="V1480" t="s">
        <v>91</v>
      </c>
      <c r="W1480" t="s">
        <v>92</v>
      </c>
      <c r="X1480" t="s">
        <v>93</v>
      </c>
      <c r="Z1480" t="s">
        <v>137</v>
      </c>
      <c r="AB1480">
        <v>2.2000000000000002</v>
      </c>
      <c r="AG1480" t="s">
        <v>95</v>
      </c>
      <c r="AX1480" t="s">
        <v>201</v>
      </c>
      <c r="AY1480" t="s">
        <v>1232</v>
      </c>
      <c r="BE1480">
        <v>7</v>
      </c>
      <c r="BG1480">
        <v>90</v>
      </c>
      <c r="BH1480" t="s">
        <v>99</v>
      </c>
      <c r="BO1480" t="s">
        <v>111</v>
      </c>
      <c r="CD1480" t="s">
        <v>1236</v>
      </c>
      <c r="CE1480">
        <v>5786</v>
      </c>
      <c r="CF1480" t="s">
        <v>1237</v>
      </c>
      <c r="CG1480" t="s">
        <v>1238</v>
      </c>
      <c r="CH1480">
        <v>1992</v>
      </c>
    </row>
    <row r="1481" spans="1:86" hidden="1" x14ac:dyDescent="0.25">
      <c r="A1481">
        <v>330541</v>
      </c>
      <c r="B1481" t="s">
        <v>86</v>
      </c>
      <c r="D1481" t="s">
        <v>115</v>
      </c>
      <c r="F1481">
        <v>80</v>
      </c>
      <c r="K1481" t="s">
        <v>1246</v>
      </c>
      <c r="L1481" t="s">
        <v>1247</v>
      </c>
      <c r="M1481" t="s">
        <v>1100</v>
      </c>
      <c r="V1481" t="s">
        <v>491</v>
      </c>
      <c r="W1481" t="s">
        <v>92</v>
      </c>
      <c r="X1481" t="s">
        <v>1231</v>
      </c>
      <c r="Z1481" t="s">
        <v>137</v>
      </c>
      <c r="AB1481"/>
      <c r="AD1481">
        <v>2</v>
      </c>
      <c r="AF1481">
        <v>24</v>
      </c>
      <c r="AG1481" t="s">
        <v>674</v>
      </c>
      <c r="AX1481" t="s">
        <v>602</v>
      </c>
      <c r="AY1481" t="s">
        <v>843</v>
      </c>
      <c r="BE1481">
        <v>3</v>
      </c>
      <c r="BG1481">
        <v>75</v>
      </c>
      <c r="BH1481" t="s">
        <v>99</v>
      </c>
      <c r="BO1481" t="s">
        <v>111</v>
      </c>
      <c r="CD1481" t="s">
        <v>1233</v>
      </c>
      <c r="CE1481">
        <v>8175</v>
      </c>
      <c r="CF1481" t="s">
        <v>1248</v>
      </c>
      <c r="CG1481" t="s">
        <v>1249</v>
      </c>
      <c r="CH1481">
        <v>1975</v>
      </c>
    </row>
    <row r="1482" spans="1:86" hidden="1" x14ac:dyDescent="0.25">
      <c r="A1482">
        <v>330541</v>
      </c>
      <c r="B1482" t="s">
        <v>86</v>
      </c>
      <c r="D1482" t="s">
        <v>115</v>
      </c>
      <c r="F1482">
        <v>80</v>
      </c>
      <c r="K1482" t="s">
        <v>1220</v>
      </c>
      <c r="L1482" t="s">
        <v>1221</v>
      </c>
      <c r="M1482" t="s">
        <v>1100</v>
      </c>
      <c r="N1482" t="s">
        <v>1103</v>
      </c>
      <c r="V1482" t="s">
        <v>91</v>
      </c>
      <c r="W1482" t="s">
        <v>92</v>
      </c>
      <c r="X1482" t="s">
        <v>93</v>
      </c>
      <c r="Z1482" t="s">
        <v>137</v>
      </c>
      <c r="AB1482">
        <v>5</v>
      </c>
      <c r="AG1482" t="s">
        <v>95</v>
      </c>
      <c r="AX1482" t="s">
        <v>523</v>
      </c>
      <c r="AY1482" t="s">
        <v>523</v>
      </c>
      <c r="BC1482">
        <v>24</v>
      </c>
      <c r="BH1482" t="s">
        <v>99</v>
      </c>
      <c r="BO1482" t="s">
        <v>111</v>
      </c>
      <c r="CD1482" t="s">
        <v>1222</v>
      </c>
      <c r="CE1482">
        <v>5636</v>
      </c>
      <c r="CF1482" t="s">
        <v>1223</v>
      </c>
      <c r="CG1482" t="s">
        <v>1224</v>
      </c>
      <c r="CH1482">
        <v>1978</v>
      </c>
    </row>
    <row r="1483" spans="1:86" hidden="1" x14ac:dyDescent="0.25">
      <c r="A1483">
        <v>330541</v>
      </c>
      <c r="B1483" t="s">
        <v>86</v>
      </c>
      <c r="C1483" t="s">
        <v>183</v>
      </c>
      <c r="D1483" t="s">
        <v>115</v>
      </c>
      <c r="F1483">
        <v>98</v>
      </c>
      <c r="K1483" t="s">
        <v>1108</v>
      </c>
      <c r="L1483" t="s">
        <v>1109</v>
      </c>
      <c r="M1483" t="s">
        <v>1100</v>
      </c>
      <c r="N1483" t="s">
        <v>1110</v>
      </c>
      <c r="O1483" t="s">
        <v>499</v>
      </c>
      <c r="P1483">
        <v>72</v>
      </c>
      <c r="U1483" t="s">
        <v>1111</v>
      </c>
      <c r="V1483" t="s">
        <v>507</v>
      </c>
      <c r="W1483" t="s">
        <v>107</v>
      </c>
      <c r="X1483" t="s">
        <v>93</v>
      </c>
      <c r="Y1483">
        <v>8</v>
      </c>
      <c r="Z1483" t="s">
        <v>94</v>
      </c>
      <c r="AB1483"/>
      <c r="AD1483">
        <v>1.25</v>
      </c>
      <c r="AF1483">
        <v>40</v>
      </c>
      <c r="AG1483" t="s">
        <v>95</v>
      </c>
      <c r="AX1483" t="s">
        <v>912</v>
      </c>
      <c r="AY1483" t="s">
        <v>913</v>
      </c>
      <c r="BA1483" t="s">
        <v>1256</v>
      </c>
      <c r="BC1483">
        <v>6</v>
      </c>
      <c r="BH1483" t="s">
        <v>99</v>
      </c>
      <c r="BO1483" t="s">
        <v>111</v>
      </c>
      <c r="CD1483" t="s">
        <v>1112</v>
      </c>
      <c r="CE1483">
        <v>160499</v>
      </c>
      <c r="CF1483" t="s">
        <v>1113</v>
      </c>
      <c r="CG1483" t="s">
        <v>1114</v>
      </c>
      <c r="CH1483">
        <v>2012</v>
      </c>
    </row>
    <row r="1484" spans="1:86" hidden="1" x14ac:dyDescent="0.25">
      <c r="A1484">
        <v>330541</v>
      </c>
      <c r="B1484" t="s">
        <v>86</v>
      </c>
      <c r="D1484" t="s">
        <v>115</v>
      </c>
      <c r="F1484">
        <v>80</v>
      </c>
      <c r="K1484" t="s">
        <v>1220</v>
      </c>
      <c r="L1484" t="s">
        <v>1221</v>
      </c>
      <c r="M1484" t="s">
        <v>1100</v>
      </c>
      <c r="N1484" t="s">
        <v>1103</v>
      </c>
      <c r="V1484" t="s">
        <v>91</v>
      </c>
      <c r="W1484" t="s">
        <v>92</v>
      </c>
      <c r="X1484" t="s">
        <v>93</v>
      </c>
      <c r="Z1484" t="s">
        <v>137</v>
      </c>
      <c r="AB1484">
        <v>7.5</v>
      </c>
      <c r="AG1484" t="s">
        <v>95</v>
      </c>
      <c r="AX1484" t="s">
        <v>523</v>
      </c>
      <c r="AY1484" t="s">
        <v>523</v>
      </c>
      <c r="BC1484">
        <v>24</v>
      </c>
      <c r="BH1484" t="s">
        <v>99</v>
      </c>
      <c r="BO1484" t="s">
        <v>111</v>
      </c>
      <c r="CD1484" t="s">
        <v>1222</v>
      </c>
      <c r="CE1484">
        <v>5636</v>
      </c>
      <c r="CF1484" t="s">
        <v>1223</v>
      </c>
      <c r="CG1484" t="s">
        <v>1224</v>
      </c>
      <c r="CH1484">
        <v>1978</v>
      </c>
    </row>
    <row r="1485" spans="1:86" hidden="1" x14ac:dyDescent="0.25">
      <c r="A1485">
        <v>330541</v>
      </c>
      <c r="B1485" t="s">
        <v>86</v>
      </c>
      <c r="C1485" t="s">
        <v>183</v>
      </c>
      <c r="D1485" t="s">
        <v>115</v>
      </c>
      <c r="F1485">
        <v>98</v>
      </c>
      <c r="K1485" t="s">
        <v>1108</v>
      </c>
      <c r="L1485" t="s">
        <v>1109</v>
      </c>
      <c r="M1485" t="s">
        <v>1100</v>
      </c>
      <c r="N1485" t="s">
        <v>1110</v>
      </c>
      <c r="O1485" t="s">
        <v>499</v>
      </c>
      <c r="P1485">
        <v>72</v>
      </c>
      <c r="U1485" t="s">
        <v>1111</v>
      </c>
      <c r="V1485" t="s">
        <v>507</v>
      </c>
      <c r="W1485" t="s">
        <v>107</v>
      </c>
      <c r="X1485" t="s">
        <v>93</v>
      </c>
      <c r="Y1485">
        <v>8</v>
      </c>
      <c r="Z1485" t="s">
        <v>94</v>
      </c>
      <c r="AB1485"/>
      <c r="AD1485">
        <v>1.25</v>
      </c>
      <c r="AF1485">
        <v>40</v>
      </c>
      <c r="AG1485" t="s">
        <v>95</v>
      </c>
      <c r="AX1485" t="s">
        <v>1206</v>
      </c>
      <c r="AY1485" t="s">
        <v>1257</v>
      </c>
      <c r="BA1485" t="s">
        <v>1258</v>
      </c>
      <c r="BC1485">
        <v>6</v>
      </c>
      <c r="BH1485" t="s">
        <v>99</v>
      </c>
      <c r="BO1485" t="s">
        <v>111</v>
      </c>
      <c r="CD1485" t="s">
        <v>1112</v>
      </c>
      <c r="CE1485">
        <v>160499</v>
      </c>
      <c r="CF1485" t="s">
        <v>1113</v>
      </c>
      <c r="CG1485" t="s">
        <v>1114</v>
      </c>
      <c r="CH1485">
        <v>2012</v>
      </c>
    </row>
    <row r="1486" spans="1:86" hidden="1" x14ac:dyDescent="0.25">
      <c r="A1486">
        <v>330541</v>
      </c>
      <c r="B1486" t="s">
        <v>86</v>
      </c>
      <c r="D1486" t="s">
        <v>87</v>
      </c>
      <c r="K1486" t="s">
        <v>1259</v>
      </c>
      <c r="L1486" t="s">
        <v>1260</v>
      </c>
      <c r="M1486" t="s">
        <v>1261</v>
      </c>
      <c r="P1486">
        <v>30</v>
      </c>
      <c r="U1486" t="s">
        <v>99</v>
      </c>
      <c r="V1486" t="s">
        <v>257</v>
      </c>
      <c r="W1486" t="s">
        <v>92</v>
      </c>
      <c r="X1486" t="s">
        <v>93</v>
      </c>
      <c r="Y1486">
        <v>3</v>
      </c>
      <c r="Z1486" t="s">
        <v>94</v>
      </c>
      <c r="AB1486"/>
      <c r="AD1486">
        <v>3.15E-3</v>
      </c>
      <c r="AF1486">
        <v>3.04E-2</v>
      </c>
      <c r="AG1486" t="s">
        <v>95</v>
      </c>
      <c r="AX1486" t="s">
        <v>96</v>
      </c>
      <c r="AY1486" t="s">
        <v>97</v>
      </c>
      <c r="AZ1486" t="s">
        <v>98</v>
      </c>
      <c r="BA1486" t="s">
        <v>179</v>
      </c>
      <c r="BC1486">
        <v>45</v>
      </c>
      <c r="BH1486" t="s">
        <v>99</v>
      </c>
      <c r="BJ1486">
        <v>2</v>
      </c>
      <c r="BO1486" t="s">
        <v>100</v>
      </c>
      <c r="CD1486" t="s">
        <v>1262</v>
      </c>
      <c r="CE1486">
        <v>12612</v>
      </c>
      <c r="CF1486" t="s">
        <v>1263</v>
      </c>
      <c r="CG1486" t="s">
        <v>1264</v>
      </c>
      <c r="CH1486">
        <v>1987</v>
      </c>
    </row>
    <row r="1487" spans="1:86" hidden="1" x14ac:dyDescent="0.25">
      <c r="A1487">
        <v>330541</v>
      </c>
      <c r="B1487" t="s">
        <v>86</v>
      </c>
      <c r="D1487" t="s">
        <v>87</v>
      </c>
      <c r="K1487" t="s">
        <v>1259</v>
      </c>
      <c r="L1487" t="s">
        <v>1260</v>
      </c>
      <c r="M1487" t="s">
        <v>1261</v>
      </c>
      <c r="P1487">
        <v>30</v>
      </c>
      <c r="U1487" t="s">
        <v>99</v>
      </c>
      <c r="V1487" t="s">
        <v>257</v>
      </c>
      <c r="W1487" t="s">
        <v>92</v>
      </c>
      <c r="X1487" t="s">
        <v>93</v>
      </c>
      <c r="Y1487">
        <v>3</v>
      </c>
      <c r="Z1487" t="s">
        <v>94</v>
      </c>
      <c r="AB1487">
        <v>3.04E-2</v>
      </c>
      <c r="AG1487" t="s">
        <v>95</v>
      </c>
      <c r="AX1487" t="s">
        <v>96</v>
      </c>
      <c r="AY1487" t="s">
        <v>97</v>
      </c>
      <c r="AZ1487" t="s">
        <v>98</v>
      </c>
      <c r="BA1487" t="s">
        <v>179</v>
      </c>
      <c r="BC1487">
        <v>1</v>
      </c>
      <c r="BH1487" t="s">
        <v>99</v>
      </c>
      <c r="BJ1487">
        <v>144</v>
      </c>
      <c r="BO1487" t="s">
        <v>100</v>
      </c>
      <c r="CD1487" t="s">
        <v>1262</v>
      </c>
      <c r="CE1487">
        <v>12612</v>
      </c>
      <c r="CF1487" t="s">
        <v>1263</v>
      </c>
      <c r="CG1487" t="s">
        <v>1264</v>
      </c>
      <c r="CH1487">
        <v>1987</v>
      </c>
    </row>
    <row r="1488" spans="1:86" hidden="1" x14ac:dyDescent="0.25">
      <c r="A1488">
        <v>330541</v>
      </c>
      <c r="B1488" t="s">
        <v>86</v>
      </c>
      <c r="D1488" t="s">
        <v>87</v>
      </c>
      <c r="K1488" t="s">
        <v>1259</v>
      </c>
      <c r="L1488" t="s">
        <v>1260</v>
      </c>
      <c r="M1488" t="s">
        <v>1261</v>
      </c>
      <c r="P1488">
        <v>30</v>
      </c>
      <c r="U1488" t="s">
        <v>99</v>
      </c>
      <c r="V1488" t="s">
        <v>257</v>
      </c>
      <c r="W1488" t="s">
        <v>92</v>
      </c>
      <c r="X1488" t="s">
        <v>93</v>
      </c>
      <c r="Y1488">
        <v>3</v>
      </c>
      <c r="Z1488" t="s">
        <v>94</v>
      </c>
      <c r="AB1488">
        <v>3.15E-3</v>
      </c>
      <c r="AG1488" t="s">
        <v>95</v>
      </c>
      <c r="AX1488" t="s">
        <v>96</v>
      </c>
      <c r="AY1488" t="s">
        <v>97</v>
      </c>
      <c r="AZ1488" t="s">
        <v>98</v>
      </c>
      <c r="BA1488" t="s">
        <v>179</v>
      </c>
      <c r="BC1488">
        <v>1</v>
      </c>
      <c r="BH1488" t="s">
        <v>99</v>
      </c>
      <c r="BJ1488">
        <v>157</v>
      </c>
      <c r="BO1488" t="s">
        <v>100</v>
      </c>
      <c r="CD1488" t="s">
        <v>1262</v>
      </c>
      <c r="CE1488">
        <v>12612</v>
      </c>
      <c r="CF1488" t="s">
        <v>1263</v>
      </c>
      <c r="CG1488" t="s">
        <v>1264</v>
      </c>
      <c r="CH1488">
        <v>1987</v>
      </c>
    </row>
    <row r="1489" spans="1:86" x14ac:dyDescent="0.25">
      <c r="A1489">
        <v>330541</v>
      </c>
      <c r="B1489" t="s">
        <v>86</v>
      </c>
      <c r="D1489" t="s">
        <v>115</v>
      </c>
      <c r="E1489" t="s">
        <v>106</v>
      </c>
      <c r="F1489">
        <v>98</v>
      </c>
      <c r="K1489" t="s">
        <v>1265</v>
      </c>
      <c r="L1489" t="s">
        <v>1266</v>
      </c>
      <c r="M1489" t="s">
        <v>1261</v>
      </c>
      <c r="N1489" t="s">
        <v>910</v>
      </c>
      <c r="P1489">
        <v>6</v>
      </c>
      <c r="U1489" t="s">
        <v>1111</v>
      </c>
      <c r="V1489" t="s">
        <v>507</v>
      </c>
      <c r="W1489" t="s">
        <v>92</v>
      </c>
      <c r="X1489" t="s">
        <v>93</v>
      </c>
      <c r="Y1489">
        <v>8</v>
      </c>
      <c r="Z1489" t="s">
        <v>94</v>
      </c>
      <c r="AB1489">
        <v>0.46386342800000002</v>
      </c>
      <c r="AG1489" t="s">
        <v>95</v>
      </c>
      <c r="AX1489" t="s">
        <v>615</v>
      </c>
      <c r="AY1489" t="s">
        <v>878</v>
      </c>
      <c r="AZ1489" t="s">
        <v>1267</v>
      </c>
      <c r="BC1489">
        <v>1</v>
      </c>
      <c r="BH1489" t="s">
        <v>99</v>
      </c>
      <c r="BO1489" t="s">
        <v>111</v>
      </c>
      <c r="CD1489" t="s">
        <v>1268</v>
      </c>
      <c r="CE1489">
        <v>182389</v>
      </c>
      <c r="CF1489" t="s">
        <v>1269</v>
      </c>
      <c r="CG1489" t="s">
        <v>1270</v>
      </c>
      <c r="CH1489">
        <v>2020</v>
      </c>
    </row>
    <row r="1490" spans="1:86" x14ac:dyDescent="0.25">
      <c r="A1490">
        <v>330541</v>
      </c>
      <c r="B1490" t="s">
        <v>86</v>
      </c>
      <c r="D1490" t="s">
        <v>115</v>
      </c>
      <c r="E1490" t="s">
        <v>106</v>
      </c>
      <c r="F1490">
        <v>98</v>
      </c>
      <c r="K1490" t="s">
        <v>1265</v>
      </c>
      <c r="L1490" t="s">
        <v>1266</v>
      </c>
      <c r="M1490" t="s">
        <v>1261</v>
      </c>
      <c r="N1490" t="s">
        <v>910</v>
      </c>
      <c r="P1490">
        <v>6</v>
      </c>
      <c r="U1490" t="s">
        <v>1111</v>
      </c>
      <c r="V1490" t="s">
        <v>507</v>
      </c>
      <c r="W1490" t="s">
        <v>92</v>
      </c>
      <c r="X1490" t="s">
        <v>93</v>
      </c>
      <c r="Y1490">
        <v>8</v>
      </c>
      <c r="Z1490" t="s">
        <v>94</v>
      </c>
      <c r="AB1490">
        <v>0.48950411999999999</v>
      </c>
      <c r="AG1490" t="s">
        <v>95</v>
      </c>
      <c r="AX1490" t="s">
        <v>615</v>
      </c>
      <c r="AY1490" t="s">
        <v>878</v>
      </c>
      <c r="AZ1490" t="s">
        <v>1267</v>
      </c>
      <c r="BC1490">
        <v>1</v>
      </c>
      <c r="BH1490" t="s">
        <v>99</v>
      </c>
      <c r="BO1490" t="s">
        <v>111</v>
      </c>
      <c r="CD1490" t="s">
        <v>1268</v>
      </c>
      <c r="CE1490">
        <v>182389</v>
      </c>
      <c r="CF1490" t="s">
        <v>1269</v>
      </c>
      <c r="CG1490" t="s">
        <v>1270</v>
      </c>
      <c r="CH1490">
        <v>2020</v>
      </c>
    </row>
    <row r="1491" spans="1:86" x14ac:dyDescent="0.25">
      <c r="A1491">
        <v>330541</v>
      </c>
      <c r="B1491" t="s">
        <v>86</v>
      </c>
      <c r="D1491" t="s">
        <v>115</v>
      </c>
      <c r="E1491" t="s">
        <v>106</v>
      </c>
      <c r="F1491">
        <v>98</v>
      </c>
      <c r="K1491" t="s">
        <v>1265</v>
      </c>
      <c r="L1491" t="s">
        <v>1266</v>
      </c>
      <c r="M1491" t="s">
        <v>1261</v>
      </c>
      <c r="N1491" t="s">
        <v>1271</v>
      </c>
      <c r="V1491" t="s">
        <v>272</v>
      </c>
      <c r="W1491" t="s">
        <v>220</v>
      </c>
      <c r="X1491" t="s">
        <v>93</v>
      </c>
      <c r="Z1491" t="s">
        <v>94</v>
      </c>
      <c r="AA1491" t="s">
        <v>106</v>
      </c>
      <c r="AB1491">
        <v>6.9929160000000001</v>
      </c>
      <c r="AG1491" t="s">
        <v>95</v>
      </c>
      <c r="AX1491" t="s">
        <v>201</v>
      </c>
      <c r="AY1491" t="s">
        <v>1272</v>
      </c>
      <c r="AZ1491" t="s">
        <v>1267</v>
      </c>
      <c r="BC1491">
        <v>3</v>
      </c>
      <c r="BH1491" t="s">
        <v>99</v>
      </c>
      <c r="BO1491" t="s">
        <v>111</v>
      </c>
      <c r="CD1491" t="s">
        <v>1273</v>
      </c>
      <c r="CE1491">
        <v>180409</v>
      </c>
      <c r="CF1491" t="s">
        <v>1274</v>
      </c>
      <c r="CG1491" t="s">
        <v>1275</v>
      </c>
      <c r="CH1491">
        <v>2019</v>
      </c>
    </row>
    <row r="1492" spans="1:86" x14ac:dyDescent="0.25">
      <c r="A1492">
        <v>330541</v>
      </c>
      <c r="B1492" t="s">
        <v>86</v>
      </c>
      <c r="D1492" t="s">
        <v>115</v>
      </c>
      <c r="E1492" t="s">
        <v>106</v>
      </c>
      <c r="F1492">
        <v>98</v>
      </c>
      <c r="K1492" t="s">
        <v>1265</v>
      </c>
      <c r="L1492" t="s">
        <v>1266</v>
      </c>
      <c r="M1492" t="s">
        <v>1261</v>
      </c>
      <c r="N1492" t="s">
        <v>1271</v>
      </c>
      <c r="V1492" t="s">
        <v>272</v>
      </c>
      <c r="W1492" t="s">
        <v>220</v>
      </c>
      <c r="X1492" t="s">
        <v>93</v>
      </c>
      <c r="Z1492" t="s">
        <v>94</v>
      </c>
      <c r="AA1492" t="s">
        <v>106</v>
      </c>
      <c r="AB1492">
        <v>6.9929160000000001</v>
      </c>
      <c r="AG1492" t="s">
        <v>95</v>
      </c>
      <c r="AX1492" t="s">
        <v>201</v>
      </c>
      <c r="AY1492" t="s">
        <v>1272</v>
      </c>
      <c r="AZ1492" t="s">
        <v>1267</v>
      </c>
      <c r="BC1492">
        <v>3</v>
      </c>
      <c r="BH1492" t="s">
        <v>99</v>
      </c>
      <c r="BO1492" t="s">
        <v>111</v>
      </c>
      <c r="CD1492" t="s">
        <v>1273</v>
      </c>
      <c r="CE1492">
        <v>180409</v>
      </c>
      <c r="CF1492" t="s">
        <v>1274</v>
      </c>
      <c r="CG1492" t="s">
        <v>1275</v>
      </c>
      <c r="CH1492">
        <v>2019</v>
      </c>
    </row>
    <row r="1493" spans="1:86" hidden="1" x14ac:dyDescent="0.25">
      <c r="A1493">
        <v>330541</v>
      </c>
      <c r="B1493" t="s">
        <v>86</v>
      </c>
      <c r="D1493" t="s">
        <v>87</v>
      </c>
      <c r="K1493" t="s">
        <v>1276</v>
      </c>
      <c r="L1493" t="s">
        <v>1277</v>
      </c>
      <c r="M1493" t="s">
        <v>1261</v>
      </c>
      <c r="W1493" t="s">
        <v>92</v>
      </c>
      <c r="X1493" t="s">
        <v>93</v>
      </c>
      <c r="Z1493" t="s">
        <v>94</v>
      </c>
      <c r="AB1493">
        <v>7.4</v>
      </c>
      <c r="AG1493" t="s">
        <v>95</v>
      </c>
      <c r="AX1493" t="s">
        <v>523</v>
      </c>
      <c r="AY1493" t="s">
        <v>523</v>
      </c>
      <c r="AZ1493" t="s">
        <v>214</v>
      </c>
      <c r="BC1493">
        <v>2</v>
      </c>
      <c r="BH1493" t="s">
        <v>99</v>
      </c>
      <c r="BO1493" t="s">
        <v>111</v>
      </c>
      <c r="CD1493" t="s">
        <v>1278</v>
      </c>
      <c r="CE1493">
        <v>10337</v>
      </c>
      <c r="CF1493" t="s">
        <v>1279</v>
      </c>
      <c r="CG1493" t="s">
        <v>1280</v>
      </c>
      <c r="CH1493">
        <v>1966</v>
      </c>
    </row>
    <row r="1494" spans="1:86" hidden="1" x14ac:dyDescent="0.25">
      <c r="A1494">
        <v>330541</v>
      </c>
      <c r="B1494" t="s">
        <v>86</v>
      </c>
      <c r="D1494" t="s">
        <v>115</v>
      </c>
      <c r="E1494" t="s">
        <v>106</v>
      </c>
      <c r="F1494">
        <v>99</v>
      </c>
      <c r="K1494" t="s">
        <v>1259</v>
      </c>
      <c r="L1494" t="s">
        <v>1260</v>
      </c>
      <c r="M1494" t="s">
        <v>1261</v>
      </c>
      <c r="N1494" t="s">
        <v>945</v>
      </c>
      <c r="P1494">
        <v>7</v>
      </c>
      <c r="U1494" t="s">
        <v>99</v>
      </c>
      <c r="V1494" t="s">
        <v>507</v>
      </c>
      <c r="W1494" t="s">
        <v>92</v>
      </c>
      <c r="X1494" t="s">
        <v>93</v>
      </c>
      <c r="Y1494">
        <v>5</v>
      </c>
      <c r="Z1494" t="s">
        <v>94</v>
      </c>
      <c r="AB1494">
        <v>2.7971664000000001</v>
      </c>
      <c r="AG1494" t="s">
        <v>95</v>
      </c>
      <c r="AX1494" t="s">
        <v>282</v>
      </c>
      <c r="AY1494" t="s">
        <v>1281</v>
      </c>
      <c r="AZ1494" t="s">
        <v>214</v>
      </c>
      <c r="BC1494">
        <v>4</v>
      </c>
      <c r="BH1494" t="s">
        <v>99</v>
      </c>
      <c r="BO1494" t="s">
        <v>111</v>
      </c>
      <c r="CD1494" t="s">
        <v>1282</v>
      </c>
      <c r="CE1494">
        <v>60040</v>
      </c>
      <c r="CF1494" t="s">
        <v>1283</v>
      </c>
      <c r="CG1494" t="s">
        <v>1284</v>
      </c>
      <c r="CH1494">
        <v>2001</v>
      </c>
    </row>
    <row r="1495" spans="1:86" x14ac:dyDescent="0.25">
      <c r="A1495">
        <v>330541</v>
      </c>
      <c r="B1495" t="s">
        <v>86</v>
      </c>
      <c r="D1495" t="s">
        <v>115</v>
      </c>
      <c r="E1495" t="s">
        <v>106</v>
      </c>
      <c r="F1495">
        <v>98</v>
      </c>
      <c r="K1495" t="s">
        <v>1265</v>
      </c>
      <c r="L1495" t="s">
        <v>1266</v>
      </c>
      <c r="M1495" t="s">
        <v>1261</v>
      </c>
      <c r="N1495" t="s">
        <v>1271</v>
      </c>
      <c r="V1495" t="s">
        <v>272</v>
      </c>
      <c r="W1495" t="s">
        <v>220</v>
      </c>
      <c r="X1495" t="s">
        <v>93</v>
      </c>
      <c r="Z1495" t="s">
        <v>94</v>
      </c>
      <c r="AA1495" t="s">
        <v>106</v>
      </c>
      <c r="AB1495">
        <v>6.9929160000000001</v>
      </c>
      <c r="AG1495" t="s">
        <v>95</v>
      </c>
      <c r="AX1495" t="s">
        <v>201</v>
      </c>
      <c r="AY1495" t="s">
        <v>1272</v>
      </c>
      <c r="AZ1495" t="s">
        <v>412</v>
      </c>
      <c r="BC1495">
        <v>3</v>
      </c>
      <c r="BH1495" t="s">
        <v>99</v>
      </c>
      <c r="BO1495" t="s">
        <v>111</v>
      </c>
      <c r="CD1495" t="s">
        <v>1273</v>
      </c>
      <c r="CE1495">
        <v>180409</v>
      </c>
      <c r="CF1495" t="s">
        <v>1274</v>
      </c>
      <c r="CG1495" t="s">
        <v>1275</v>
      </c>
      <c r="CH1495">
        <v>2019</v>
      </c>
    </row>
    <row r="1496" spans="1:86" x14ac:dyDescent="0.25">
      <c r="A1496">
        <v>330541</v>
      </c>
      <c r="B1496" t="s">
        <v>86</v>
      </c>
      <c r="D1496" t="s">
        <v>115</v>
      </c>
      <c r="E1496" t="s">
        <v>106</v>
      </c>
      <c r="F1496">
        <v>98</v>
      </c>
      <c r="K1496" t="s">
        <v>1265</v>
      </c>
      <c r="L1496" t="s">
        <v>1266</v>
      </c>
      <c r="M1496" t="s">
        <v>1261</v>
      </c>
      <c r="N1496" t="s">
        <v>1271</v>
      </c>
      <c r="V1496" t="s">
        <v>272</v>
      </c>
      <c r="W1496" t="s">
        <v>220</v>
      </c>
      <c r="X1496" t="s">
        <v>93</v>
      </c>
      <c r="Z1496" t="s">
        <v>94</v>
      </c>
      <c r="AA1496" t="s">
        <v>106</v>
      </c>
      <c r="AB1496">
        <v>6.9929160000000001</v>
      </c>
      <c r="AG1496" t="s">
        <v>95</v>
      </c>
      <c r="AX1496" t="s">
        <v>201</v>
      </c>
      <c r="AY1496" t="s">
        <v>1272</v>
      </c>
      <c r="AZ1496" t="s">
        <v>412</v>
      </c>
      <c r="BC1496">
        <v>3</v>
      </c>
      <c r="BH1496" t="s">
        <v>99</v>
      </c>
      <c r="BO1496" t="s">
        <v>111</v>
      </c>
      <c r="CD1496" t="s">
        <v>1273</v>
      </c>
      <c r="CE1496">
        <v>180409</v>
      </c>
      <c r="CF1496" t="s">
        <v>1274</v>
      </c>
      <c r="CG1496" t="s">
        <v>1275</v>
      </c>
      <c r="CH1496">
        <v>2019</v>
      </c>
    </row>
    <row r="1497" spans="1:86" x14ac:dyDescent="0.25">
      <c r="A1497">
        <v>330541</v>
      </c>
      <c r="B1497" t="s">
        <v>86</v>
      </c>
      <c r="D1497" t="s">
        <v>115</v>
      </c>
      <c r="E1497" t="s">
        <v>106</v>
      </c>
      <c r="F1497">
        <v>98</v>
      </c>
      <c r="K1497" t="s">
        <v>1265</v>
      </c>
      <c r="L1497" t="s">
        <v>1266</v>
      </c>
      <c r="M1497" t="s">
        <v>1261</v>
      </c>
      <c r="N1497" t="s">
        <v>1271</v>
      </c>
      <c r="V1497" t="s">
        <v>272</v>
      </c>
      <c r="W1497" t="s">
        <v>220</v>
      </c>
      <c r="X1497" t="s">
        <v>93</v>
      </c>
      <c r="Z1497" t="s">
        <v>94</v>
      </c>
      <c r="AA1497" t="s">
        <v>106</v>
      </c>
      <c r="AB1497">
        <v>6.9929160000000001</v>
      </c>
      <c r="AG1497" t="s">
        <v>95</v>
      </c>
      <c r="AX1497" t="s">
        <v>201</v>
      </c>
      <c r="AY1497" t="s">
        <v>1272</v>
      </c>
      <c r="AZ1497" t="s">
        <v>412</v>
      </c>
      <c r="BC1497">
        <v>3</v>
      </c>
      <c r="BH1497" t="s">
        <v>99</v>
      </c>
      <c r="BO1497" t="s">
        <v>111</v>
      </c>
      <c r="CD1497" t="s">
        <v>1273</v>
      </c>
      <c r="CE1497">
        <v>180409</v>
      </c>
      <c r="CF1497" t="s">
        <v>1274</v>
      </c>
      <c r="CG1497" t="s">
        <v>1275</v>
      </c>
      <c r="CH1497">
        <v>2019</v>
      </c>
    </row>
    <row r="1498" spans="1:86" hidden="1" x14ac:dyDescent="0.25">
      <c r="A1498">
        <v>330541</v>
      </c>
      <c r="B1498" t="s">
        <v>86</v>
      </c>
      <c r="D1498" t="s">
        <v>115</v>
      </c>
      <c r="K1498" t="s">
        <v>1285</v>
      </c>
      <c r="L1498" t="s">
        <v>1286</v>
      </c>
      <c r="M1498" t="s">
        <v>1261</v>
      </c>
      <c r="N1498" t="s">
        <v>1271</v>
      </c>
      <c r="V1498" t="s">
        <v>272</v>
      </c>
      <c r="W1498" t="s">
        <v>92</v>
      </c>
      <c r="X1498" t="s">
        <v>93</v>
      </c>
      <c r="Z1498" t="s">
        <v>137</v>
      </c>
      <c r="AB1498">
        <v>0.30302635999999999</v>
      </c>
      <c r="AG1498" t="s">
        <v>95</v>
      </c>
      <c r="AX1498" t="s">
        <v>282</v>
      </c>
      <c r="AY1498" t="s">
        <v>1281</v>
      </c>
      <c r="AZ1498" t="s">
        <v>422</v>
      </c>
      <c r="BC1498">
        <v>6.8999999999999999E-3</v>
      </c>
      <c r="BH1498" t="s">
        <v>99</v>
      </c>
      <c r="BO1498" t="s">
        <v>111</v>
      </c>
      <c r="CD1498" t="s">
        <v>1282</v>
      </c>
      <c r="CE1498">
        <v>60040</v>
      </c>
      <c r="CF1498" t="s">
        <v>1283</v>
      </c>
      <c r="CG1498" t="s">
        <v>1284</v>
      </c>
      <c r="CH1498">
        <v>2001</v>
      </c>
    </row>
    <row r="1499" spans="1:86" hidden="1" x14ac:dyDescent="0.25">
      <c r="A1499">
        <v>330541</v>
      </c>
      <c r="B1499" t="s">
        <v>86</v>
      </c>
      <c r="D1499" t="s">
        <v>115</v>
      </c>
      <c r="E1499" t="s">
        <v>106</v>
      </c>
      <c r="F1499">
        <v>99</v>
      </c>
      <c r="K1499" t="s">
        <v>1259</v>
      </c>
      <c r="L1499" t="s">
        <v>1260</v>
      </c>
      <c r="M1499" t="s">
        <v>1261</v>
      </c>
      <c r="N1499" t="s">
        <v>1271</v>
      </c>
      <c r="V1499" t="s">
        <v>272</v>
      </c>
      <c r="W1499" t="s">
        <v>92</v>
      </c>
      <c r="X1499" t="s">
        <v>93</v>
      </c>
      <c r="Z1499" t="s">
        <v>94</v>
      </c>
      <c r="AB1499">
        <v>18.181581600000001</v>
      </c>
      <c r="AG1499" t="s">
        <v>95</v>
      </c>
      <c r="AX1499" t="s">
        <v>282</v>
      </c>
      <c r="AY1499" t="s">
        <v>1281</v>
      </c>
      <c r="AZ1499" t="s">
        <v>422</v>
      </c>
      <c r="BC1499">
        <v>1.04E-2</v>
      </c>
      <c r="BH1499" t="s">
        <v>99</v>
      </c>
      <c r="BO1499" t="s">
        <v>111</v>
      </c>
      <c r="CD1499" t="s">
        <v>1282</v>
      </c>
      <c r="CE1499">
        <v>60040</v>
      </c>
      <c r="CF1499" t="s">
        <v>1283</v>
      </c>
      <c r="CG1499" t="s">
        <v>1284</v>
      </c>
      <c r="CH1499">
        <v>2001</v>
      </c>
    </row>
    <row r="1500" spans="1:86" hidden="1" x14ac:dyDescent="0.25">
      <c r="A1500">
        <v>330541</v>
      </c>
      <c r="B1500" t="s">
        <v>86</v>
      </c>
      <c r="D1500" t="s">
        <v>115</v>
      </c>
      <c r="K1500" t="s">
        <v>1259</v>
      </c>
      <c r="L1500" t="s">
        <v>1260</v>
      </c>
      <c r="M1500" t="s">
        <v>1261</v>
      </c>
      <c r="N1500" t="s">
        <v>1271</v>
      </c>
      <c r="V1500" t="s">
        <v>272</v>
      </c>
      <c r="W1500" t="s">
        <v>92</v>
      </c>
      <c r="X1500" t="s">
        <v>93</v>
      </c>
      <c r="Z1500" t="s">
        <v>137</v>
      </c>
      <c r="AB1500">
        <v>8.3914991999999994E-2</v>
      </c>
      <c r="AG1500" t="s">
        <v>95</v>
      </c>
      <c r="AX1500" t="s">
        <v>282</v>
      </c>
      <c r="AY1500" t="s">
        <v>1281</v>
      </c>
      <c r="AZ1500" t="s">
        <v>422</v>
      </c>
      <c r="BC1500">
        <v>1.04E-2</v>
      </c>
      <c r="BH1500" t="s">
        <v>99</v>
      </c>
      <c r="BO1500" t="s">
        <v>111</v>
      </c>
      <c r="CD1500" t="s">
        <v>1282</v>
      </c>
      <c r="CE1500">
        <v>60040</v>
      </c>
      <c r="CF1500" t="s">
        <v>1283</v>
      </c>
      <c r="CG1500" t="s">
        <v>1284</v>
      </c>
      <c r="CH1500">
        <v>2001</v>
      </c>
    </row>
    <row r="1501" spans="1:86" hidden="1" x14ac:dyDescent="0.25">
      <c r="A1501">
        <v>330541</v>
      </c>
      <c r="B1501" t="s">
        <v>86</v>
      </c>
      <c r="D1501" t="s">
        <v>115</v>
      </c>
      <c r="E1501" t="s">
        <v>106</v>
      </c>
      <c r="F1501">
        <v>99</v>
      </c>
      <c r="K1501" t="s">
        <v>1285</v>
      </c>
      <c r="L1501" t="s">
        <v>1286</v>
      </c>
      <c r="M1501" t="s">
        <v>1261</v>
      </c>
      <c r="N1501" t="s">
        <v>1271</v>
      </c>
      <c r="V1501" t="s">
        <v>272</v>
      </c>
      <c r="W1501" t="s">
        <v>92</v>
      </c>
      <c r="X1501" t="s">
        <v>93</v>
      </c>
      <c r="Z1501" t="s">
        <v>94</v>
      </c>
      <c r="AB1501">
        <v>39.626524000000003</v>
      </c>
      <c r="AG1501" t="s">
        <v>95</v>
      </c>
      <c r="AX1501" t="s">
        <v>282</v>
      </c>
      <c r="AY1501" t="s">
        <v>1281</v>
      </c>
      <c r="AZ1501" t="s">
        <v>422</v>
      </c>
      <c r="BC1501">
        <v>6.8999999999999999E-3</v>
      </c>
      <c r="BH1501" t="s">
        <v>99</v>
      </c>
      <c r="BO1501" t="s">
        <v>111</v>
      </c>
      <c r="CD1501" t="s">
        <v>1282</v>
      </c>
      <c r="CE1501">
        <v>60040</v>
      </c>
      <c r="CF1501" t="s">
        <v>1283</v>
      </c>
      <c r="CG1501" t="s">
        <v>1284</v>
      </c>
      <c r="CH1501">
        <v>2001</v>
      </c>
    </row>
    <row r="1502" spans="1:86" hidden="1" x14ac:dyDescent="0.25">
      <c r="A1502">
        <v>330541</v>
      </c>
      <c r="B1502" t="s">
        <v>86</v>
      </c>
      <c r="F1502">
        <v>95</v>
      </c>
      <c r="K1502" t="s">
        <v>1276</v>
      </c>
      <c r="L1502" t="s">
        <v>1277</v>
      </c>
      <c r="M1502" t="s">
        <v>1261</v>
      </c>
      <c r="V1502" t="s">
        <v>91</v>
      </c>
      <c r="W1502" t="s">
        <v>92</v>
      </c>
      <c r="X1502" t="s">
        <v>93</v>
      </c>
      <c r="Z1502" t="s">
        <v>94</v>
      </c>
      <c r="AB1502">
        <v>8.6</v>
      </c>
      <c r="AD1502">
        <v>7.1</v>
      </c>
      <c r="AF1502">
        <v>10.4</v>
      </c>
      <c r="AG1502" t="s">
        <v>95</v>
      </c>
      <c r="AX1502" t="s">
        <v>523</v>
      </c>
      <c r="AY1502" t="s">
        <v>523</v>
      </c>
      <c r="AZ1502" t="s">
        <v>475</v>
      </c>
      <c r="BC1502">
        <v>4</v>
      </c>
      <c r="BH1502" t="s">
        <v>99</v>
      </c>
      <c r="BO1502" t="s">
        <v>111</v>
      </c>
      <c r="CD1502" t="s">
        <v>982</v>
      </c>
      <c r="CE1502">
        <v>6797</v>
      </c>
      <c r="CF1502" t="s">
        <v>983</v>
      </c>
      <c r="CG1502" t="s">
        <v>984</v>
      </c>
      <c r="CH1502">
        <v>1986</v>
      </c>
    </row>
    <row r="1503" spans="1:86" hidden="1" x14ac:dyDescent="0.25">
      <c r="A1503">
        <v>330541</v>
      </c>
      <c r="B1503" t="s">
        <v>86</v>
      </c>
      <c r="F1503">
        <v>95</v>
      </c>
      <c r="K1503" t="s">
        <v>1276</v>
      </c>
      <c r="L1503" t="s">
        <v>1277</v>
      </c>
      <c r="M1503" t="s">
        <v>1261</v>
      </c>
      <c r="V1503" t="s">
        <v>91</v>
      </c>
      <c r="W1503" t="s">
        <v>92</v>
      </c>
      <c r="X1503" t="s">
        <v>93</v>
      </c>
      <c r="Z1503" t="s">
        <v>94</v>
      </c>
      <c r="AB1503">
        <v>27</v>
      </c>
      <c r="AD1503">
        <v>24.8</v>
      </c>
      <c r="AF1503">
        <v>29.4</v>
      </c>
      <c r="AG1503" t="s">
        <v>95</v>
      </c>
      <c r="AX1503" t="s">
        <v>523</v>
      </c>
      <c r="AY1503" t="s">
        <v>523</v>
      </c>
      <c r="AZ1503" t="s">
        <v>475</v>
      </c>
      <c r="BC1503">
        <v>1</v>
      </c>
      <c r="BH1503" t="s">
        <v>99</v>
      </c>
      <c r="BO1503" t="s">
        <v>111</v>
      </c>
      <c r="CD1503" t="s">
        <v>982</v>
      </c>
      <c r="CE1503">
        <v>6797</v>
      </c>
      <c r="CF1503" t="s">
        <v>983</v>
      </c>
      <c r="CG1503" t="s">
        <v>984</v>
      </c>
      <c r="CH1503">
        <v>1986</v>
      </c>
    </row>
    <row r="1504" spans="1:86" hidden="1" x14ac:dyDescent="0.25">
      <c r="A1504">
        <v>330541</v>
      </c>
      <c r="B1504" t="s">
        <v>86</v>
      </c>
      <c r="F1504">
        <v>95</v>
      </c>
      <c r="K1504" t="s">
        <v>1276</v>
      </c>
      <c r="L1504" t="s">
        <v>1277</v>
      </c>
      <c r="M1504" t="s">
        <v>1261</v>
      </c>
      <c r="V1504" t="s">
        <v>91</v>
      </c>
      <c r="W1504" t="s">
        <v>92</v>
      </c>
      <c r="X1504" t="s">
        <v>93</v>
      </c>
      <c r="Z1504" t="s">
        <v>94</v>
      </c>
      <c r="AB1504">
        <v>9.5</v>
      </c>
      <c r="AD1504">
        <v>8.5</v>
      </c>
      <c r="AF1504">
        <v>10.6</v>
      </c>
      <c r="AG1504" t="s">
        <v>95</v>
      </c>
      <c r="AX1504" t="s">
        <v>523</v>
      </c>
      <c r="AY1504" t="s">
        <v>523</v>
      </c>
      <c r="AZ1504" t="s">
        <v>475</v>
      </c>
      <c r="BC1504">
        <v>4</v>
      </c>
      <c r="BH1504" t="s">
        <v>99</v>
      </c>
      <c r="BO1504" t="s">
        <v>111</v>
      </c>
      <c r="CD1504" t="s">
        <v>982</v>
      </c>
      <c r="CE1504">
        <v>6797</v>
      </c>
      <c r="CF1504" t="s">
        <v>983</v>
      </c>
      <c r="CG1504" t="s">
        <v>984</v>
      </c>
      <c r="CH1504">
        <v>1986</v>
      </c>
    </row>
    <row r="1505" spans="1:86" hidden="1" x14ac:dyDescent="0.25">
      <c r="A1505">
        <v>330541</v>
      </c>
      <c r="B1505" t="s">
        <v>86</v>
      </c>
      <c r="F1505">
        <v>95</v>
      </c>
      <c r="K1505" t="s">
        <v>1287</v>
      </c>
      <c r="L1505" t="s">
        <v>1288</v>
      </c>
      <c r="M1505" t="s">
        <v>1261</v>
      </c>
      <c r="V1505" t="s">
        <v>91</v>
      </c>
      <c r="W1505" t="s">
        <v>92</v>
      </c>
      <c r="X1505" t="s">
        <v>93</v>
      </c>
      <c r="Z1505" t="s">
        <v>94</v>
      </c>
      <c r="AB1505">
        <v>2.9</v>
      </c>
      <c r="AD1505">
        <v>2.2000000000000002</v>
      </c>
      <c r="AF1505">
        <v>3.9</v>
      </c>
      <c r="AG1505" t="s">
        <v>95</v>
      </c>
      <c r="AX1505" t="s">
        <v>523</v>
      </c>
      <c r="AY1505" t="s">
        <v>523</v>
      </c>
      <c r="AZ1505" t="s">
        <v>475</v>
      </c>
      <c r="BC1505">
        <v>1</v>
      </c>
      <c r="BH1505" t="s">
        <v>99</v>
      </c>
      <c r="BO1505" t="s">
        <v>111</v>
      </c>
      <c r="CD1505" t="s">
        <v>982</v>
      </c>
      <c r="CE1505">
        <v>6797</v>
      </c>
      <c r="CF1505" t="s">
        <v>983</v>
      </c>
      <c r="CG1505" t="s">
        <v>984</v>
      </c>
      <c r="CH1505">
        <v>1986</v>
      </c>
    </row>
    <row r="1506" spans="1:86" hidden="1" x14ac:dyDescent="0.25">
      <c r="A1506">
        <v>330541</v>
      </c>
      <c r="B1506" t="s">
        <v>86</v>
      </c>
      <c r="D1506" t="s">
        <v>115</v>
      </c>
      <c r="K1506" t="s">
        <v>1276</v>
      </c>
      <c r="L1506" t="s">
        <v>1277</v>
      </c>
      <c r="M1506" t="s">
        <v>1261</v>
      </c>
      <c r="V1506" t="s">
        <v>91</v>
      </c>
      <c r="W1506" t="s">
        <v>92</v>
      </c>
      <c r="X1506" t="s">
        <v>93</v>
      </c>
      <c r="Z1506" t="s">
        <v>137</v>
      </c>
      <c r="AB1506">
        <v>9.6999999999999993</v>
      </c>
      <c r="AD1506">
        <v>9.1</v>
      </c>
      <c r="AF1506">
        <v>10</v>
      </c>
      <c r="AG1506" t="s">
        <v>95</v>
      </c>
      <c r="AX1506" t="s">
        <v>523</v>
      </c>
      <c r="AY1506" t="s">
        <v>523</v>
      </c>
      <c r="AZ1506" t="s">
        <v>475</v>
      </c>
      <c r="BC1506">
        <v>1</v>
      </c>
      <c r="BH1506" t="s">
        <v>99</v>
      </c>
      <c r="BO1506" t="s">
        <v>111</v>
      </c>
      <c r="CD1506" t="s">
        <v>1289</v>
      </c>
      <c r="CE1506">
        <v>2085</v>
      </c>
      <c r="CF1506" t="s">
        <v>1290</v>
      </c>
      <c r="CG1506" t="s">
        <v>1291</v>
      </c>
      <c r="CH1506">
        <v>1969</v>
      </c>
    </row>
    <row r="1507" spans="1:86" hidden="1" x14ac:dyDescent="0.25">
      <c r="A1507">
        <v>330541</v>
      </c>
      <c r="B1507" t="s">
        <v>86</v>
      </c>
      <c r="F1507">
        <v>95</v>
      </c>
      <c r="K1507" t="s">
        <v>1287</v>
      </c>
      <c r="L1507" t="s">
        <v>1288</v>
      </c>
      <c r="M1507" t="s">
        <v>1261</v>
      </c>
      <c r="V1507" t="s">
        <v>91</v>
      </c>
      <c r="W1507" t="s">
        <v>92</v>
      </c>
      <c r="X1507" t="s">
        <v>93</v>
      </c>
      <c r="Z1507" t="s">
        <v>94</v>
      </c>
      <c r="AB1507">
        <v>2.2000000000000002</v>
      </c>
      <c r="AD1507">
        <v>1.7</v>
      </c>
      <c r="AF1507">
        <v>2.7</v>
      </c>
      <c r="AG1507" t="s">
        <v>95</v>
      </c>
      <c r="AX1507" t="s">
        <v>523</v>
      </c>
      <c r="AY1507" t="s">
        <v>523</v>
      </c>
      <c r="AZ1507" t="s">
        <v>475</v>
      </c>
      <c r="BC1507">
        <v>4</v>
      </c>
      <c r="BH1507" t="s">
        <v>99</v>
      </c>
      <c r="BO1507" t="s">
        <v>111</v>
      </c>
      <c r="CD1507" t="s">
        <v>982</v>
      </c>
      <c r="CE1507">
        <v>6797</v>
      </c>
      <c r="CF1507" t="s">
        <v>983</v>
      </c>
      <c r="CG1507" t="s">
        <v>984</v>
      </c>
      <c r="CH1507">
        <v>1986</v>
      </c>
    </row>
    <row r="1508" spans="1:86" hidden="1" x14ac:dyDescent="0.25">
      <c r="A1508">
        <v>330541</v>
      </c>
      <c r="B1508" t="s">
        <v>86</v>
      </c>
      <c r="F1508">
        <v>95</v>
      </c>
      <c r="K1508" t="s">
        <v>1287</v>
      </c>
      <c r="L1508" t="s">
        <v>1288</v>
      </c>
      <c r="M1508" t="s">
        <v>1261</v>
      </c>
      <c r="V1508" t="s">
        <v>91</v>
      </c>
      <c r="W1508" t="s">
        <v>92</v>
      </c>
      <c r="X1508" t="s">
        <v>93</v>
      </c>
      <c r="Z1508" t="s">
        <v>94</v>
      </c>
      <c r="AA1508" t="s">
        <v>106</v>
      </c>
      <c r="AB1508">
        <v>3.5</v>
      </c>
      <c r="AG1508" t="s">
        <v>95</v>
      </c>
      <c r="AX1508" t="s">
        <v>523</v>
      </c>
      <c r="AY1508" t="s">
        <v>523</v>
      </c>
      <c r="AZ1508" t="s">
        <v>475</v>
      </c>
      <c r="BC1508">
        <v>1</v>
      </c>
      <c r="BH1508" t="s">
        <v>99</v>
      </c>
      <c r="BO1508" t="s">
        <v>111</v>
      </c>
      <c r="CD1508" t="s">
        <v>982</v>
      </c>
      <c r="CE1508">
        <v>6797</v>
      </c>
      <c r="CF1508" t="s">
        <v>983</v>
      </c>
      <c r="CG1508" t="s">
        <v>984</v>
      </c>
      <c r="CH1508">
        <v>1986</v>
      </c>
    </row>
    <row r="1509" spans="1:86" hidden="1" x14ac:dyDescent="0.25">
      <c r="A1509">
        <v>330541</v>
      </c>
      <c r="B1509" t="s">
        <v>86</v>
      </c>
      <c r="F1509">
        <v>95</v>
      </c>
      <c r="K1509" t="s">
        <v>1276</v>
      </c>
      <c r="L1509" t="s">
        <v>1277</v>
      </c>
      <c r="M1509" t="s">
        <v>1261</v>
      </c>
      <c r="V1509" t="s">
        <v>91</v>
      </c>
      <c r="W1509" t="s">
        <v>92</v>
      </c>
      <c r="X1509" t="s">
        <v>93</v>
      </c>
      <c r="Z1509" t="s">
        <v>94</v>
      </c>
      <c r="AB1509">
        <v>29.8</v>
      </c>
      <c r="AD1509">
        <v>27.3</v>
      </c>
      <c r="AF1509">
        <v>32.5</v>
      </c>
      <c r="AG1509" t="s">
        <v>95</v>
      </c>
      <c r="AX1509" t="s">
        <v>523</v>
      </c>
      <c r="AY1509" t="s">
        <v>523</v>
      </c>
      <c r="AZ1509" t="s">
        <v>475</v>
      </c>
      <c r="BC1509">
        <v>1</v>
      </c>
      <c r="BH1509" t="s">
        <v>99</v>
      </c>
      <c r="BO1509" t="s">
        <v>111</v>
      </c>
      <c r="CD1509" t="s">
        <v>982</v>
      </c>
      <c r="CE1509">
        <v>6797</v>
      </c>
      <c r="CF1509" t="s">
        <v>983</v>
      </c>
      <c r="CG1509" t="s">
        <v>984</v>
      </c>
      <c r="CH1509">
        <v>1986</v>
      </c>
    </row>
    <row r="1510" spans="1:86" hidden="1" x14ac:dyDescent="0.25">
      <c r="A1510">
        <v>330541</v>
      </c>
      <c r="B1510" t="s">
        <v>86</v>
      </c>
      <c r="F1510">
        <v>95</v>
      </c>
      <c r="K1510" t="s">
        <v>1276</v>
      </c>
      <c r="L1510" t="s">
        <v>1277</v>
      </c>
      <c r="M1510" t="s">
        <v>1261</v>
      </c>
      <c r="V1510" t="s">
        <v>91</v>
      </c>
      <c r="W1510" t="s">
        <v>92</v>
      </c>
      <c r="X1510" t="s">
        <v>93</v>
      </c>
      <c r="Z1510" t="s">
        <v>94</v>
      </c>
      <c r="AB1510">
        <v>10.4</v>
      </c>
      <c r="AD1510">
        <v>7.3</v>
      </c>
      <c r="AF1510">
        <v>14.9</v>
      </c>
      <c r="AG1510" t="s">
        <v>95</v>
      </c>
      <c r="AX1510" t="s">
        <v>523</v>
      </c>
      <c r="AY1510" t="s">
        <v>523</v>
      </c>
      <c r="AZ1510" t="s">
        <v>475</v>
      </c>
      <c r="BC1510">
        <v>4</v>
      </c>
      <c r="BH1510" t="s">
        <v>99</v>
      </c>
      <c r="BO1510" t="s">
        <v>111</v>
      </c>
      <c r="CD1510" t="s">
        <v>982</v>
      </c>
      <c r="CE1510">
        <v>6797</v>
      </c>
      <c r="CF1510" t="s">
        <v>983</v>
      </c>
      <c r="CG1510" t="s">
        <v>984</v>
      </c>
      <c r="CH1510">
        <v>1986</v>
      </c>
    </row>
    <row r="1511" spans="1:86" hidden="1" x14ac:dyDescent="0.25">
      <c r="A1511">
        <v>330541</v>
      </c>
      <c r="B1511" t="s">
        <v>86</v>
      </c>
      <c r="D1511" t="s">
        <v>115</v>
      </c>
      <c r="K1511" t="s">
        <v>1276</v>
      </c>
      <c r="L1511" t="s">
        <v>1277</v>
      </c>
      <c r="M1511" t="s">
        <v>1261</v>
      </c>
      <c r="V1511" t="s">
        <v>91</v>
      </c>
      <c r="W1511" t="s">
        <v>92</v>
      </c>
      <c r="X1511" t="s">
        <v>93</v>
      </c>
      <c r="Z1511" t="s">
        <v>137</v>
      </c>
      <c r="AB1511">
        <v>5.9</v>
      </c>
      <c r="AD1511">
        <v>5.3</v>
      </c>
      <c r="AF1511">
        <v>6.5</v>
      </c>
      <c r="AG1511" t="s">
        <v>95</v>
      </c>
      <c r="AX1511" t="s">
        <v>523</v>
      </c>
      <c r="AY1511" t="s">
        <v>523</v>
      </c>
      <c r="AZ1511" t="s">
        <v>475</v>
      </c>
      <c r="BC1511">
        <v>4</v>
      </c>
      <c r="BH1511" t="s">
        <v>99</v>
      </c>
      <c r="BO1511" t="s">
        <v>111</v>
      </c>
      <c r="CD1511" t="s">
        <v>1289</v>
      </c>
      <c r="CE1511">
        <v>2085</v>
      </c>
      <c r="CF1511" t="s">
        <v>1290</v>
      </c>
      <c r="CG1511" t="s">
        <v>1291</v>
      </c>
      <c r="CH1511">
        <v>1969</v>
      </c>
    </row>
    <row r="1512" spans="1:86" hidden="1" x14ac:dyDescent="0.25">
      <c r="A1512">
        <v>330541</v>
      </c>
      <c r="B1512" t="s">
        <v>86</v>
      </c>
      <c r="D1512" t="s">
        <v>115</v>
      </c>
      <c r="K1512" t="s">
        <v>1292</v>
      </c>
      <c r="L1512" t="s">
        <v>1293</v>
      </c>
      <c r="M1512" t="s">
        <v>1261</v>
      </c>
      <c r="W1512" t="s">
        <v>92</v>
      </c>
      <c r="Z1512" t="s">
        <v>137</v>
      </c>
      <c r="AB1512">
        <v>3.2</v>
      </c>
      <c r="AG1512" t="s">
        <v>95</v>
      </c>
      <c r="AX1512" t="s">
        <v>523</v>
      </c>
      <c r="AY1512" t="s">
        <v>523</v>
      </c>
      <c r="AZ1512" t="s">
        <v>475</v>
      </c>
      <c r="BC1512">
        <v>2</v>
      </c>
      <c r="BH1512" t="s">
        <v>99</v>
      </c>
      <c r="BO1512" t="s">
        <v>111</v>
      </c>
      <c r="CD1512" t="s">
        <v>1007</v>
      </c>
      <c r="CE1512">
        <v>15192</v>
      </c>
      <c r="CF1512" t="s">
        <v>1008</v>
      </c>
      <c r="CG1512" t="s">
        <v>1009</v>
      </c>
      <c r="CH1512">
        <v>1967</v>
      </c>
    </row>
    <row r="1513" spans="1:86" hidden="1" x14ac:dyDescent="0.25">
      <c r="A1513">
        <v>330541</v>
      </c>
      <c r="B1513" t="s">
        <v>86</v>
      </c>
      <c r="F1513">
        <v>95</v>
      </c>
      <c r="K1513" t="s">
        <v>1287</v>
      </c>
      <c r="L1513" t="s">
        <v>1288</v>
      </c>
      <c r="M1513" t="s">
        <v>1261</v>
      </c>
      <c r="V1513" t="s">
        <v>91</v>
      </c>
      <c r="W1513" t="s">
        <v>92</v>
      </c>
      <c r="X1513" t="s">
        <v>93</v>
      </c>
      <c r="Z1513" t="s">
        <v>94</v>
      </c>
      <c r="AB1513">
        <v>2.2000000000000002</v>
      </c>
      <c r="AD1513">
        <v>1.6</v>
      </c>
      <c r="AF1513">
        <v>2.9</v>
      </c>
      <c r="AG1513" t="s">
        <v>95</v>
      </c>
      <c r="AX1513" t="s">
        <v>523</v>
      </c>
      <c r="AY1513" t="s">
        <v>523</v>
      </c>
      <c r="AZ1513" t="s">
        <v>475</v>
      </c>
      <c r="BC1513">
        <v>4</v>
      </c>
      <c r="BH1513" t="s">
        <v>99</v>
      </c>
      <c r="BO1513" t="s">
        <v>111</v>
      </c>
      <c r="CD1513" t="s">
        <v>982</v>
      </c>
      <c r="CE1513">
        <v>6797</v>
      </c>
      <c r="CF1513" t="s">
        <v>983</v>
      </c>
      <c r="CG1513" t="s">
        <v>984</v>
      </c>
      <c r="CH1513">
        <v>1986</v>
      </c>
    </row>
    <row r="1514" spans="1:86" hidden="1" x14ac:dyDescent="0.25">
      <c r="A1514">
        <v>330541</v>
      </c>
      <c r="B1514" t="s">
        <v>86</v>
      </c>
      <c r="F1514">
        <v>28</v>
      </c>
      <c r="K1514" t="s">
        <v>1276</v>
      </c>
      <c r="L1514" t="s">
        <v>1277</v>
      </c>
      <c r="M1514" t="s">
        <v>1261</v>
      </c>
      <c r="V1514" t="s">
        <v>91</v>
      </c>
      <c r="W1514" t="s">
        <v>92</v>
      </c>
      <c r="X1514" t="s">
        <v>93</v>
      </c>
      <c r="Z1514" t="s">
        <v>137</v>
      </c>
      <c r="AB1514">
        <v>84</v>
      </c>
      <c r="AD1514">
        <v>68.3</v>
      </c>
      <c r="AF1514">
        <v>103.3</v>
      </c>
      <c r="AG1514" t="s">
        <v>95</v>
      </c>
      <c r="AX1514" t="s">
        <v>523</v>
      </c>
      <c r="AY1514" t="s">
        <v>523</v>
      </c>
      <c r="AZ1514" t="s">
        <v>475</v>
      </c>
      <c r="BC1514">
        <v>4</v>
      </c>
      <c r="BH1514" t="s">
        <v>99</v>
      </c>
      <c r="BO1514" t="s">
        <v>111</v>
      </c>
      <c r="CD1514" t="s">
        <v>366</v>
      </c>
      <c r="CE1514">
        <v>344</v>
      </c>
      <c r="CF1514" t="s">
        <v>367</v>
      </c>
      <c r="CG1514" t="s">
        <v>368</v>
      </c>
      <c r="CH1514">
        <v>1992</v>
      </c>
    </row>
    <row r="1515" spans="1:86" hidden="1" x14ac:dyDescent="0.25">
      <c r="A1515">
        <v>330541</v>
      </c>
      <c r="B1515" t="s">
        <v>86</v>
      </c>
      <c r="F1515">
        <v>95</v>
      </c>
      <c r="K1515" t="s">
        <v>1287</v>
      </c>
      <c r="L1515" t="s">
        <v>1288</v>
      </c>
      <c r="M1515" t="s">
        <v>1261</v>
      </c>
      <c r="V1515" t="s">
        <v>91</v>
      </c>
      <c r="W1515" t="s">
        <v>92</v>
      </c>
      <c r="X1515" t="s">
        <v>93</v>
      </c>
      <c r="Z1515" t="s">
        <v>94</v>
      </c>
      <c r="AB1515">
        <v>3.6</v>
      </c>
      <c r="AD1515">
        <v>2.5</v>
      </c>
      <c r="AF1515">
        <v>5</v>
      </c>
      <c r="AG1515" t="s">
        <v>95</v>
      </c>
      <c r="AX1515" t="s">
        <v>523</v>
      </c>
      <c r="AY1515" t="s">
        <v>523</v>
      </c>
      <c r="AZ1515" t="s">
        <v>475</v>
      </c>
      <c r="BC1515">
        <v>4</v>
      </c>
      <c r="BH1515" t="s">
        <v>99</v>
      </c>
      <c r="BO1515" t="s">
        <v>111</v>
      </c>
      <c r="CD1515" t="s">
        <v>982</v>
      </c>
      <c r="CE1515">
        <v>6797</v>
      </c>
      <c r="CF1515" t="s">
        <v>983</v>
      </c>
      <c r="CG1515" t="s">
        <v>984</v>
      </c>
      <c r="CH1515">
        <v>1986</v>
      </c>
    </row>
    <row r="1516" spans="1:86" hidden="1" x14ac:dyDescent="0.25">
      <c r="A1516">
        <v>330541</v>
      </c>
      <c r="B1516" t="s">
        <v>86</v>
      </c>
      <c r="D1516" t="s">
        <v>115</v>
      </c>
      <c r="K1516" t="s">
        <v>1285</v>
      </c>
      <c r="L1516" t="s">
        <v>1286</v>
      </c>
      <c r="M1516" t="s">
        <v>1261</v>
      </c>
      <c r="W1516" t="s">
        <v>92</v>
      </c>
      <c r="Z1516" t="s">
        <v>137</v>
      </c>
      <c r="AB1516">
        <v>3.5</v>
      </c>
      <c r="AG1516" t="s">
        <v>95</v>
      </c>
      <c r="AX1516" t="s">
        <v>523</v>
      </c>
      <c r="AY1516" t="s">
        <v>523</v>
      </c>
      <c r="AZ1516" t="s">
        <v>475</v>
      </c>
      <c r="BC1516">
        <v>2</v>
      </c>
      <c r="BH1516" t="s">
        <v>99</v>
      </c>
      <c r="BO1516" t="s">
        <v>111</v>
      </c>
      <c r="CD1516" t="s">
        <v>1007</v>
      </c>
      <c r="CE1516">
        <v>15192</v>
      </c>
      <c r="CF1516" t="s">
        <v>1008</v>
      </c>
      <c r="CG1516" t="s">
        <v>1009</v>
      </c>
      <c r="CH1516">
        <v>1967</v>
      </c>
    </row>
    <row r="1517" spans="1:86" hidden="1" x14ac:dyDescent="0.25">
      <c r="A1517">
        <v>330541</v>
      </c>
      <c r="B1517" t="s">
        <v>86</v>
      </c>
      <c r="F1517">
        <v>95</v>
      </c>
      <c r="K1517" t="s">
        <v>1287</v>
      </c>
      <c r="L1517" t="s">
        <v>1288</v>
      </c>
      <c r="M1517" t="s">
        <v>1261</v>
      </c>
      <c r="V1517" t="s">
        <v>91</v>
      </c>
      <c r="W1517" t="s">
        <v>92</v>
      </c>
      <c r="X1517" t="s">
        <v>93</v>
      </c>
      <c r="Z1517" t="s">
        <v>94</v>
      </c>
      <c r="AB1517">
        <v>2.4</v>
      </c>
      <c r="AD1517">
        <v>1.9</v>
      </c>
      <c r="AF1517">
        <v>2.9</v>
      </c>
      <c r="AG1517" t="s">
        <v>95</v>
      </c>
      <c r="AX1517" t="s">
        <v>523</v>
      </c>
      <c r="AY1517" t="s">
        <v>523</v>
      </c>
      <c r="AZ1517" t="s">
        <v>475</v>
      </c>
      <c r="BC1517">
        <v>4</v>
      </c>
      <c r="BH1517" t="s">
        <v>99</v>
      </c>
      <c r="BO1517" t="s">
        <v>111</v>
      </c>
      <c r="CD1517" t="s">
        <v>982</v>
      </c>
      <c r="CE1517">
        <v>6797</v>
      </c>
      <c r="CF1517" t="s">
        <v>983</v>
      </c>
      <c r="CG1517" t="s">
        <v>984</v>
      </c>
      <c r="CH1517">
        <v>1986</v>
      </c>
    </row>
    <row r="1518" spans="1:86" hidden="1" x14ac:dyDescent="0.25">
      <c r="A1518">
        <v>330541</v>
      </c>
      <c r="B1518" t="s">
        <v>86</v>
      </c>
      <c r="C1518" t="s">
        <v>183</v>
      </c>
      <c r="D1518" t="s">
        <v>87</v>
      </c>
      <c r="F1518">
        <v>98.6</v>
      </c>
      <c r="K1518" t="s">
        <v>1259</v>
      </c>
      <c r="L1518" t="s">
        <v>1260</v>
      </c>
      <c r="M1518" t="s">
        <v>1261</v>
      </c>
      <c r="P1518">
        <v>30</v>
      </c>
      <c r="U1518" t="s">
        <v>99</v>
      </c>
      <c r="V1518" t="s">
        <v>257</v>
      </c>
      <c r="W1518" t="s">
        <v>92</v>
      </c>
      <c r="X1518" t="s">
        <v>93</v>
      </c>
      <c r="Y1518">
        <v>6</v>
      </c>
      <c r="Z1518" t="s">
        <v>94</v>
      </c>
      <c r="AB1518">
        <v>23.3</v>
      </c>
      <c r="AG1518" t="s">
        <v>95</v>
      </c>
      <c r="AX1518" t="s">
        <v>523</v>
      </c>
      <c r="AY1518" t="s">
        <v>523</v>
      </c>
      <c r="AZ1518" t="s">
        <v>475</v>
      </c>
      <c r="BC1518">
        <v>1</v>
      </c>
      <c r="BH1518" t="s">
        <v>99</v>
      </c>
      <c r="BO1518" t="s">
        <v>111</v>
      </c>
      <c r="CD1518" t="s">
        <v>1262</v>
      </c>
      <c r="CE1518">
        <v>12612</v>
      </c>
      <c r="CF1518" t="s">
        <v>1263</v>
      </c>
      <c r="CG1518" t="s">
        <v>1264</v>
      </c>
      <c r="CH1518">
        <v>1987</v>
      </c>
    </row>
    <row r="1519" spans="1:86" hidden="1" x14ac:dyDescent="0.25">
      <c r="A1519">
        <v>330541</v>
      </c>
      <c r="B1519" t="s">
        <v>86</v>
      </c>
      <c r="D1519" t="s">
        <v>115</v>
      </c>
      <c r="K1519" t="s">
        <v>1276</v>
      </c>
      <c r="L1519" t="s">
        <v>1277</v>
      </c>
      <c r="M1519" t="s">
        <v>1261</v>
      </c>
      <c r="W1519" t="s">
        <v>92</v>
      </c>
      <c r="X1519" t="s">
        <v>93</v>
      </c>
      <c r="Z1519" t="s">
        <v>137</v>
      </c>
      <c r="AB1519">
        <v>7.4</v>
      </c>
      <c r="AG1519" t="s">
        <v>95</v>
      </c>
      <c r="AX1519" t="s">
        <v>523</v>
      </c>
      <c r="AY1519" t="s">
        <v>523</v>
      </c>
      <c r="AZ1519" t="s">
        <v>475</v>
      </c>
      <c r="BC1519">
        <v>2</v>
      </c>
      <c r="BH1519" t="s">
        <v>99</v>
      </c>
      <c r="BO1519" t="s">
        <v>111</v>
      </c>
      <c r="CD1519" t="s">
        <v>1278</v>
      </c>
      <c r="CE1519">
        <v>2871</v>
      </c>
      <c r="CF1519" t="s">
        <v>1294</v>
      </c>
      <c r="CG1519" t="s">
        <v>1295</v>
      </c>
      <c r="CH1519">
        <v>1965</v>
      </c>
    </row>
    <row r="1520" spans="1:86" hidden="1" x14ac:dyDescent="0.25">
      <c r="A1520">
        <v>330541</v>
      </c>
      <c r="B1520" t="s">
        <v>86</v>
      </c>
      <c r="F1520">
        <v>95</v>
      </c>
      <c r="K1520" t="s">
        <v>1276</v>
      </c>
      <c r="L1520" t="s">
        <v>1277</v>
      </c>
      <c r="M1520" t="s">
        <v>1261</v>
      </c>
      <c r="V1520" t="s">
        <v>91</v>
      </c>
      <c r="W1520" t="s">
        <v>92</v>
      </c>
      <c r="X1520" t="s">
        <v>93</v>
      </c>
      <c r="Z1520" t="s">
        <v>94</v>
      </c>
      <c r="AB1520">
        <v>8</v>
      </c>
      <c r="AD1520">
        <v>5.8</v>
      </c>
      <c r="AF1520">
        <v>11.7</v>
      </c>
      <c r="AG1520" t="s">
        <v>95</v>
      </c>
      <c r="AX1520" t="s">
        <v>523</v>
      </c>
      <c r="AY1520" t="s">
        <v>523</v>
      </c>
      <c r="AZ1520" t="s">
        <v>475</v>
      </c>
      <c r="BC1520">
        <v>4</v>
      </c>
      <c r="BH1520" t="s">
        <v>99</v>
      </c>
      <c r="BO1520" t="s">
        <v>111</v>
      </c>
      <c r="CD1520" t="s">
        <v>982</v>
      </c>
      <c r="CE1520">
        <v>6797</v>
      </c>
      <c r="CF1520" t="s">
        <v>983</v>
      </c>
      <c r="CG1520" t="s">
        <v>984</v>
      </c>
      <c r="CH1520">
        <v>1986</v>
      </c>
    </row>
    <row r="1521" spans="1:86" hidden="1" x14ac:dyDescent="0.25">
      <c r="A1521">
        <v>330541</v>
      </c>
      <c r="B1521" t="s">
        <v>86</v>
      </c>
      <c r="F1521">
        <v>95</v>
      </c>
      <c r="K1521" t="s">
        <v>1276</v>
      </c>
      <c r="L1521" t="s">
        <v>1277</v>
      </c>
      <c r="M1521" t="s">
        <v>1261</v>
      </c>
      <c r="V1521" t="s">
        <v>91</v>
      </c>
      <c r="W1521" t="s">
        <v>92</v>
      </c>
      <c r="X1521" t="s">
        <v>93</v>
      </c>
      <c r="Z1521" t="s">
        <v>94</v>
      </c>
      <c r="AB1521">
        <v>10</v>
      </c>
      <c r="AD1521">
        <v>8.5</v>
      </c>
      <c r="AF1521">
        <v>11.8</v>
      </c>
      <c r="AG1521" t="s">
        <v>95</v>
      </c>
      <c r="AX1521" t="s">
        <v>523</v>
      </c>
      <c r="AY1521" t="s">
        <v>523</v>
      </c>
      <c r="AZ1521" t="s">
        <v>475</v>
      </c>
      <c r="BC1521">
        <v>4</v>
      </c>
      <c r="BH1521" t="s">
        <v>99</v>
      </c>
      <c r="BO1521" t="s">
        <v>111</v>
      </c>
      <c r="CD1521" t="s">
        <v>982</v>
      </c>
      <c r="CE1521">
        <v>6797</v>
      </c>
      <c r="CF1521" t="s">
        <v>983</v>
      </c>
      <c r="CG1521" t="s">
        <v>984</v>
      </c>
      <c r="CH1521">
        <v>1986</v>
      </c>
    </row>
    <row r="1522" spans="1:86" hidden="1" x14ac:dyDescent="0.25">
      <c r="A1522">
        <v>330541</v>
      </c>
      <c r="B1522" t="s">
        <v>86</v>
      </c>
      <c r="F1522">
        <v>80</v>
      </c>
      <c r="K1522" t="s">
        <v>1276</v>
      </c>
      <c r="L1522" t="s">
        <v>1277</v>
      </c>
      <c r="M1522" t="s">
        <v>1261</v>
      </c>
      <c r="V1522" t="s">
        <v>91</v>
      </c>
      <c r="W1522" t="s">
        <v>92</v>
      </c>
      <c r="X1522" t="s">
        <v>93</v>
      </c>
      <c r="Z1522" t="s">
        <v>137</v>
      </c>
      <c r="AA1522" t="s">
        <v>106</v>
      </c>
      <c r="AB1522">
        <v>25</v>
      </c>
      <c r="AG1522" t="s">
        <v>95</v>
      </c>
      <c r="AX1522" t="s">
        <v>523</v>
      </c>
      <c r="AY1522" t="s">
        <v>523</v>
      </c>
      <c r="AZ1522" t="s">
        <v>475</v>
      </c>
      <c r="BC1522">
        <v>4</v>
      </c>
      <c r="BH1522" t="s">
        <v>99</v>
      </c>
      <c r="BO1522" t="s">
        <v>111</v>
      </c>
      <c r="CD1522" t="s">
        <v>366</v>
      </c>
      <c r="CE1522">
        <v>344</v>
      </c>
      <c r="CF1522" t="s">
        <v>367</v>
      </c>
      <c r="CG1522" t="s">
        <v>368</v>
      </c>
      <c r="CH1522">
        <v>1992</v>
      </c>
    </row>
    <row r="1523" spans="1:86" hidden="1" x14ac:dyDescent="0.25">
      <c r="A1523">
        <v>330541</v>
      </c>
      <c r="B1523" t="s">
        <v>86</v>
      </c>
      <c r="F1523">
        <v>95</v>
      </c>
      <c r="K1523" t="s">
        <v>1276</v>
      </c>
      <c r="L1523" t="s">
        <v>1277</v>
      </c>
      <c r="M1523" t="s">
        <v>1261</v>
      </c>
      <c r="V1523" t="s">
        <v>91</v>
      </c>
      <c r="W1523" t="s">
        <v>92</v>
      </c>
      <c r="X1523" t="s">
        <v>93</v>
      </c>
      <c r="Z1523" t="s">
        <v>94</v>
      </c>
      <c r="AB1523">
        <v>10.4</v>
      </c>
      <c r="AD1523">
        <v>7.6</v>
      </c>
      <c r="AF1523">
        <v>14.2</v>
      </c>
      <c r="AG1523" t="s">
        <v>95</v>
      </c>
      <c r="AX1523" t="s">
        <v>523</v>
      </c>
      <c r="AY1523" t="s">
        <v>523</v>
      </c>
      <c r="AZ1523" t="s">
        <v>475</v>
      </c>
      <c r="BC1523">
        <v>4</v>
      </c>
      <c r="BH1523" t="s">
        <v>99</v>
      </c>
      <c r="BO1523" t="s">
        <v>111</v>
      </c>
      <c r="CD1523" t="s">
        <v>982</v>
      </c>
      <c r="CE1523">
        <v>6797</v>
      </c>
      <c r="CF1523" t="s">
        <v>983</v>
      </c>
      <c r="CG1523" t="s">
        <v>984</v>
      </c>
      <c r="CH1523">
        <v>1986</v>
      </c>
    </row>
    <row r="1524" spans="1:86" hidden="1" x14ac:dyDescent="0.25">
      <c r="A1524">
        <v>330541</v>
      </c>
      <c r="B1524" t="s">
        <v>86</v>
      </c>
      <c r="F1524">
        <v>95</v>
      </c>
      <c r="K1524" t="s">
        <v>1276</v>
      </c>
      <c r="L1524" t="s">
        <v>1277</v>
      </c>
      <c r="M1524" t="s">
        <v>1261</v>
      </c>
      <c r="V1524" t="s">
        <v>91</v>
      </c>
      <c r="W1524" t="s">
        <v>92</v>
      </c>
      <c r="X1524" t="s">
        <v>93</v>
      </c>
      <c r="Z1524" t="s">
        <v>94</v>
      </c>
      <c r="AB1524">
        <v>35</v>
      </c>
      <c r="AD1524">
        <v>28.6</v>
      </c>
      <c r="AF1524">
        <v>42.8</v>
      </c>
      <c r="AG1524" t="s">
        <v>95</v>
      </c>
      <c r="AX1524" t="s">
        <v>523</v>
      </c>
      <c r="AY1524" t="s">
        <v>523</v>
      </c>
      <c r="AZ1524" t="s">
        <v>475</v>
      </c>
      <c r="BC1524">
        <v>1</v>
      </c>
      <c r="BH1524" t="s">
        <v>99</v>
      </c>
      <c r="BO1524" t="s">
        <v>111</v>
      </c>
      <c r="CD1524" t="s">
        <v>982</v>
      </c>
      <c r="CE1524">
        <v>6797</v>
      </c>
      <c r="CF1524" t="s">
        <v>983</v>
      </c>
      <c r="CG1524" t="s">
        <v>984</v>
      </c>
      <c r="CH1524">
        <v>1986</v>
      </c>
    </row>
    <row r="1525" spans="1:86" hidden="1" x14ac:dyDescent="0.25">
      <c r="A1525">
        <v>330541</v>
      </c>
      <c r="B1525" t="s">
        <v>86</v>
      </c>
      <c r="F1525">
        <v>95</v>
      </c>
      <c r="K1525" t="s">
        <v>1287</v>
      </c>
      <c r="L1525" t="s">
        <v>1288</v>
      </c>
      <c r="M1525" t="s">
        <v>1261</v>
      </c>
      <c r="V1525" t="s">
        <v>91</v>
      </c>
      <c r="W1525" t="s">
        <v>92</v>
      </c>
      <c r="X1525" t="s">
        <v>93</v>
      </c>
      <c r="Z1525" t="s">
        <v>94</v>
      </c>
      <c r="AA1525" t="s">
        <v>106</v>
      </c>
      <c r="AB1525">
        <v>4.5</v>
      </c>
      <c r="AG1525" t="s">
        <v>95</v>
      </c>
      <c r="AX1525" t="s">
        <v>523</v>
      </c>
      <c r="AY1525" t="s">
        <v>523</v>
      </c>
      <c r="AZ1525" t="s">
        <v>475</v>
      </c>
      <c r="BC1525">
        <v>1</v>
      </c>
      <c r="BH1525" t="s">
        <v>99</v>
      </c>
      <c r="BO1525" t="s">
        <v>111</v>
      </c>
      <c r="CD1525" t="s">
        <v>982</v>
      </c>
      <c r="CE1525">
        <v>6797</v>
      </c>
      <c r="CF1525" t="s">
        <v>983</v>
      </c>
      <c r="CG1525" t="s">
        <v>984</v>
      </c>
      <c r="CH1525">
        <v>1986</v>
      </c>
    </row>
    <row r="1526" spans="1:86" hidden="1" x14ac:dyDescent="0.25">
      <c r="A1526">
        <v>330541</v>
      </c>
      <c r="B1526" t="s">
        <v>86</v>
      </c>
      <c r="F1526">
        <v>95</v>
      </c>
      <c r="K1526" t="s">
        <v>1276</v>
      </c>
      <c r="L1526" t="s">
        <v>1277</v>
      </c>
      <c r="M1526" t="s">
        <v>1261</v>
      </c>
      <c r="V1526" t="s">
        <v>91</v>
      </c>
      <c r="W1526" t="s">
        <v>92</v>
      </c>
      <c r="X1526" t="s">
        <v>93</v>
      </c>
      <c r="Z1526" t="s">
        <v>94</v>
      </c>
      <c r="AA1526" t="s">
        <v>106</v>
      </c>
      <c r="AB1526">
        <v>30</v>
      </c>
      <c r="AG1526" t="s">
        <v>95</v>
      </c>
      <c r="AX1526" t="s">
        <v>523</v>
      </c>
      <c r="AY1526" t="s">
        <v>523</v>
      </c>
      <c r="AZ1526" t="s">
        <v>475</v>
      </c>
      <c r="BC1526">
        <v>1</v>
      </c>
      <c r="BH1526" t="s">
        <v>99</v>
      </c>
      <c r="BO1526" t="s">
        <v>111</v>
      </c>
      <c r="CD1526" t="s">
        <v>982</v>
      </c>
      <c r="CE1526">
        <v>6797</v>
      </c>
      <c r="CF1526" t="s">
        <v>983</v>
      </c>
      <c r="CG1526" t="s">
        <v>984</v>
      </c>
      <c r="CH1526">
        <v>1986</v>
      </c>
    </row>
    <row r="1527" spans="1:86" hidden="1" x14ac:dyDescent="0.25">
      <c r="A1527">
        <v>330541</v>
      </c>
      <c r="B1527" t="s">
        <v>86</v>
      </c>
      <c r="F1527">
        <v>95</v>
      </c>
      <c r="K1527" t="s">
        <v>1276</v>
      </c>
      <c r="L1527" t="s">
        <v>1277</v>
      </c>
      <c r="M1527" t="s">
        <v>1261</v>
      </c>
      <c r="V1527" t="s">
        <v>91</v>
      </c>
      <c r="W1527" t="s">
        <v>92</v>
      </c>
      <c r="X1527" t="s">
        <v>93</v>
      </c>
      <c r="Z1527" t="s">
        <v>94</v>
      </c>
      <c r="AB1527">
        <v>7</v>
      </c>
      <c r="AD1527">
        <v>5.4</v>
      </c>
      <c r="AF1527">
        <v>9</v>
      </c>
      <c r="AG1527" t="s">
        <v>95</v>
      </c>
      <c r="AX1527" t="s">
        <v>523</v>
      </c>
      <c r="AY1527" t="s">
        <v>523</v>
      </c>
      <c r="AZ1527" t="s">
        <v>475</v>
      </c>
      <c r="BC1527">
        <v>4</v>
      </c>
      <c r="BH1527" t="s">
        <v>99</v>
      </c>
      <c r="BO1527" t="s">
        <v>111</v>
      </c>
      <c r="CD1527" t="s">
        <v>982</v>
      </c>
      <c r="CE1527">
        <v>6797</v>
      </c>
      <c r="CF1527" t="s">
        <v>983</v>
      </c>
      <c r="CG1527" t="s">
        <v>984</v>
      </c>
      <c r="CH1527">
        <v>1986</v>
      </c>
    </row>
    <row r="1528" spans="1:86" hidden="1" x14ac:dyDescent="0.25">
      <c r="A1528">
        <v>330541</v>
      </c>
      <c r="B1528" t="s">
        <v>86</v>
      </c>
      <c r="F1528">
        <v>95</v>
      </c>
      <c r="K1528" t="s">
        <v>1287</v>
      </c>
      <c r="L1528" t="s">
        <v>1288</v>
      </c>
      <c r="M1528" t="s">
        <v>1261</v>
      </c>
      <c r="V1528" t="s">
        <v>91</v>
      </c>
      <c r="W1528" t="s">
        <v>92</v>
      </c>
      <c r="X1528" t="s">
        <v>93</v>
      </c>
      <c r="Z1528" t="s">
        <v>94</v>
      </c>
      <c r="AA1528" t="s">
        <v>106</v>
      </c>
      <c r="AB1528">
        <v>5</v>
      </c>
      <c r="AG1528" t="s">
        <v>95</v>
      </c>
      <c r="AX1528" t="s">
        <v>523</v>
      </c>
      <c r="AY1528" t="s">
        <v>523</v>
      </c>
      <c r="AZ1528" t="s">
        <v>475</v>
      </c>
      <c r="BC1528">
        <v>1</v>
      </c>
      <c r="BH1528" t="s">
        <v>99</v>
      </c>
      <c r="BO1528" t="s">
        <v>111</v>
      </c>
      <c r="CD1528" t="s">
        <v>982</v>
      </c>
      <c r="CE1528">
        <v>6797</v>
      </c>
      <c r="CF1528" t="s">
        <v>983</v>
      </c>
      <c r="CG1528" t="s">
        <v>984</v>
      </c>
      <c r="CH1528">
        <v>1986</v>
      </c>
    </row>
    <row r="1529" spans="1:86" hidden="1" x14ac:dyDescent="0.25">
      <c r="A1529">
        <v>330541</v>
      </c>
      <c r="B1529" t="s">
        <v>86</v>
      </c>
      <c r="F1529">
        <v>95</v>
      </c>
      <c r="K1529" t="s">
        <v>1287</v>
      </c>
      <c r="L1529" t="s">
        <v>1288</v>
      </c>
      <c r="M1529" t="s">
        <v>1261</v>
      </c>
      <c r="V1529" t="s">
        <v>91</v>
      </c>
      <c r="W1529" t="s">
        <v>92</v>
      </c>
      <c r="X1529" t="s">
        <v>93</v>
      </c>
      <c r="Z1529" t="s">
        <v>94</v>
      </c>
      <c r="AB1529">
        <v>2.1</v>
      </c>
      <c r="AD1529">
        <v>1.5</v>
      </c>
      <c r="AF1529">
        <v>3</v>
      </c>
      <c r="AG1529" t="s">
        <v>95</v>
      </c>
      <c r="AX1529" t="s">
        <v>523</v>
      </c>
      <c r="AY1529" t="s">
        <v>523</v>
      </c>
      <c r="AZ1529" t="s">
        <v>475</v>
      </c>
      <c r="BC1529">
        <v>4</v>
      </c>
      <c r="BH1529" t="s">
        <v>99</v>
      </c>
      <c r="BO1529" t="s">
        <v>111</v>
      </c>
      <c r="CD1529" t="s">
        <v>982</v>
      </c>
      <c r="CE1529">
        <v>6797</v>
      </c>
      <c r="CF1529" t="s">
        <v>983</v>
      </c>
      <c r="CG1529" t="s">
        <v>984</v>
      </c>
      <c r="CH1529">
        <v>1986</v>
      </c>
    </row>
    <row r="1530" spans="1:86" hidden="1" x14ac:dyDescent="0.25">
      <c r="A1530">
        <v>330541</v>
      </c>
      <c r="B1530" t="s">
        <v>86</v>
      </c>
      <c r="F1530">
        <v>95</v>
      </c>
      <c r="K1530" t="s">
        <v>1276</v>
      </c>
      <c r="L1530" t="s">
        <v>1277</v>
      </c>
      <c r="M1530" t="s">
        <v>1261</v>
      </c>
      <c r="V1530" t="s">
        <v>91</v>
      </c>
      <c r="W1530" t="s">
        <v>92</v>
      </c>
      <c r="X1530" t="s">
        <v>93</v>
      </c>
      <c r="Z1530" t="s">
        <v>94</v>
      </c>
      <c r="AB1530">
        <v>8.3000000000000007</v>
      </c>
      <c r="AD1530">
        <v>7</v>
      </c>
      <c r="AF1530">
        <v>9.8000000000000007</v>
      </c>
      <c r="AG1530" t="s">
        <v>95</v>
      </c>
      <c r="AX1530" t="s">
        <v>523</v>
      </c>
      <c r="AY1530" t="s">
        <v>523</v>
      </c>
      <c r="AZ1530" t="s">
        <v>475</v>
      </c>
      <c r="BC1530">
        <v>4</v>
      </c>
      <c r="BH1530" t="s">
        <v>99</v>
      </c>
      <c r="BO1530" t="s">
        <v>111</v>
      </c>
      <c r="CD1530" t="s">
        <v>982</v>
      </c>
      <c r="CE1530">
        <v>6797</v>
      </c>
      <c r="CF1530" t="s">
        <v>983</v>
      </c>
      <c r="CG1530" t="s">
        <v>984</v>
      </c>
      <c r="CH1530">
        <v>1986</v>
      </c>
    </row>
    <row r="1531" spans="1:86" hidden="1" x14ac:dyDescent="0.25">
      <c r="A1531">
        <v>330541</v>
      </c>
      <c r="B1531" t="s">
        <v>86</v>
      </c>
      <c r="D1531" t="s">
        <v>115</v>
      </c>
      <c r="K1531" t="s">
        <v>1276</v>
      </c>
      <c r="L1531" t="s">
        <v>1277</v>
      </c>
      <c r="M1531" t="s">
        <v>1261</v>
      </c>
      <c r="V1531" t="s">
        <v>91</v>
      </c>
      <c r="W1531" t="s">
        <v>92</v>
      </c>
      <c r="X1531" t="s">
        <v>93</v>
      </c>
      <c r="Z1531" t="s">
        <v>137</v>
      </c>
      <c r="AB1531">
        <v>17</v>
      </c>
      <c r="AD1531">
        <v>16</v>
      </c>
      <c r="AF1531">
        <v>19</v>
      </c>
      <c r="AG1531" t="s">
        <v>95</v>
      </c>
      <c r="AX1531" t="s">
        <v>523</v>
      </c>
      <c r="AY1531" t="s">
        <v>523</v>
      </c>
      <c r="AZ1531" t="s">
        <v>475</v>
      </c>
      <c r="BC1531">
        <v>1</v>
      </c>
      <c r="BH1531" t="s">
        <v>99</v>
      </c>
      <c r="BO1531" t="s">
        <v>111</v>
      </c>
      <c r="CD1531" t="s">
        <v>1289</v>
      </c>
      <c r="CE1531">
        <v>2085</v>
      </c>
      <c r="CF1531" t="s">
        <v>1290</v>
      </c>
      <c r="CG1531" t="s">
        <v>1291</v>
      </c>
      <c r="CH1531">
        <v>1969</v>
      </c>
    </row>
    <row r="1532" spans="1:86" hidden="1" x14ac:dyDescent="0.25">
      <c r="A1532">
        <v>330541</v>
      </c>
      <c r="B1532" t="s">
        <v>86</v>
      </c>
      <c r="F1532">
        <v>95</v>
      </c>
      <c r="K1532" t="s">
        <v>1287</v>
      </c>
      <c r="L1532" t="s">
        <v>1288</v>
      </c>
      <c r="M1532" t="s">
        <v>1261</v>
      </c>
      <c r="V1532" t="s">
        <v>91</v>
      </c>
      <c r="W1532" t="s">
        <v>92</v>
      </c>
      <c r="X1532" t="s">
        <v>93</v>
      </c>
      <c r="Z1532" t="s">
        <v>94</v>
      </c>
      <c r="AB1532">
        <v>4.2</v>
      </c>
      <c r="AD1532">
        <v>2.8</v>
      </c>
      <c r="AF1532">
        <v>6.2</v>
      </c>
      <c r="AG1532" t="s">
        <v>95</v>
      </c>
      <c r="AX1532" t="s">
        <v>523</v>
      </c>
      <c r="AY1532" t="s">
        <v>523</v>
      </c>
      <c r="AZ1532" t="s">
        <v>475</v>
      </c>
      <c r="BC1532">
        <v>1</v>
      </c>
      <c r="BH1532" t="s">
        <v>99</v>
      </c>
      <c r="BO1532" t="s">
        <v>111</v>
      </c>
      <c r="CD1532" t="s">
        <v>982</v>
      </c>
      <c r="CE1532">
        <v>6797</v>
      </c>
      <c r="CF1532" t="s">
        <v>983</v>
      </c>
      <c r="CG1532" t="s">
        <v>984</v>
      </c>
      <c r="CH1532">
        <v>1986</v>
      </c>
    </row>
    <row r="1533" spans="1:86" hidden="1" x14ac:dyDescent="0.25">
      <c r="A1533">
        <v>330541</v>
      </c>
      <c r="B1533" t="s">
        <v>86</v>
      </c>
      <c r="F1533">
        <v>95</v>
      </c>
      <c r="K1533" t="s">
        <v>1276</v>
      </c>
      <c r="L1533" t="s">
        <v>1277</v>
      </c>
      <c r="M1533" t="s">
        <v>1261</v>
      </c>
      <c r="V1533" t="s">
        <v>91</v>
      </c>
      <c r="W1533" t="s">
        <v>92</v>
      </c>
      <c r="X1533" t="s">
        <v>93</v>
      </c>
      <c r="Z1533" t="s">
        <v>94</v>
      </c>
      <c r="AA1533" t="s">
        <v>106</v>
      </c>
      <c r="AB1533">
        <v>30</v>
      </c>
      <c r="AG1533" t="s">
        <v>95</v>
      </c>
      <c r="AX1533" t="s">
        <v>523</v>
      </c>
      <c r="AY1533" t="s">
        <v>523</v>
      </c>
      <c r="AZ1533" t="s">
        <v>475</v>
      </c>
      <c r="BC1533">
        <v>1</v>
      </c>
      <c r="BH1533" t="s">
        <v>99</v>
      </c>
      <c r="BO1533" t="s">
        <v>111</v>
      </c>
      <c r="CD1533" t="s">
        <v>982</v>
      </c>
      <c r="CE1533">
        <v>6797</v>
      </c>
      <c r="CF1533" t="s">
        <v>983</v>
      </c>
      <c r="CG1533" t="s">
        <v>984</v>
      </c>
      <c r="CH1533">
        <v>1986</v>
      </c>
    </row>
    <row r="1534" spans="1:86" hidden="1" x14ac:dyDescent="0.25">
      <c r="A1534">
        <v>330541</v>
      </c>
      <c r="B1534" t="s">
        <v>86</v>
      </c>
      <c r="F1534">
        <v>95</v>
      </c>
      <c r="K1534" t="s">
        <v>1287</v>
      </c>
      <c r="L1534" t="s">
        <v>1288</v>
      </c>
      <c r="M1534" t="s">
        <v>1261</v>
      </c>
      <c r="V1534" t="s">
        <v>91</v>
      </c>
      <c r="W1534" t="s">
        <v>92</v>
      </c>
      <c r="X1534" t="s">
        <v>93</v>
      </c>
      <c r="Z1534" t="s">
        <v>94</v>
      </c>
      <c r="AB1534">
        <v>3.5</v>
      </c>
      <c r="AD1534">
        <v>2.8</v>
      </c>
      <c r="AF1534">
        <v>4.4000000000000004</v>
      </c>
      <c r="AG1534" t="s">
        <v>95</v>
      </c>
      <c r="AX1534" t="s">
        <v>523</v>
      </c>
      <c r="AY1534" t="s">
        <v>523</v>
      </c>
      <c r="AZ1534" t="s">
        <v>475</v>
      </c>
      <c r="BC1534">
        <v>1</v>
      </c>
      <c r="BH1534" t="s">
        <v>99</v>
      </c>
      <c r="BO1534" t="s">
        <v>111</v>
      </c>
      <c r="CD1534" t="s">
        <v>982</v>
      </c>
      <c r="CE1534">
        <v>6797</v>
      </c>
      <c r="CF1534" t="s">
        <v>983</v>
      </c>
      <c r="CG1534" t="s">
        <v>984</v>
      </c>
      <c r="CH1534">
        <v>1986</v>
      </c>
    </row>
    <row r="1535" spans="1:86" hidden="1" x14ac:dyDescent="0.25">
      <c r="A1535">
        <v>330541</v>
      </c>
      <c r="B1535" t="s">
        <v>86</v>
      </c>
      <c r="F1535">
        <v>95</v>
      </c>
      <c r="K1535" t="s">
        <v>1276</v>
      </c>
      <c r="L1535" t="s">
        <v>1277</v>
      </c>
      <c r="M1535" t="s">
        <v>1261</v>
      </c>
      <c r="V1535" t="s">
        <v>91</v>
      </c>
      <c r="W1535" t="s">
        <v>92</v>
      </c>
      <c r="X1535" t="s">
        <v>93</v>
      </c>
      <c r="Z1535" t="s">
        <v>94</v>
      </c>
      <c r="AB1535">
        <v>16.7</v>
      </c>
      <c r="AD1535">
        <v>14.9</v>
      </c>
      <c r="AF1535">
        <v>18.7</v>
      </c>
      <c r="AG1535" t="s">
        <v>95</v>
      </c>
      <c r="AX1535" t="s">
        <v>523</v>
      </c>
      <c r="AY1535" t="s">
        <v>523</v>
      </c>
      <c r="AZ1535" t="s">
        <v>475</v>
      </c>
      <c r="BC1535">
        <v>1</v>
      </c>
      <c r="BH1535" t="s">
        <v>99</v>
      </c>
      <c r="BO1535" t="s">
        <v>111</v>
      </c>
      <c r="CD1535" t="s">
        <v>982</v>
      </c>
      <c r="CE1535">
        <v>6797</v>
      </c>
      <c r="CF1535" t="s">
        <v>983</v>
      </c>
      <c r="CG1535" t="s">
        <v>984</v>
      </c>
      <c r="CH1535">
        <v>1986</v>
      </c>
    </row>
    <row r="1536" spans="1:86" hidden="1" x14ac:dyDescent="0.25">
      <c r="A1536">
        <v>330541</v>
      </c>
      <c r="B1536" t="s">
        <v>86</v>
      </c>
      <c r="D1536" t="s">
        <v>87</v>
      </c>
      <c r="F1536">
        <v>98.6</v>
      </c>
      <c r="K1536" t="s">
        <v>1259</v>
      </c>
      <c r="L1536" t="s">
        <v>1260</v>
      </c>
      <c r="M1536" t="s">
        <v>1261</v>
      </c>
      <c r="P1536">
        <v>30</v>
      </c>
      <c r="U1536" t="s">
        <v>99</v>
      </c>
      <c r="V1536" t="s">
        <v>257</v>
      </c>
      <c r="W1536" t="s">
        <v>92</v>
      </c>
      <c r="X1536" t="s">
        <v>93</v>
      </c>
      <c r="Z1536" t="s">
        <v>94</v>
      </c>
      <c r="AB1536">
        <v>14.2</v>
      </c>
      <c r="AD1536">
        <v>13.4</v>
      </c>
      <c r="AF1536">
        <v>15</v>
      </c>
      <c r="AG1536" t="s">
        <v>95</v>
      </c>
      <c r="AX1536" t="s">
        <v>523</v>
      </c>
      <c r="AY1536" t="s">
        <v>523</v>
      </c>
      <c r="AZ1536" t="s">
        <v>475</v>
      </c>
      <c r="BC1536">
        <v>4</v>
      </c>
      <c r="BH1536" t="s">
        <v>99</v>
      </c>
      <c r="BO1536" t="s">
        <v>111</v>
      </c>
      <c r="CD1536" t="s">
        <v>1296</v>
      </c>
      <c r="CE1536">
        <v>12858</v>
      </c>
      <c r="CF1536" t="s">
        <v>1297</v>
      </c>
      <c r="CG1536" t="s">
        <v>1298</v>
      </c>
      <c r="CH1536">
        <v>1986</v>
      </c>
    </row>
    <row r="1537" spans="1:86" hidden="1" x14ac:dyDescent="0.25">
      <c r="A1537">
        <v>330541</v>
      </c>
      <c r="B1537" t="s">
        <v>86</v>
      </c>
      <c r="F1537">
        <v>95</v>
      </c>
      <c r="K1537" t="s">
        <v>1287</v>
      </c>
      <c r="L1537" t="s">
        <v>1288</v>
      </c>
      <c r="M1537" t="s">
        <v>1261</v>
      </c>
      <c r="V1537" t="s">
        <v>91</v>
      </c>
      <c r="W1537" t="s">
        <v>92</v>
      </c>
      <c r="X1537" t="s">
        <v>93</v>
      </c>
      <c r="Z1537" t="s">
        <v>94</v>
      </c>
      <c r="AB1537">
        <v>5.3</v>
      </c>
      <c r="AD1537">
        <v>4</v>
      </c>
      <c r="AF1537">
        <v>7</v>
      </c>
      <c r="AG1537" t="s">
        <v>95</v>
      </c>
      <c r="AX1537" t="s">
        <v>523</v>
      </c>
      <c r="AY1537" t="s">
        <v>523</v>
      </c>
      <c r="AZ1537" t="s">
        <v>475</v>
      </c>
      <c r="BC1537">
        <v>1</v>
      </c>
      <c r="BH1537" t="s">
        <v>99</v>
      </c>
      <c r="BO1537" t="s">
        <v>111</v>
      </c>
      <c r="CD1537" t="s">
        <v>982</v>
      </c>
      <c r="CE1537">
        <v>6797</v>
      </c>
      <c r="CF1537" t="s">
        <v>983</v>
      </c>
      <c r="CG1537" t="s">
        <v>984</v>
      </c>
      <c r="CH1537">
        <v>1986</v>
      </c>
    </row>
    <row r="1538" spans="1:86" hidden="1" x14ac:dyDescent="0.25">
      <c r="A1538">
        <v>330541</v>
      </c>
      <c r="B1538" t="s">
        <v>86</v>
      </c>
      <c r="D1538" t="s">
        <v>115</v>
      </c>
      <c r="K1538" t="s">
        <v>1276</v>
      </c>
      <c r="L1538" t="s">
        <v>1277</v>
      </c>
      <c r="M1538" t="s">
        <v>1261</v>
      </c>
      <c r="W1538" t="s">
        <v>92</v>
      </c>
      <c r="X1538" t="s">
        <v>93</v>
      </c>
      <c r="Z1538" t="s">
        <v>137</v>
      </c>
      <c r="AB1538">
        <v>5.9</v>
      </c>
      <c r="AG1538" t="s">
        <v>95</v>
      </c>
      <c r="AX1538" t="s">
        <v>523</v>
      </c>
      <c r="AY1538" t="s">
        <v>523</v>
      </c>
      <c r="AZ1538" t="s">
        <v>475</v>
      </c>
      <c r="BC1538">
        <v>4</v>
      </c>
      <c r="BH1538" t="s">
        <v>99</v>
      </c>
      <c r="BO1538" t="s">
        <v>111</v>
      </c>
      <c r="CD1538" t="s">
        <v>1299</v>
      </c>
      <c r="CE1538">
        <v>70421</v>
      </c>
      <c r="CF1538" t="s">
        <v>1300</v>
      </c>
      <c r="CG1538" t="s">
        <v>1301</v>
      </c>
      <c r="CH1538">
        <v>1974</v>
      </c>
    </row>
    <row r="1539" spans="1:86" hidden="1" x14ac:dyDescent="0.25">
      <c r="A1539">
        <v>330541</v>
      </c>
      <c r="B1539" t="s">
        <v>86</v>
      </c>
      <c r="F1539">
        <v>95</v>
      </c>
      <c r="K1539" t="s">
        <v>1287</v>
      </c>
      <c r="L1539" t="s">
        <v>1288</v>
      </c>
      <c r="M1539" t="s">
        <v>1261</v>
      </c>
      <c r="V1539" t="s">
        <v>91</v>
      </c>
      <c r="W1539" t="s">
        <v>92</v>
      </c>
      <c r="X1539" t="s">
        <v>93</v>
      </c>
      <c r="Z1539" t="s">
        <v>94</v>
      </c>
      <c r="AA1539" t="s">
        <v>106</v>
      </c>
      <c r="AB1539">
        <v>20</v>
      </c>
      <c r="AG1539" t="s">
        <v>95</v>
      </c>
      <c r="AX1539" t="s">
        <v>523</v>
      </c>
      <c r="AY1539" t="s">
        <v>523</v>
      </c>
      <c r="AZ1539" t="s">
        <v>475</v>
      </c>
      <c r="BC1539">
        <v>1</v>
      </c>
      <c r="BH1539" t="s">
        <v>99</v>
      </c>
      <c r="BO1539" t="s">
        <v>111</v>
      </c>
      <c r="CD1539" t="s">
        <v>982</v>
      </c>
      <c r="CE1539">
        <v>6797</v>
      </c>
      <c r="CF1539" t="s">
        <v>983</v>
      </c>
      <c r="CG1539" t="s">
        <v>984</v>
      </c>
      <c r="CH1539">
        <v>1986</v>
      </c>
    </row>
    <row r="1540" spans="1:86" hidden="1" x14ac:dyDescent="0.25">
      <c r="A1540">
        <v>330541</v>
      </c>
      <c r="B1540" t="s">
        <v>86</v>
      </c>
      <c r="D1540" t="s">
        <v>115</v>
      </c>
      <c r="K1540" t="s">
        <v>1276</v>
      </c>
      <c r="L1540" t="s">
        <v>1277</v>
      </c>
      <c r="M1540" t="s">
        <v>1261</v>
      </c>
      <c r="V1540" t="s">
        <v>91</v>
      </c>
      <c r="W1540" t="s">
        <v>92</v>
      </c>
      <c r="X1540" t="s">
        <v>93</v>
      </c>
      <c r="Z1540" t="s">
        <v>137</v>
      </c>
      <c r="AB1540">
        <v>8.9</v>
      </c>
      <c r="AD1540">
        <v>8.1999999999999993</v>
      </c>
      <c r="AF1540">
        <v>9.6</v>
      </c>
      <c r="AG1540" t="s">
        <v>95</v>
      </c>
      <c r="AX1540" t="s">
        <v>523</v>
      </c>
      <c r="AY1540" t="s">
        <v>523</v>
      </c>
      <c r="AZ1540" t="s">
        <v>475</v>
      </c>
      <c r="BC1540">
        <v>4</v>
      </c>
      <c r="BH1540" t="s">
        <v>99</v>
      </c>
      <c r="BO1540" t="s">
        <v>111</v>
      </c>
      <c r="CD1540" t="s">
        <v>1289</v>
      </c>
      <c r="CE1540">
        <v>2085</v>
      </c>
      <c r="CF1540" t="s">
        <v>1290</v>
      </c>
      <c r="CG1540" t="s">
        <v>1291</v>
      </c>
      <c r="CH1540">
        <v>1969</v>
      </c>
    </row>
    <row r="1541" spans="1:86" hidden="1" x14ac:dyDescent="0.25">
      <c r="A1541">
        <v>330541</v>
      </c>
      <c r="B1541" t="s">
        <v>86</v>
      </c>
      <c r="C1541" t="s">
        <v>183</v>
      </c>
      <c r="D1541" t="s">
        <v>87</v>
      </c>
      <c r="F1541">
        <v>98.6</v>
      </c>
      <c r="K1541" t="s">
        <v>1259</v>
      </c>
      <c r="L1541" t="s">
        <v>1260</v>
      </c>
      <c r="M1541" t="s">
        <v>1261</v>
      </c>
      <c r="P1541">
        <v>30</v>
      </c>
      <c r="U1541" t="s">
        <v>99</v>
      </c>
      <c r="V1541" t="s">
        <v>257</v>
      </c>
      <c r="W1541" t="s">
        <v>92</v>
      </c>
      <c r="X1541" t="s">
        <v>93</v>
      </c>
      <c r="Y1541">
        <v>6</v>
      </c>
      <c r="Z1541" t="s">
        <v>94</v>
      </c>
      <c r="AB1541">
        <v>7.7</v>
      </c>
      <c r="AG1541" t="s">
        <v>95</v>
      </c>
      <c r="AX1541" t="s">
        <v>523</v>
      </c>
      <c r="AY1541" t="s">
        <v>523</v>
      </c>
      <c r="AZ1541" t="s">
        <v>475</v>
      </c>
      <c r="BC1541">
        <v>8.1667000000000005</v>
      </c>
      <c r="BH1541" t="s">
        <v>99</v>
      </c>
      <c r="BO1541" t="s">
        <v>111</v>
      </c>
      <c r="CD1541" t="s">
        <v>1262</v>
      </c>
      <c r="CE1541">
        <v>12612</v>
      </c>
      <c r="CF1541" t="s">
        <v>1263</v>
      </c>
      <c r="CG1541" t="s">
        <v>1264</v>
      </c>
      <c r="CH1541">
        <v>1987</v>
      </c>
    </row>
    <row r="1542" spans="1:86" hidden="1" x14ac:dyDescent="0.25">
      <c r="A1542">
        <v>330541</v>
      </c>
      <c r="B1542" t="s">
        <v>86</v>
      </c>
      <c r="F1542">
        <v>99</v>
      </c>
      <c r="K1542" t="s">
        <v>1302</v>
      </c>
      <c r="L1542" t="s">
        <v>1303</v>
      </c>
      <c r="M1542" t="s">
        <v>1261</v>
      </c>
      <c r="V1542" t="s">
        <v>91</v>
      </c>
      <c r="W1542" t="s">
        <v>107</v>
      </c>
      <c r="X1542" t="s">
        <v>93</v>
      </c>
      <c r="Z1542" t="s">
        <v>94</v>
      </c>
      <c r="AB1542">
        <v>6.7</v>
      </c>
      <c r="AD1542">
        <v>3.6</v>
      </c>
      <c r="AF1542">
        <v>10</v>
      </c>
      <c r="AG1542" t="s">
        <v>95</v>
      </c>
      <c r="AX1542" t="s">
        <v>523</v>
      </c>
      <c r="AY1542" t="s">
        <v>523</v>
      </c>
      <c r="AZ1542" t="s">
        <v>475</v>
      </c>
      <c r="BC1542">
        <v>4</v>
      </c>
      <c r="BH1542" t="s">
        <v>99</v>
      </c>
      <c r="BO1542" t="s">
        <v>111</v>
      </c>
      <c r="CD1542" t="s">
        <v>366</v>
      </c>
      <c r="CE1542">
        <v>344</v>
      </c>
      <c r="CF1542" t="s">
        <v>367</v>
      </c>
      <c r="CG1542" t="s">
        <v>368</v>
      </c>
      <c r="CH1542">
        <v>1992</v>
      </c>
    </row>
    <row r="1543" spans="1:86" hidden="1" x14ac:dyDescent="0.25">
      <c r="A1543">
        <v>330541</v>
      </c>
      <c r="B1543" t="s">
        <v>86</v>
      </c>
      <c r="D1543" t="s">
        <v>115</v>
      </c>
      <c r="K1543" t="s">
        <v>1276</v>
      </c>
      <c r="L1543" t="s">
        <v>1277</v>
      </c>
      <c r="M1543" t="s">
        <v>1261</v>
      </c>
      <c r="V1543" t="s">
        <v>91</v>
      </c>
      <c r="W1543" t="s">
        <v>92</v>
      </c>
      <c r="X1543" t="s">
        <v>93</v>
      </c>
      <c r="Z1543" t="s">
        <v>137</v>
      </c>
      <c r="AB1543">
        <v>7.6</v>
      </c>
      <c r="AD1543">
        <v>7</v>
      </c>
      <c r="AF1543">
        <v>8.1999999999999993</v>
      </c>
      <c r="AG1543" t="s">
        <v>95</v>
      </c>
      <c r="AX1543" t="s">
        <v>523</v>
      </c>
      <c r="AY1543" t="s">
        <v>523</v>
      </c>
      <c r="AZ1543" t="s">
        <v>475</v>
      </c>
      <c r="BC1543">
        <v>4</v>
      </c>
      <c r="BH1543" t="s">
        <v>99</v>
      </c>
      <c r="BO1543" t="s">
        <v>111</v>
      </c>
      <c r="CD1543" t="s">
        <v>1289</v>
      </c>
      <c r="CE1543">
        <v>2085</v>
      </c>
      <c r="CF1543" t="s">
        <v>1290</v>
      </c>
      <c r="CG1543" t="s">
        <v>1291</v>
      </c>
      <c r="CH1543">
        <v>1969</v>
      </c>
    </row>
    <row r="1544" spans="1:86" hidden="1" x14ac:dyDescent="0.25">
      <c r="A1544">
        <v>330541</v>
      </c>
      <c r="B1544" t="s">
        <v>86</v>
      </c>
      <c r="C1544" t="s">
        <v>183</v>
      </c>
      <c r="D1544" t="s">
        <v>87</v>
      </c>
      <c r="F1544">
        <v>98.6</v>
      </c>
      <c r="K1544" t="s">
        <v>1259</v>
      </c>
      <c r="L1544" t="s">
        <v>1260</v>
      </c>
      <c r="M1544" t="s">
        <v>1261</v>
      </c>
      <c r="P1544">
        <v>30</v>
      </c>
      <c r="U1544" t="s">
        <v>99</v>
      </c>
      <c r="V1544" t="s">
        <v>257</v>
      </c>
      <c r="W1544" t="s">
        <v>92</v>
      </c>
      <c r="X1544" t="s">
        <v>93</v>
      </c>
      <c r="Y1544">
        <v>6</v>
      </c>
      <c r="Z1544" t="s">
        <v>94</v>
      </c>
      <c r="AB1544">
        <v>14.2</v>
      </c>
      <c r="AG1544" t="s">
        <v>95</v>
      </c>
      <c r="AX1544" t="s">
        <v>523</v>
      </c>
      <c r="AY1544" t="s">
        <v>523</v>
      </c>
      <c r="AZ1544" t="s">
        <v>475</v>
      </c>
      <c r="BC1544">
        <v>4</v>
      </c>
      <c r="BH1544" t="s">
        <v>99</v>
      </c>
      <c r="BO1544" t="s">
        <v>111</v>
      </c>
      <c r="CD1544" t="s">
        <v>1262</v>
      </c>
      <c r="CE1544">
        <v>12612</v>
      </c>
      <c r="CF1544" t="s">
        <v>1263</v>
      </c>
      <c r="CG1544" t="s">
        <v>1264</v>
      </c>
      <c r="CH1544">
        <v>1987</v>
      </c>
    </row>
    <row r="1545" spans="1:86" hidden="1" x14ac:dyDescent="0.25">
      <c r="A1545">
        <v>330541</v>
      </c>
      <c r="B1545" t="s">
        <v>86</v>
      </c>
      <c r="F1545">
        <v>95</v>
      </c>
      <c r="K1545" t="s">
        <v>1287</v>
      </c>
      <c r="L1545" t="s">
        <v>1288</v>
      </c>
      <c r="M1545" t="s">
        <v>1261</v>
      </c>
      <c r="V1545" t="s">
        <v>91</v>
      </c>
      <c r="W1545" t="s">
        <v>92</v>
      </c>
      <c r="X1545" t="s">
        <v>93</v>
      </c>
      <c r="Z1545" t="s">
        <v>94</v>
      </c>
      <c r="AA1545" t="s">
        <v>106</v>
      </c>
      <c r="AB1545">
        <v>3</v>
      </c>
      <c r="AG1545" t="s">
        <v>95</v>
      </c>
      <c r="AX1545" t="s">
        <v>523</v>
      </c>
      <c r="AY1545" t="s">
        <v>523</v>
      </c>
      <c r="AZ1545" t="s">
        <v>475</v>
      </c>
      <c r="BC1545">
        <v>1</v>
      </c>
      <c r="BH1545" t="s">
        <v>99</v>
      </c>
      <c r="BO1545" t="s">
        <v>111</v>
      </c>
      <c r="CD1545" t="s">
        <v>982</v>
      </c>
      <c r="CE1545">
        <v>6797</v>
      </c>
      <c r="CF1545" t="s">
        <v>983</v>
      </c>
      <c r="CG1545" t="s">
        <v>984</v>
      </c>
      <c r="CH1545">
        <v>1986</v>
      </c>
    </row>
    <row r="1546" spans="1:86" hidden="1" x14ac:dyDescent="0.25">
      <c r="A1546">
        <v>330541</v>
      </c>
      <c r="B1546" t="s">
        <v>86</v>
      </c>
      <c r="F1546">
        <v>95</v>
      </c>
      <c r="K1546" t="s">
        <v>1287</v>
      </c>
      <c r="L1546" t="s">
        <v>1288</v>
      </c>
      <c r="M1546" t="s">
        <v>1261</v>
      </c>
      <c r="V1546" t="s">
        <v>257</v>
      </c>
      <c r="W1546" t="s">
        <v>92</v>
      </c>
      <c r="X1546" t="s">
        <v>93</v>
      </c>
      <c r="Z1546" t="s">
        <v>94</v>
      </c>
      <c r="AB1546">
        <v>1.8</v>
      </c>
      <c r="AD1546">
        <v>1.6</v>
      </c>
      <c r="AF1546">
        <v>2.1</v>
      </c>
      <c r="AG1546" t="s">
        <v>95</v>
      </c>
      <c r="AX1546" t="s">
        <v>523</v>
      </c>
      <c r="AY1546" t="s">
        <v>523</v>
      </c>
      <c r="AZ1546" t="s">
        <v>475</v>
      </c>
      <c r="BC1546">
        <v>4</v>
      </c>
      <c r="BH1546" t="s">
        <v>99</v>
      </c>
      <c r="BO1546" t="s">
        <v>111</v>
      </c>
      <c r="CD1546" t="s">
        <v>982</v>
      </c>
      <c r="CE1546">
        <v>6797</v>
      </c>
      <c r="CF1546" t="s">
        <v>983</v>
      </c>
      <c r="CG1546" t="s">
        <v>984</v>
      </c>
      <c r="CH1546">
        <v>1986</v>
      </c>
    </row>
    <row r="1547" spans="1:86" hidden="1" x14ac:dyDescent="0.25">
      <c r="A1547">
        <v>330541</v>
      </c>
      <c r="B1547" t="s">
        <v>86</v>
      </c>
      <c r="F1547">
        <v>95</v>
      </c>
      <c r="K1547" t="s">
        <v>1287</v>
      </c>
      <c r="L1547" t="s">
        <v>1288</v>
      </c>
      <c r="M1547" t="s">
        <v>1261</v>
      </c>
      <c r="V1547" t="s">
        <v>91</v>
      </c>
      <c r="W1547" t="s">
        <v>92</v>
      </c>
      <c r="X1547" t="s">
        <v>93</v>
      </c>
      <c r="Z1547" t="s">
        <v>94</v>
      </c>
      <c r="AB1547">
        <v>2.6</v>
      </c>
      <c r="AD1547">
        <v>1.9</v>
      </c>
      <c r="AF1547">
        <v>3.1</v>
      </c>
      <c r="AG1547" t="s">
        <v>95</v>
      </c>
      <c r="AX1547" t="s">
        <v>523</v>
      </c>
      <c r="AY1547" t="s">
        <v>523</v>
      </c>
      <c r="AZ1547" t="s">
        <v>475</v>
      </c>
      <c r="BC1547">
        <v>4</v>
      </c>
      <c r="BH1547" t="s">
        <v>99</v>
      </c>
      <c r="BO1547" t="s">
        <v>111</v>
      </c>
      <c r="CD1547" t="s">
        <v>982</v>
      </c>
      <c r="CE1547">
        <v>6797</v>
      </c>
      <c r="CF1547" t="s">
        <v>983</v>
      </c>
      <c r="CG1547" t="s">
        <v>984</v>
      </c>
      <c r="CH1547">
        <v>1986</v>
      </c>
    </row>
    <row r="1548" spans="1:86" hidden="1" x14ac:dyDescent="0.25">
      <c r="A1548">
        <v>330541</v>
      </c>
      <c r="B1548" t="s">
        <v>86</v>
      </c>
      <c r="F1548">
        <v>95</v>
      </c>
      <c r="K1548" t="s">
        <v>1287</v>
      </c>
      <c r="L1548" t="s">
        <v>1288</v>
      </c>
      <c r="M1548" t="s">
        <v>1261</v>
      </c>
      <c r="V1548" t="s">
        <v>91</v>
      </c>
      <c r="W1548" t="s">
        <v>92</v>
      </c>
      <c r="X1548" t="s">
        <v>93</v>
      </c>
      <c r="Z1548" t="s">
        <v>94</v>
      </c>
      <c r="AB1548">
        <v>1.2</v>
      </c>
      <c r="AD1548">
        <v>0.9</v>
      </c>
      <c r="AF1548">
        <v>1.5</v>
      </c>
      <c r="AG1548" t="s">
        <v>95</v>
      </c>
      <c r="AX1548" t="s">
        <v>523</v>
      </c>
      <c r="AY1548" t="s">
        <v>523</v>
      </c>
      <c r="AZ1548" t="s">
        <v>475</v>
      </c>
      <c r="BC1548">
        <v>4</v>
      </c>
      <c r="BH1548" t="s">
        <v>99</v>
      </c>
      <c r="BO1548" t="s">
        <v>111</v>
      </c>
      <c r="CD1548" t="s">
        <v>982</v>
      </c>
      <c r="CE1548">
        <v>6797</v>
      </c>
      <c r="CF1548" t="s">
        <v>983</v>
      </c>
      <c r="CG1548" t="s">
        <v>984</v>
      </c>
      <c r="CH1548">
        <v>1986</v>
      </c>
    </row>
    <row r="1549" spans="1:86" hidden="1" x14ac:dyDescent="0.25">
      <c r="A1549">
        <v>330541</v>
      </c>
      <c r="B1549" t="s">
        <v>86</v>
      </c>
      <c r="F1549">
        <v>95</v>
      </c>
      <c r="K1549" t="s">
        <v>1276</v>
      </c>
      <c r="L1549" t="s">
        <v>1277</v>
      </c>
      <c r="M1549" t="s">
        <v>1261</v>
      </c>
      <c r="V1549" t="s">
        <v>91</v>
      </c>
      <c r="W1549" t="s">
        <v>92</v>
      </c>
      <c r="X1549" t="s">
        <v>93</v>
      </c>
      <c r="Z1549" t="s">
        <v>94</v>
      </c>
      <c r="AB1549">
        <v>9.3000000000000007</v>
      </c>
      <c r="AD1549">
        <v>8.1</v>
      </c>
      <c r="AF1549">
        <v>10.7</v>
      </c>
      <c r="AG1549" t="s">
        <v>95</v>
      </c>
      <c r="AX1549" t="s">
        <v>523</v>
      </c>
      <c r="AY1549" t="s">
        <v>523</v>
      </c>
      <c r="AZ1549" t="s">
        <v>475</v>
      </c>
      <c r="BC1549">
        <v>4</v>
      </c>
      <c r="BH1549" t="s">
        <v>99</v>
      </c>
      <c r="BO1549" t="s">
        <v>111</v>
      </c>
      <c r="CD1549" t="s">
        <v>982</v>
      </c>
      <c r="CE1549">
        <v>6797</v>
      </c>
      <c r="CF1549" t="s">
        <v>983</v>
      </c>
      <c r="CG1549" t="s">
        <v>984</v>
      </c>
      <c r="CH1549">
        <v>1986</v>
      </c>
    </row>
    <row r="1550" spans="1:86" hidden="1" x14ac:dyDescent="0.25">
      <c r="A1550">
        <v>330541</v>
      </c>
      <c r="B1550" t="s">
        <v>86</v>
      </c>
      <c r="D1550" t="s">
        <v>115</v>
      </c>
      <c r="K1550" t="s">
        <v>1304</v>
      </c>
      <c r="L1550" t="s">
        <v>1305</v>
      </c>
      <c r="M1550" t="s">
        <v>1261</v>
      </c>
      <c r="W1550" t="s">
        <v>92</v>
      </c>
      <c r="Z1550" t="s">
        <v>137</v>
      </c>
      <c r="AB1550">
        <v>5.8</v>
      </c>
      <c r="AG1550" t="s">
        <v>95</v>
      </c>
      <c r="AX1550" t="s">
        <v>523</v>
      </c>
      <c r="AY1550" t="s">
        <v>523</v>
      </c>
      <c r="AZ1550" t="s">
        <v>475</v>
      </c>
      <c r="BC1550">
        <v>2</v>
      </c>
      <c r="BH1550" t="s">
        <v>99</v>
      </c>
      <c r="BO1550" t="s">
        <v>111</v>
      </c>
      <c r="CD1550" t="s">
        <v>1007</v>
      </c>
      <c r="CE1550">
        <v>15192</v>
      </c>
      <c r="CF1550" t="s">
        <v>1008</v>
      </c>
      <c r="CG1550" t="s">
        <v>1009</v>
      </c>
      <c r="CH1550">
        <v>1967</v>
      </c>
    </row>
    <row r="1551" spans="1:86" hidden="1" x14ac:dyDescent="0.25">
      <c r="A1551">
        <v>330541</v>
      </c>
      <c r="B1551" t="s">
        <v>86</v>
      </c>
      <c r="D1551" t="s">
        <v>115</v>
      </c>
      <c r="K1551" t="s">
        <v>1276</v>
      </c>
      <c r="L1551" t="s">
        <v>1277</v>
      </c>
      <c r="M1551" t="s">
        <v>1261</v>
      </c>
      <c r="W1551" t="s">
        <v>92</v>
      </c>
      <c r="X1551" t="s">
        <v>93</v>
      </c>
      <c r="Z1551" t="s">
        <v>137</v>
      </c>
      <c r="AB1551">
        <v>4</v>
      </c>
      <c r="AG1551" t="s">
        <v>95</v>
      </c>
      <c r="AX1551" t="s">
        <v>523</v>
      </c>
      <c r="AY1551" t="s">
        <v>523</v>
      </c>
      <c r="AZ1551" t="s">
        <v>475</v>
      </c>
      <c r="BC1551">
        <v>4</v>
      </c>
      <c r="BH1551" t="s">
        <v>99</v>
      </c>
      <c r="BO1551" t="s">
        <v>111</v>
      </c>
      <c r="CD1551" t="s">
        <v>1278</v>
      </c>
      <c r="CE1551">
        <v>2871</v>
      </c>
      <c r="CF1551" t="s">
        <v>1294</v>
      </c>
      <c r="CG1551" t="s">
        <v>1295</v>
      </c>
      <c r="CH1551">
        <v>1965</v>
      </c>
    </row>
    <row r="1552" spans="1:86" hidden="1" x14ac:dyDescent="0.25">
      <c r="A1552">
        <v>330541</v>
      </c>
      <c r="B1552" t="s">
        <v>86</v>
      </c>
      <c r="F1552">
        <v>95</v>
      </c>
      <c r="K1552" t="s">
        <v>1276</v>
      </c>
      <c r="L1552" t="s">
        <v>1277</v>
      </c>
      <c r="M1552" t="s">
        <v>1261</v>
      </c>
      <c r="V1552" t="s">
        <v>91</v>
      </c>
      <c r="W1552" t="s">
        <v>92</v>
      </c>
      <c r="X1552" t="s">
        <v>93</v>
      </c>
      <c r="Z1552" t="s">
        <v>94</v>
      </c>
      <c r="AB1552">
        <v>2.8</v>
      </c>
      <c r="AD1552">
        <v>2.2999999999999998</v>
      </c>
      <c r="AF1552">
        <v>3.3</v>
      </c>
      <c r="AG1552" t="s">
        <v>95</v>
      </c>
      <c r="AX1552" t="s">
        <v>523</v>
      </c>
      <c r="AY1552" t="s">
        <v>523</v>
      </c>
      <c r="AZ1552" t="s">
        <v>475</v>
      </c>
      <c r="BC1552">
        <v>4</v>
      </c>
      <c r="BH1552" t="s">
        <v>99</v>
      </c>
      <c r="BO1552" t="s">
        <v>111</v>
      </c>
      <c r="CD1552" t="s">
        <v>982</v>
      </c>
      <c r="CE1552">
        <v>6797</v>
      </c>
      <c r="CF1552" t="s">
        <v>983</v>
      </c>
      <c r="CG1552" t="s">
        <v>984</v>
      </c>
      <c r="CH1552">
        <v>1986</v>
      </c>
    </row>
    <row r="1553" spans="1:86" hidden="1" x14ac:dyDescent="0.25">
      <c r="A1553">
        <v>330541</v>
      </c>
      <c r="B1553" t="s">
        <v>86</v>
      </c>
      <c r="F1553">
        <v>95</v>
      </c>
      <c r="K1553" t="s">
        <v>1287</v>
      </c>
      <c r="L1553" t="s">
        <v>1288</v>
      </c>
      <c r="M1553" t="s">
        <v>1261</v>
      </c>
      <c r="V1553" t="s">
        <v>91</v>
      </c>
      <c r="W1553" t="s">
        <v>92</v>
      </c>
      <c r="X1553" t="s">
        <v>93</v>
      </c>
      <c r="Z1553" t="s">
        <v>94</v>
      </c>
      <c r="AB1553">
        <v>3.2</v>
      </c>
      <c r="AD1553">
        <v>2.2000000000000002</v>
      </c>
      <c r="AF1553">
        <v>4.5999999999999996</v>
      </c>
      <c r="AG1553" t="s">
        <v>95</v>
      </c>
      <c r="AX1553" t="s">
        <v>523</v>
      </c>
      <c r="AY1553" t="s">
        <v>523</v>
      </c>
      <c r="AZ1553" t="s">
        <v>475</v>
      </c>
      <c r="BC1553">
        <v>4</v>
      </c>
      <c r="BH1553" t="s">
        <v>99</v>
      </c>
      <c r="BO1553" t="s">
        <v>111</v>
      </c>
      <c r="CD1553" t="s">
        <v>982</v>
      </c>
      <c r="CE1553">
        <v>6797</v>
      </c>
      <c r="CF1553" t="s">
        <v>983</v>
      </c>
      <c r="CG1553" t="s">
        <v>984</v>
      </c>
      <c r="CH1553">
        <v>1986</v>
      </c>
    </row>
    <row r="1554" spans="1:86" hidden="1" x14ac:dyDescent="0.25">
      <c r="A1554">
        <v>330541</v>
      </c>
      <c r="B1554" t="s">
        <v>86</v>
      </c>
      <c r="F1554">
        <v>95</v>
      </c>
      <c r="K1554" t="s">
        <v>1287</v>
      </c>
      <c r="L1554" t="s">
        <v>1288</v>
      </c>
      <c r="M1554" t="s">
        <v>1261</v>
      </c>
      <c r="V1554" t="s">
        <v>91</v>
      </c>
      <c r="W1554" t="s">
        <v>92</v>
      </c>
      <c r="X1554" t="s">
        <v>93</v>
      </c>
      <c r="Z1554" t="s">
        <v>94</v>
      </c>
      <c r="AB1554">
        <v>2.5</v>
      </c>
      <c r="AD1554">
        <v>1.9</v>
      </c>
      <c r="AF1554">
        <v>3.1</v>
      </c>
      <c r="AG1554" t="s">
        <v>95</v>
      </c>
      <c r="AX1554" t="s">
        <v>523</v>
      </c>
      <c r="AY1554" t="s">
        <v>523</v>
      </c>
      <c r="AZ1554" t="s">
        <v>475</v>
      </c>
      <c r="BC1554">
        <v>4</v>
      </c>
      <c r="BH1554" t="s">
        <v>99</v>
      </c>
      <c r="BO1554" t="s">
        <v>111</v>
      </c>
      <c r="CD1554" t="s">
        <v>982</v>
      </c>
      <c r="CE1554">
        <v>6797</v>
      </c>
      <c r="CF1554" t="s">
        <v>983</v>
      </c>
      <c r="CG1554" t="s">
        <v>984</v>
      </c>
      <c r="CH1554">
        <v>1986</v>
      </c>
    </row>
    <row r="1555" spans="1:86" hidden="1" x14ac:dyDescent="0.25">
      <c r="A1555">
        <v>330541</v>
      </c>
      <c r="B1555" t="s">
        <v>86</v>
      </c>
      <c r="C1555" t="s">
        <v>183</v>
      </c>
      <c r="D1555" t="s">
        <v>87</v>
      </c>
      <c r="F1555">
        <v>99.8</v>
      </c>
      <c r="K1555" t="s">
        <v>1259</v>
      </c>
      <c r="L1555" t="s">
        <v>1260</v>
      </c>
      <c r="M1555" t="s">
        <v>1261</v>
      </c>
      <c r="N1555" t="s">
        <v>1110</v>
      </c>
      <c r="P1555">
        <v>2.5</v>
      </c>
      <c r="U1555" t="s">
        <v>99</v>
      </c>
      <c r="V1555" t="s">
        <v>91</v>
      </c>
      <c r="W1555" t="s">
        <v>92</v>
      </c>
      <c r="X1555" t="s">
        <v>93</v>
      </c>
      <c r="Z1555" t="s">
        <v>94</v>
      </c>
      <c r="AB1555">
        <v>11.7</v>
      </c>
      <c r="AD1555">
        <v>10.1</v>
      </c>
      <c r="AF1555">
        <v>13.5</v>
      </c>
      <c r="AG1555" t="s">
        <v>95</v>
      </c>
      <c r="AX1555" t="s">
        <v>523</v>
      </c>
      <c r="AY1555" t="s">
        <v>523</v>
      </c>
      <c r="AZ1555" t="s">
        <v>475</v>
      </c>
      <c r="BC1555">
        <v>7</v>
      </c>
      <c r="BH1555" t="s">
        <v>99</v>
      </c>
      <c r="BO1555" t="s">
        <v>111</v>
      </c>
      <c r="CD1555" t="s">
        <v>1065</v>
      </c>
      <c r="CE1555">
        <v>20182</v>
      </c>
      <c r="CF1555" t="s">
        <v>1066</v>
      </c>
      <c r="CG1555" t="s">
        <v>1067</v>
      </c>
      <c r="CH1555">
        <v>1998</v>
      </c>
    </row>
    <row r="1556" spans="1:86" hidden="1" x14ac:dyDescent="0.25">
      <c r="A1556">
        <v>330541</v>
      </c>
      <c r="B1556" t="s">
        <v>86</v>
      </c>
      <c r="F1556">
        <v>95</v>
      </c>
      <c r="K1556" t="s">
        <v>1287</v>
      </c>
      <c r="L1556" t="s">
        <v>1288</v>
      </c>
      <c r="M1556" t="s">
        <v>1261</v>
      </c>
      <c r="V1556" t="s">
        <v>91</v>
      </c>
      <c r="W1556" t="s">
        <v>92</v>
      </c>
      <c r="X1556" t="s">
        <v>93</v>
      </c>
      <c r="Z1556" t="s">
        <v>94</v>
      </c>
      <c r="AB1556">
        <v>3.5</v>
      </c>
      <c r="AD1556">
        <v>2.2000000000000002</v>
      </c>
      <c r="AF1556">
        <v>5.5</v>
      </c>
      <c r="AG1556" t="s">
        <v>95</v>
      </c>
      <c r="AX1556" t="s">
        <v>523</v>
      </c>
      <c r="AY1556" t="s">
        <v>523</v>
      </c>
      <c r="AZ1556" t="s">
        <v>475</v>
      </c>
      <c r="BC1556">
        <v>1</v>
      </c>
      <c r="BH1556" t="s">
        <v>99</v>
      </c>
      <c r="BO1556" t="s">
        <v>111</v>
      </c>
      <c r="CD1556" t="s">
        <v>982</v>
      </c>
      <c r="CE1556">
        <v>6797</v>
      </c>
      <c r="CF1556" t="s">
        <v>983</v>
      </c>
      <c r="CG1556" t="s">
        <v>984</v>
      </c>
      <c r="CH1556">
        <v>1986</v>
      </c>
    </row>
    <row r="1557" spans="1:86" hidden="1" x14ac:dyDescent="0.25">
      <c r="A1557">
        <v>330541</v>
      </c>
      <c r="B1557" t="s">
        <v>86</v>
      </c>
      <c r="F1557">
        <v>95</v>
      </c>
      <c r="K1557" t="s">
        <v>1276</v>
      </c>
      <c r="L1557" t="s">
        <v>1277</v>
      </c>
      <c r="M1557" t="s">
        <v>1261</v>
      </c>
      <c r="V1557" t="s">
        <v>91</v>
      </c>
      <c r="W1557" t="s">
        <v>92</v>
      </c>
      <c r="X1557" t="s">
        <v>93</v>
      </c>
      <c r="Z1557" t="s">
        <v>94</v>
      </c>
      <c r="AA1557" t="s">
        <v>106</v>
      </c>
      <c r="AB1557">
        <v>30</v>
      </c>
      <c r="AG1557" t="s">
        <v>95</v>
      </c>
      <c r="AX1557" t="s">
        <v>523</v>
      </c>
      <c r="AY1557" t="s">
        <v>523</v>
      </c>
      <c r="AZ1557" t="s">
        <v>475</v>
      </c>
      <c r="BC1557">
        <v>1</v>
      </c>
      <c r="BH1557" t="s">
        <v>99</v>
      </c>
      <c r="BO1557" t="s">
        <v>111</v>
      </c>
      <c r="CD1557" t="s">
        <v>982</v>
      </c>
      <c r="CE1557">
        <v>6797</v>
      </c>
      <c r="CF1557" t="s">
        <v>983</v>
      </c>
      <c r="CG1557" t="s">
        <v>984</v>
      </c>
      <c r="CH1557">
        <v>1986</v>
      </c>
    </row>
    <row r="1558" spans="1:86" hidden="1" x14ac:dyDescent="0.25">
      <c r="A1558">
        <v>330541</v>
      </c>
      <c r="B1558" t="s">
        <v>86</v>
      </c>
      <c r="F1558">
        <v>95</v>
      </c>
      <c r="K1558" t="s">
        <v>1287</v>
      </c>
      <c r="L1558" t="s">
        <v>1288</v>
      </c>
      <c r="M1558" t="s">
        <v>1261</v>
      </c>
      <c r="V1558" t="s">
        <v>91</v>
      </c>
      <c r="W1558" t="s">
        <v>92</v>
      </c>
      <c r="X1558" t="s">
        <v>93</v>
      </c>
      <c r="Z1558" t="s">
        <v>94</v>
      </c>
      <c r="AB1558">
        <v>2.6</v>
      </c>
      <c r="AD1558">
        <v>2</v>
      </c>
      <c r="AF1558">
        <v>3.4</v>
      </c>
      <c r="AG1558" t="s">
        <v>95</v>
      </c>
      <c r="AX1558" t="s">
        <v>523</v>
      </c>
      <c r="AY1558" t="s">
        <v>523</v>
      </c>
      <c r="AZ1558" t="s">
        <v>475</v>
      </c>
      <c r="BC1558">
        <v>4</v>
      </c>
      <c r="BH1558" t="s">
        <v>99</v>
      </c>
      <c r="BO1558" t="s">
        <v>111</v>
      </c>
      <c r="CD1558" t="s">
        <v>982</v>
      </c>
      <c r="CE1558">
        <v>6797</v>
      </c>
      <c r="CF1558" t="s">
        <v>983</v>
      </c>
      <c r="CG1558" t="s">
        <v>984</v>
      </c>
      <c r="CH1558">
        <v>1986</v>
      </c>
    </row>
    <row r="1559" spans="1:86" hidden="1" x14ac:dyDescent="0.25">
      <c r="A1559">
        <v>330541</v>
      </c>
      <c r="B1559" t="s">
        <v>86</v>
      </c>
      <c r="D1559" t="s">
        <v>115</v>
      </c>
      <c r="K1559" t="s">
        <v>1276</v>
      </c>
      <c r="L1559" t="s">
        <v>1277</v>
      </c>
      <c r="M1559" t="s">
        <v>1261</v>
      </c>
      <c r="W1559" t="s">
        <v>92</v>
      </c>
      <c r="X1559" t="s">
        <v>93</v>
      </c>
      <c r="Z1559" t="s">
        <v>137</v>
      </c>
      <c r="AB1559">
        <v>12</v>
      </c>
      <c r="AG1559" t="s">
        <v>95</v>
      </c>
      <c r="AX1559" t="s">
        <v>523</v>
      </c>
      <c r="AY1559" t="s">
        <v>523</v>
      </c>
      <c r="AZ1559" t="s">
        <v>475</v>
      </c>
      <c r="BC1559">
        <v>1</v>
      </c>
      <c r="BH1559" t="s">
        <v>99</v>
      </c>
      <c r="BO1559" t="s">
        <v>111</v>
      </c>
      <c r="CD1559" t="s">
        <v>1278</v>
      </c>
      <c r="CE1559">
        <v>2871</v>
      </c>
      <c r="CF1559" t="s">
        <v>1294</v>
      </c>
      <c r="CG1559" t="s">
        <v>1295</v>
      </c>
      <c r="CH1559">
        <v>1965</v>
      </c>
    </row>
    <row r="1560" spans="1:86" hidden="1" x14ac:dyDescent="0.25">
      <c r="A1560">
        <v>330541</v>
      </c>
      <c r="B1560" t="s">
        <v>86</v>
      </c>
      <c r="F1560">
        <v>95</v>
      </c>
      <c r="K1560" t="s">
        <v>1276</v>
      </c>
      <c r="L1560" t="s">
        <v>1277</v>
      </c>
      <c r="M1560" t="s">
        <v>1261</v>
      </c>
      <c r="V1560" t="s">
        <v>91</v>
      </c>
      <c r="W1560" t="s">
        <v>92</v>
      </c>
      <c r="X1560" t="s">
        <v>93</v>
      </c>
      <c r="Z1560" t="s">
        <v>94</v>
      </c>
      <c r="AB1560">
        <v>6.4</v>
      </c>
      <c r="AD1560">
        <v>5.9</v>
      </c>
      <c r="AF1560">
        <v>7</v>
      </c>
      <c r="AG1560" t="s">
        <v>95</v>
      </c>
      <c r="AX1560" t="s">
        <v>523</v>
      </c>
      <c r="AY1560" t="s">
        <v>523</v>
      </c>
      <c r="AZ1560" t="s">
        <v>475</v>
      </c>
      <c r="BC1560">
        <v>4</v>
      </c>
      <c r="BH1560" t="s">
        <v>99</v>
      </c>
      <c r="BO1560" t="s">
        <v>111</v>
      </c>
      <c r="CD1560" t="s">
        <v>982</v>
      </c>
      <c r="CE1560">
        <v>6797</v>
      </c>
      <c r="CF1560" t="s">
        <v>983</v>
      </c>
      <c r="CG1560" t="s">
        <v>984</v>
      </c>
      <c r="CH1560">
        <v>1986</v>
      </c>
    </row>
    <row r="1561" spans="1:86" hidden="1" x14ac:dyDescent="0.25">
      <c r="A1561">
        <v>330541</v>
      </c>
      <c r="B1561" t="s">
        <v>86</v>
      </c>
      <c r="D1561" t="s">
        <v>115</v>
      </c>
      <c r="K1561" t="s">
        <v>1292</v>
      </c>
      <c r="L1561" t="s">
        <v>1293</v>
      </c>
      <c r="M1561" t="s">
        <v>1261</v>
      </c>
      <c r="N1561" t="s">
        <v>1129</v>
      </c>
      <c r="V1561" t="s">
        <v>168</v>
      </c>
      <c r="W1561" t="s">
        <v>92</v>
      </c>
      <c r="X1561" t="s">
        <v>93</v>
      </c>
      <c r="Z1561" t="s">
        <v>137</v>
      </c>
      <c r="AB1561">
        <v>2.9</v>
      </c>
      <c r="AG1561" t="s">
        <v>95</v>
      </c>
      <c r="AX1561" t="s">
        <v>523</v>
      </c>
      <c r="AY1561" t="s">
        <v>523</v>
      </c>
      <c r="AZ1561" t="s">
        <v>475</v>
      </c>
      <c r="BC1561">
        <v>4</v>
      </c>
      <c r="BH1561" t="s">
        <v>99</v>
      </c>
      <c r="BO1561" t="s">
        <v>111</v>
      </c>
      <c r="CD1561" t="s">
        <v>1077</v>
      </c>
      <c r="CE1561">
        <v>6270</v>
      </c>
      <c r="CF1561" t="s">
        <v>1078</v>
      </c>
      <c r="CG1561" t="s">
        <v>1079</v>
      </c>
      <c r="CH1561">
        <v>1974</v>
      </c>
    </row>
    <row r="1562" spans="1:86" hidden="1" x14ac:dyDescent="0.25">
      <c r="A1562">
        <v>330541</v>
      </c>
      <c r="B1562" t="s">
        <v>86</v>
      </c>
      <c r="F1562">
        <v>95</v>
      </c>
      <c r="K1562" t="s">
        <v>1276</v>
      </c>
      <c r="L1562" t="s">
        <v>1277</v>
      </c>
      <c r="M1562" t="s">
        <v>1261</v>
      </c>
      <c r="V1562" t="s">
        <v>91</v>
      </c>
      <c r="W1562" t="s">
        <v>92</v>
      </c>
      <c r="X1562" t="s">
        <v>93</v>
      </c>
      <c r="Z1562" t="s">
        <v>94</v>
      </c>
      <c r="AB1562">
        <v>3.6</v>
      </c>
      <c r="AD1562">
        <v>3</v>
      </c>
      <c r="AF1562">
        <v>4.2</v>
      </c>
      <c r="AG1562" t="s">
        <v>95</v>
      </c>
      <c r="AX1562" t="s">
        <v>523</v>
      </c>
      <c r="AY1562" t="s">
        <v>523</v>
      </c>
      <c r="AZ1562" t="s">
        <v>475</v>
      </c>
      <c r="BC1562">
        <v>1</v>
      </c>
      <c r="BH1562" t="s">
        <v>99</v>
      </c>
      <c r="BO1562" t="s">
        <v>111</v>
      </c>
      <c r="CD1562" t="s">
        <v>982</v>
      </c>
      <c r="CE1562">
        <v>6797</v>
      </c>
      <c r="CF1562" t="s">
        <v>983</v>
      </c>
      <c r="CG1562" t="s">
        <v>984</v>
      </c>
      <c r="CH1562">
        <v>1986</v>
      </c>
    </row>
    <row r="1563" spans="1:86" hidden="1" x14ac:dyDescent="0.25">
      <c r="A1563">
        <v>330541</v>
      </c>
      <c r="B1563" t="s">
        <v>86</v>
      </c>
      <c r="F1563">
        <v>95</v>
      </c>
      <c r="K1563" t="s">
        <v>1276</v>
      </c>
      <c r="L1563" t="s">
        <v>1277</v>
      </c>
      <c r="M1563" t="s">
        <v>1261</v>
      </c>
      <c r="V1563" t="s">
        <v>91</v>
      </c>
      <c r="W1563" t="s">
        <v>92</v>
      </c>
      <c r="X1563" t="s">
        <v>93</v>
      </c>
      <c r="Z1563" t="s">
        <v>94</v>
      </c>
      <c r="AA1563" t="s">
        <v>106</v>
      </c>
      <c r="AB1563">
        <v>30</v>
      </c>
      <c r="AG1563" t="s">
        <v>95</v>
      </c>
      <c r="AX1563" t="s">
        <v>523</v>
      </c>
      <c r="AY1563" t="s">
        <v>523</v>
      </c>
      <c r="AZ1563" t="s">
        <v>475</v>
      </c>
      <c r="BC1563">
        <v>1</v>
      </c>
      <c r="BH1563" t="s">
        <v>99</v>
      </c>
      <c r="BO1563" t="s">
        <v>111</v>
      </c>
      <c r="CD1563" t="s">
        <v>982</v>
      </c>
      <c r="CE1563">
        <v>6797</v>
      </c>
      <c r="CF1563" t="s">
        <v>983</v>
      </c>
      <c r="CG1563" t="s">
        <v>984</v>
      </c>
      <c r="CH1563">
        <v>1986</v>
      </c>
    </row>
    <row r="1564" spans="1:86" hidden="1" x14ac:dyDescent="0.25">
      <c r="A1564">
        <v>330541</v>
      </c>
      <c r="B1564" t="s">
        <v>86</v>
      </c>
      <c r="F1564">
        <v>95</v>
      </c>
      <c r="K1564" t="s">
        <v>1287</v>
      </c>
      <c r="L1564" t="s">
        <v>1288</v>
      </c>
      <c r="M1564" t="s">
        <v>1261</v>
      </c>
      <c r="V1564" t="s">
        <v>91</v>
      </c>
      <c r="W1564" t="s">
        <v>92</v>
      </c>
      <c r="X1564" t="s">
        <v>93</v>
      </c>
      <c r="Z1564" t="s">
        <v>94</v>
      </c>
      <c r="AB1564">
        <v>11.5</v>
      </c>
      <c r="AD1564">
        <v>7.9</v>
      </c>
      <c r="AF1564">
        <v>16.8</v>
      </c>
      <c r="AG1564" t="s">
        <v>95</v>
      </c>
      <c r="AX1564" t="s">
        <v>523</v>
      </c>
      <c r="AY1564" t="s">
        <v>523</v>
      </c>
      <c r="AZ1564" t="s">
        <v>475</v>
      </c>
      <c r="BC1564">
        <v>4</v>
      </c>
      <c r="BH1564" t="s">
        <v>99</v>
      </c>
      <c r="BO1564" t="s">
        <v>111</v>
      </c>
      <c r="CD1564" t="s">
        <v>982</v>
      </c>
      <c r="CE1564">
        <v>6797</v>
      </c>
      <c r="CF1564" t="s">
        <v>983</v>
      </c>
      <c r="CG1564" t="s">
        <v>984</v>
      </c>
      <c r="CH1564">
        <v>1986</v>
      </c>
    </row>
    <row r="1565" spans="1:86" hidden="1" x14ac:dyDescent="0.25">
      <c r="A1565">
        <v>330541</v>
      </c>
      <c r="B1565" t="s">
        <v>86</v>
      </c>
      <c r="F1565">
        <v>95</v>
      </c>
      <c r="K1565" t="s">
        <v>1287</v>
      </c>
      <c r="L1565" t="s">
        <v>1288</v>
      </c>
      <c r="M1565" t="s">
        <v>1261</v>
      </c>
      <c r="V1565" t="s">
        <v>91</v>
      </c>
      <c r="W1565" t="s">
        <v>92</v>
      </c>
      <c r="X1565" t="s">
        <v>93</v>
      </c>
      <c r="Z1565" t="s">
        <v>94</v>
      </c>
      <c r="AA1565" t="s">
        <v>106</v>
      </c>
      <c r="AB1565">
        <v>4</v>
      </c>
      <c r="AG1565" t="s">
        <v>95</v>
      </c>
      <c r="AX1565" t="s">
        <v>523</v>
      </c>
      <c r="AY1565" t="s">
        <v>523</v>
      </c>
      <c r="AZ1565" t="s">
        <v>475</v>
      </c>
      <c r="BC1565">
        <v>1</v>
      </c>
      <c r="BH1565" t="s">
        <v>99</v>
      </c>
      <c r="BO1565" t="s">
        <v>111</v>
      </c>
      <c r="CD1565" t="s">
        <v>982</v>
      </c>
      <c r="CE1565">
        <v>6797</v>
      </c>
      <c r="CF1565" t="s">
        <v>983</v>
      </c>
      <c r="CG1565" t="s">
        <v>984</v>
      </c>
      <c r="CH1565">
        <v>1986</v>
      </c>
    </row>
    <row r="1566" spans="1:86" hidden="1" x14ac:dyDescent="0.25">
      <c r="A1566">
        <v>330541</v>
      </c>
      <c r="B1566" t="s">
        <v>86</v>
      </c>
      <c r="C1566" t="s">
        <v>183</v>
      </c>
      <c r="D1566" t="s">
        <v>87</v>
      </c>
      <c r="F1566">
        <v>99.8</v>
      </c>
      <c r="K1566" t="s">
        <v>1259</v>
      </c>
      <c r="L1566" t="s">
        <v>1260</v>
      </c>
      <c r="M1566" t="s">
        <v>1261</v>
      </c>
      <c r="N1566" t="s">
        <v>1000</v>
      </c>
      <c r="P1566">
        <v>1.5</v>
      </c>
      <c r="U1566" t="s">
        <v>934</v>
      </c>
      <c r="V1566" t="s">
        <v>507</v>
      </c>
      <c r="W1566" t="s">
        <v>92</v>
      </c>
      <c r="X1566" t="s">
        <v>93</v>
      </c>
      <c r="Z1566" t="s">
        <v>94</v>
      </c>
      <c r="AB1566">
        <v>27.1</v>
      </c>
      <c r="AG1566" t="s">
        <v>95</v>
      </c>
      <c r="AX1566" t="s">
        <v>523</v>
      </c>
      <c r="AY1566" t="s">
        <v>523</v>
      </c>
      <c r="AZ1566" t="s">
        <v>475</v>
      </c>
      <c r="BC1566">
        <v>10</v>
      </c>
      <c r="BH1566" t="s">
        <v>99</v>
      </c>
      <c r="BO1566" t="s">
        <v>111</v>
      </c>
      <c r="CD1566" t="s">
        <v>1065</v>
      </c>
      <c r="CE1566">
        <v>20182</v>
      </c>
      <c r="CF1566" t="s">
        <v>1066</v>
      </c>
      <c r="CG1566" t="s">
        <v>1067</v>
      </c>
      <c r="CH1566">
        <v>1998</v>
      </c>
    </row>
    <row r="1567" spans="1:86" hidden="1" x14ac:dyDescent="0.25">
      <c r="A1567">
        <v>330541</v>
      </c>
      <c r="B1567" t="s">
        <v>86</v>
      </c>
      <c r="F1567">
        <v>95</v>
      </c>
      <c r="K1567" t="s">
        <v>1276</v>
      </c>
      <c r="L1567" t="s">
        <v>1277</v>
      </c>
      <c r="M1567" t="s">
        <v>1261</v>
      </c>
      <c r="V1567" t="s">
        <v>91</v>
      </c>
      <c r="W1567" t="s">
        <v>92</v>
      </c>
      <c r="X1567" t="s">
        <v>93</v>
      </c>
      <c r="Z1567" t="s">
        <v>94</v>
      </c>
      <c r="AB1567">
        <v>8.4</v>
      </c>
      <c r="AD1567">
        <v>7.7</v>
      </c>
      <c r="AF1567">
        <v>9.3000000000000007</v>
      </c>
      <c r="AG1567" t="s">
        <v>95</v>
      </c>
      <c r="AX1567" t="s">
        <v>523</v>
      </c>
      <c r="AY1567" t="s">
        <v>523</v>
      </c>
      <c r="AZ1567" t="s">
        <v>475</v>
      </c>
      <c r="BC1567">
        <v>1</v>
      </c>
      <c r="BH1567" t="s">
        <v>99</v>
      </c>
      <c r="BO1567" t="s">
        <v>111</v>
      </c>
      <c r="CD1567" t="s">
        <v>982</v>
      </c>
      <c r="CE1567">
        <v>6797</v>
      </c>
      <c r="CF1567" t="s">
        <v>983</v>
      </c>
      <c r="CG1567" t="s">
        <v>984</v>
      </c>
      <c r="CH1567">
        <v>1986</v>
      </c>
    </row>
    <row r="1568" spans="1:86" hidden="1" x14ac:dyDescent="0.25">
      <c r="A1568">
        <v>330541</v>
      </c>
      <c r="B1568" t="s">
        <v>86</v>
      </c>
      <c r="F1568">
        <v>95</v>
      </c>
      <c r="K1568" t="s">
        <v>1287</v>
      </c>
      <c r="L1568" t="s">
        <v>1288</v>
      </c>
      <c r="M1568" t="s">
        <v>1261</v>
      </c>
      <c r="V1568" t="s">
        <v>91</v>
      </c>
      <c r="W1568" t="s">
        <v>92</v>
      </c>
      <c r="X1568" t="s">
        <v>93</v>
      </c>
      <c r="Z1568" t="s">
        <v>94</v>
      </c>
      <c r="AB1568">
        <v>2.7</v>
      </c>
      <c r="AD1568">
        <v>2.4</v>
      </c>
      <c r="AF1568">
        <v>3</v>
      </c>
      <c r="AG1568" t="s">
        <v>95</v>
      </c>
      <c r="AX1568" t="s">
        <v>523</v>
      </c>
      <c r="AY1568" t="s">
        <v>523</v>
      </c>
      <c r="AZ1568" t="s">
        <v>475</v>
      </c>
      <c r="BC1568">
        <v>4</v>
      </c>
      <c r="BH1568" t="s">
        <v>99</v>
      </c>
      <c r="BO1568" t="s">
        <v>111</v>
      </c>
      <c r="CD1568" t="s">
        <v>982</v>
      </c>
      <c r="CE1568">
        <v>6797</v>
      </c>
      <c r="CF1568" t="s">
        <v>983</v>
      </c>
      <c r="CG1568" t="s">
        <v>984</v>
      </c>
      <c r="CH1568">
        <v>1986</v>
      </c>
    </row>
    <row r="1569" spans="1:86" hidden="1" x14ac:dyDescent="0.25">
      <c r="A1569">
        <v>330541</v>
      </c>
      <c r="B1569" t="s">
        <v>86</v>
      </c>
      <c r="F1569">
        <v>95</v>
      </c>
      <c r="K1569" t="s">
        <v>1287</v>
      </c>
      <c r="L1569" t="s">
        <v>1288</v>
      </c>
      <c r="M1569" t="s">
        <v>1261</v>
      </c>
      <c r="V1569" t="s">
        <v>91</v>
      </c>
      <c r="W1569" t="s">
        <v>92</v>
      </c>
      <c r="X1569" t="s">
        <v>93</v>
      </c>
      <c r="Z1569" t="s">
        <v>94</v>
      </c>
      <c r="AB1569">
        <v>1.8</v>
      </c>
      <c r="AD1569">
        <v>1.5</v>
      </c>
      <c r="AF1569">
        <v>2</v>
      </c>
      <c r="AG1569" t="s">
        <v>95</v>
      </c>
      <c r="AX1569" t="s">
        <v>523</v>
      </c>
      <c r="AY1569" t="s">
        <v>523</v>
      </c>
      <c r="AZ1569" t="s">
        <v>475</v>
      </c>
      <c r="BC1569">
        <v>4</v>
      </c>
      <c r="BH1569" t="s">
        <v>99</v>
      </c>
      <c r="BO1569" t="s">
        <v>111</v>
      </c>
      <c r="CD1569" t="s">
        <v>982</v>
      </c>
      <c r="CE1569">
        <v>6797</v>
      </c>
      <c r="CF1569" t="s">
        <v>983</v>
      </c>
      <c r="CG1569" t="s">
        <v>984</v>
      </c>
      <c r="CH1569">
        <v>1986</v>
      </c>
    </row>
    <row r="1570" spans="1:86" hidden="1" x14ac:dyDescent="0.25">
      <c r="A1570">
        <v>330541</v>
      </c>
      <c r="B1570" t="s">
        <v>86</v>
      </c>
      <c r="F1570">
        <v>95</v>
      </c>
      <c r="K1570" t="s">
        <v>1287</v>
      </c>
      <c r="L1570" t="s">
        <v>1288</v>
      </c>
      <c r="M1570" t="s">
        <v>1261</v>
      </c>
      <c r="V1570" t="s">
        <v>91</v>
      </c>
      <c r="W1570" t="s">
        <v>92</v>
      </c>
      <c r="X1570" t="s">
        <v>93</v>
      </c>
      <c r="Z1570" t="s">
        <v>94</v>
      </c>
      <c r="AB1570">
        <v>3.3</v>
      </c>
      <c r="AD1570">
        <v>2</v>
      </c>
      <c r="AF1570">
        <v>5.3</v>
      </c>
      <c r="AG1570" t="s">
        <v>95</v>
      </c>
      <c r="AX1570" t="s">
        <v>523</v>
      </c>
      <c r="AY1570" t="s">
        <v>523</v>
      </c>
      <c r="AZ1570" t="s">
        <v>475</v>
      </c>
      <c r="BC1570">
        <v>1</v>
      </c>
      <c r="BH1570" t="s">
        <v>99</v>
      </c>
      <c r="BO1570" t="s">
        <v>111</v>
      </c>
      <c r="CD1570" t="s">
        <v>982</v>
      </c>
      <c r="CE1570">
        <v>6797</v>
      </c>
      <c r="CF1570" t="s">
        <v>983</v>
      </c>
      <c r="CG1570" t="s">
        <v>984</v>
      </c>
      <c r="CH1570">
        <v>1986</v>
      </c>
    </row>
    <row r="1571" spans="1:86" hidden="1" x14ac:dyDescent="0.25">
      <c r="A1571">
        <v>330541</v>
      </c>
      <c r="B1571" t="s">
        <v>86</v>
      </c>
      <c r="F1571">
        <v>95</v>
      </c>
      <c r="K1571" t="s">
        <v>1276</v>
      </c>
      <c r="L1571" t="s">
        <v>1277</v>
      </c>
      <c r="M1571" t="s">
        <v>1261</v>
      </c>
      <c r="V1571" t="s">
        <v>91</v>
      </c>
      <c r="W1571" t="s">
        <v>92</v>
      </c>
      <c r="X1571" t="s">
        <v>93</v>
      </c>
      <c r="Z1571" t="s">
        <v>94</v>
      </c>
      <c r="AB1571">
        <v>38.799999999999997</v>
      </c>
      <c r="AD1571">
        <v>33.200000000000003</v>
      </c>
      <c r="AF1571">
        <v>45.4</v>
      </c>
      <c r="AG1571" t="s">
        <v>95</v>
      </c>
      <c r="AX1571" t="s">
        <v>523</v>
      </c>
      <c r="AY1571" t="s">
        <v>523</v>
      </c>
      <c r="AZ1571" t="s">
        <v>475</v>
      </c>
      <c r="BC1571">
        <v>1</v>
      </c>
      <c r="BH1571" t="s">
        <v>99</v>
      </c>
      <c r="BO1571" t="s">
        <v>111</v>
      </c>
      <c r="CD1571" t="s">
        <v>982</v>
      </c>
      <c r="CE1571">
        <v>6797</v>
      </c>
      <c r="CF1571" t="s">
        <v>983</v>
      </c>
      <c r="CG1571" t="s">
        <v>984</v>
      </c>
      <c r="CH1571">
        <v>1986</v>
      </c>
    </row>
    <row r="1572" spans="1:86" hidden="1" x14ac:dyDescent="0.25">
      <c r="A1572">
        <v>330541</v>
      </c>
      <c r="B1572" t="s">
        <v>86</v>
      </c>
      <c r="F1572">
        <v>95</v>
      </c>
      <c r="K1572" t="s">
        <v>1287</v>
      </c>
      <c r="L1572" t="s">
        <v>1288</v>
      </c>
      <c r="M1572" t="s">
        <v>1261</v>
      </c>
      <c r="N1572" t="s">
        <v>1306</v>
      </c>
      <c r="V1572" t="s">
        <v>91</v>
      </c>
      <c r="W1572" t="s">
        <v>92</v>
      </c>
      <c r="X1572" t="s">
        <v>93</v>
      </c>
      <c r="Z1572" t="s">
        <v>94</v>
      </c>
      <c r="AB1572">
        <v>4.2</v>
      </c>
      <c r="AD1572">
        <v>3.3</v>
      </c>
      <c r="AF1572">
        <v>5.3</v>
      </c>
      <c r="AG1572" t="s">
        <v>95</v>
      </c>
      <c r="AX1572" t="s">
        <v>523</v>
      </c>
      <c r="AY1572" t="s">
        <v>523</v>
      </c>
      <c r="AZ1572" t="s">
        <v>475</v>
      </c>
      <c r="BC1572">
        <v>1</v>
      </c>
      <c r="BH1572" t="s">
        <v>99</v>
      </c>
      <c r="BO1572" t="s">
        <v>111</v>
      </c>
      <c r="CD1572" t="s">
        <v>982</v>
      </c>
      <c r="CE1572">
        <v>6797</v>
      </c>
      <c r="CF1572" t="s">
        <v>983</v>
      </c>
      <c r="CG1572" t="s">
        <v>984</v>
      </c>
      <c r="CH1572">
        <v>1986</v>
      </c>
    </row>
    <row r="1573" spans="1:86" hidden="1" x14ac:dyDescent="0.25">
      <c r="A1573">
        <v>330541</v>
      </c>
      <c r="B1573" t="s">
        <v>86</v>
      </c>
      <c r="F1573">
        <v>95</v>
      </c>
      <c r="K1573" t="s">
        <v>1276</v>
      </c>
      <c r="L1573" t="s">
        <v>1277</v>
      </c>
      <c r="M1573" t="s">
        <v>1261</v>
      </c>
      <c r="V1573" t="s">
        <v>91</v>
      </c>
      <c r="W1573" t="s">
        <v>92</v>
      </c>
      <c r="X1573" t="s">
        <v>93</v>
      </c>
      <c r="Z1573" t="s">
        <v>94</v>
      </c>
      <c r="AB1573">
        <v>3.2</v>
      </c>
      <c r="AD1573">
        <v>2.5299999999999998</v>
      </c>
      <c r="AF1573">
        <v>4.05</v>
      </c>
      <c r="AG1573" t="s">
        <v>95</v>
      </c>
      <c r="AX1573" t="s">
        <v>523</v>
      </c>
      <c r="AY1573" t="s">
        <v>523</v>
      </c>
      <c r="AZ1573" t="s">
        <v>475</v>
      </c>
      <c r="BC1573">
        <v>4</v>
      </c>
      <c r="BH1573" t="s">
        <v>99</v>
      </c>
      <c r="BO1573" t="s">
        <v>111</v>
      </c>
      <c r="CD1573" t="s">
        <v>366</v>
      </c>
      <c r="CE1573">
        <v>344</v>
      </c>
      <c r="CF1573" t="s">
        <v>367</v>
      </c>
      <c r="CG1573" t="s">
        <v>368</v>
      </c>
      <c r="CH1573">
        <v>1992</v>
      </c>
    </row>
    <row r="1574" spans="1:86" hidden="1" x14ac:dyDescent="0.25">
      <c r="A1574">
        <v>330541</v>
      </c>
      <c r="B1574" t="s">
        <v>86</v>
      </c>
      <c r="C1574" t="s">
        <v>183</v>
      </c>
      <c r="D1574" t="s">
        <v>87</v>
      </c>
      <c r="F1574">
        <v>98.6</v>
      </c>
      <c r="K1574" t="s">
        <v>1259</v>
      </c>
      <c r="L1574" t="s">
        <v>1260</v>
      </c>
      <c r="M1574" t="s">
        <v>1261</v>
      </c>
      <c r="P1574">
        <v>30</v>
      </c>
      <c r="U1574" t="s">
        <v>99</v>
      </c>
      <c r="V1574" t="s">
        <v>257</v>
      </c>
      <c r="W1574" t="s">
        <v>92</v>
      </c>
      <c r="X1574" t="s">
        <v>93</v>
      </c>
      <c r="Y1574">
        <v>6</v>
      </c>
      <c r="Z1574" t="s">
        <v>94</v>
      </c>
      <c r="AB1574">
        <v>19.899999999999999</v>
      </c>
      <c r="AG1574" t="s">
        <v>95</v>
      </c>
      <c r="AX1574" t="s">
        <v>523</v>
      </c>
      <c r="AY1574" t="s">
        <v>523</v>
      </c>
      <c r="AZ1574" t="s">
        <v>475</v>
      </c>
      <c r="BC1574">
        <v>2</v>
      </c>
      <c r="BH1574" t="s">
        <v>99</v>
      </c>
      <c r="BO1574" t="s">
        <v>111</v>
      </c>
      <c r="CD1574" t="s">
        <v>1262</v>
      </c>
      <c r="CE1574">
        <v>12612</v>
      </c>
      <c r="CF1574" t="s">
        <v>1263</v>
      </c>
      <c r="CG1574" t="s">
        <v>1264</v>
      </c>
      <c r="CH1574">
        <v>1987</v>
      </c>
    </row>
    <row r="1575" spans="1:86" hidden="1" x14ac:dyDescent="0.25">
      <c r="A1575">
        <v>330541</v>
      </c>
      <c r="B1575" t="s">
        <v>86</v>
      </c>
      <c r="F1575">
        <v>95</v>
      </c>
      <c r="K1575" t="s">
        <v>1276</v>
      </c>
      <c r="L1575" t="s">
        <v>1277</v>
      </c>
      <c r="M1575" t="s">
        <v>1261</v>
      </c>
      <c r="V1575" t="s">
        <v>91</v>
      </c>
      <c r="W1575" t="s">
        <v>92</v>
      </c>
      <c r="X1575" t="s">
        <v>93</v>
      </c>
      <c r="Z1575" t="s">
        <v>94</v>
      </c>
      <c r="AB1575">
        <v>8.1999999999999993</v>
      </c>
      <c r="AD1575">
        <v>7.4</v>
      </c>
      <c r="AF1575">
        <v>9.1</v>
      </c>
      <c r="AG1575" t="s">
        <v>95</v>
      </c>
      <c r="AX1575" t="s">
        <v>523</v>
      </c>
      <c r="AY1575" t="s">
        <v>523</v>
      </c>
      <c r="AZ1575" t="s">
        <v>475</v>
      </c>
      <c r="BC1575">
        <v>4</v>
      </c>
      <c r="BH1575" t="s">
        <v>99</v>
      </c>
      <c r="BO1575" t="s">
        <v>111</v>
      </c>
      <c r="CD1575" t="s">
        <v>982</v>
      </c>
      <c r="CE1575">
        <v>6797</v>
      </c>
      <c r="CF1575" t="s">
        <v>983</v>
      </c>
      <c r="CG1575" t="s">
        <v>984</v>
      </c>
      <c r="CH1575">
        <v>1986</v>
      </c>
    </row>
    <row r="1576" spans="1:86" hidden="1" x14ac:dyDescent="0.25">
      <c r="A1576">
        <v>330541</v>
      </c>
      <c r="B1576" t="s">
        <v>86</v>
      </c>
      <c r="F1576">
        <v>95</v>
      </c>
      <c r="K1576" t="s">
        <v>1287</v>
      </c>
      <c r="L1576" t="s">
        <v>1288</v>
      </c>
      <c r="M1576" t="s">
        <v>1261</v>
      </c>
      <c r="V1576" t="s">
        <v>91</v>
      </c>
      <c r="W1576" t="s">
        <v>92</v>
      </c>
      <c r="X1576" t="s">
        <v>93</v>
      </c>
      <c r="Z1576" t="s">
        <v>94</v>
      </c>
      <c r="AB1576">
        <v>17.5</v>
      </c>
      <c r="AD1576">
        <v>10.8</v>
      </c>
      <c r="AF1576">
        <v>28.5</v>
      </c>
      <c r="AG1576" t="s">
        <v>95</v>
      </c>
      <c r="AX1576" t="s">
        <v>523</v>
      </c>
      <c r="AY1576" t="s">
        <v>523</v>
      </c>
      <c r="AZ1576" t="s">
        <v>475</v>
      </c>
      <c r="BC1576">
        <v>1</v>
      </c>
      <c r="BH1576" t="s">
        <v>99</v>
      </c>
      <c r="BO1576" t="s">
        <v>111</v>
      </c>
      <c r="CD1576" t="s">
        <v>982</v>
      </c>
      <c r="CE1576">
        <v>6797</v>
      </c>
      <c r="CF1576" t="s">
        <v>983</v>
      </c>
      <c r="CG1576" t="s">
        <v>984</v>
      </c>
      <c r="CH1576">
        <v>1986</v>
      </c>
    </row>
    <row r="1577" spans="1:86" hidden="1" x14ac:dyDescent="0.25">
      <c r="A1577">
        <v>330541</v>
      </c>
      <c r="B1577" t="s">
        <v>86</v>
      </c>
      <c r="F1577">
        <v>95</v>
      </c>
      <c r="K1577" t="s">
        <v>1287</v>
      </c>
      <c r="L1577" t="s">
        <v>1288</v>
      </c>
      <c r="M1577" t="s">
        <v>1261</v>
      </c>
      <c r="N1577" t="s">
        <v>1306</v>
      </c>
      <c r="V1577" t="s">
        <v>91</v>
      </c>
      <c r="W1577" t="s">
        <v>92</v>
      </c>
      <c r="X1577" t="s">
        <v>93</v>
      </c>
      <c r="Z1577" t="s">
        <v>94</v>
      </c>
      <c r="AB1577">
        <v>1.1000000000000001</v>
      </c>
      <c r="AD1577">
        <v>1</v>
      </c>
      <c r="AF1577">
        <v>1.3</v>
      </c>
      <c r="AG1577" t="s">
        <v>95</v>
      </c>
      <c r="AX1577" t="s">
        <v>523</v>
      </c>
      <c r="AY1577" t="s">
        <v>523</v>
      </c>
      <c r="AZ1577" t="s">
        <v>475</v>
      </c>
      <c r="BC1577">
        <v>4</v>
      </c>
      <c r="BH1577" t="s">
        <v>99</v>
      </c>
      <c r="BO1577" t="s">
        <v>111</v>
      </c>
      <c r="CD1577" t="s">
        <v>982</v>
      </c>
      <c r="CE1577">
        <v>6797</v>
      </c>
      <c r="CF1577" t="s">
        <v>983</v>
      </c>
      <c r="CG1577" t="s">
        <v>984</v>
      </c>
      <c r="CH1577">
        <v>1986</v>
      </c>
    </row>
    <row r="1578" spans="1:86" hidden="1" x14ac:dyDescent="0.25">
      <c r="A1578">
        <v>330541</v>
      </c>
      <c r="B1578" t="s">
        <v>86</v>
      </c>
      <c r="F1578">
        <v>98.6</v>
      </c>
      <c r="K1578" t="s">
        <v>1259</v>
      </c>
      <c r="L1578" t="s">
        <v>1260</v>
      </c>
      <c r="M1578" t="s">
        <v>1261</v>
      </c>
      <c r="V1578" t="s">
        <v>91</v>
      </c>
      <c r="W1578" t="s">
        <v>92</v>
      </c>
      <c r="X1578" t="s">
        <v>93</v>
      </c>
      <c r="Z1578" t="s">
        <v>94</v>
      </c>
      <c r="AB1578">
        <v>14.2</v>
      </c>
      <c r="AD1578">
        <v>13.4</v>
      </c>
      <c r="AF1578">
        <v>15</v>
      </c>
      <c r="AG1578" t="s">
        <v>95</v>
      </c>
      <c r="AX1578" t="s">
        <v>523</v>
      </c>
      <c r="AY1578" t="s">
        <v>523</v>
      </c>
      <c r="AZ1578" t="s">
        <v>475</v>
      </c>
      <c r="BC1578">
        <v>4</v>
      </c>
      <c r="BH1578" t="s">
        <v>99</v>
      </c>
      <c r="BO1578" t="s">
        <v>111</v>
      </c>
      <c r="CD1578" t="s">
        <v>366</v>
      </c>
      <c r="CE1578">
        <v>344</v>
      </c>
      <c r="CF1578" t="s">
        <v>367</v>
      </c>
      <c r="CG1578" t="s">
        <v>368</v>
      </c>
      <c r="CH1578">
        <v>1992</v>
      </c>
    </row>
    <row r="1579" spans="1:86" hidden="1" x14ac:dyDescent="0.25">
      <c r="A1579">
        <v>330541</v>
      </c>
      <c r="B1579" t="s">
        <v>86</v>
      </c>
      <c r="F1579">
        <v>95</v>
      </c>
      <c r="K1579" t="s">
        <v>1276</v>
      </c>
      <c r="L1579" t="s">
        <v>1277</v>
      </c>
      <c r="M1579" t="s">
        <v>1261</v>
      </c>
      <c r="V1579" t="s">
        <v>91</v>
      </c>
      <c r="W1579" t="s">
        <v>92</v>
      </c>
      <c r="X1579" t="s">
        <v>93</v>
      </c>
      <c r="Z1579" t="s">
        <v>94</v>
      </c>
      <c r="AA1579" t="s">
        <v>106</v>
      </c>
      <c r="AB1579">
        <v>30</v>
      </c>
      <c r="AG1579" t="s">
        <v>95</v>
      </c>
      <c r="AX1579" t="s">
        <v>523</v>
      </c>
      <c r="AY1579" t="s">
        <v>523</v>
      </c>
      <c r="AZ1579" t="s">
        <v>475</v>
      </c>
      <c r="BC1579">
        <v>1</v>
      </c>
      <c r="BH1579" t="s">
        <v>99</v>
      </c>
      <c r="BO1579" t="s">
        <v>111</v>
      </c>
      <c r="CD1579" t="s">
        <v>982</v>
      </c>
      <c r="CE1579">
        <v>6797</v>
      </c>
      <c r="CF1579" t="s">
        <v>983</v>
      </c>
      <c r="CG1579" t="s">
        <v>984</v>
      </c>
      <c r="CH1579">
        <v>1986</v>
      </c>
    </row>
    <row r="1580" spans="1:86" x14ac:dyDescent="0.25">
      <c r="A1580">
        <v>330541</v>
      </c>
      <c r="B1580" t="s">
        <v>86</v>
      </c>
      <c r="D1580" t="s">
        <v>115</v>
      </c>
      <c r="E1580" t="s">
        <v>106</v>
      </c>
      <c r="F1580">
        <v>98</v>
      </c>
      <c r="K1580" t="s">
        <v>1265</v>
      </c>
      <c r="L1580" t="s">
        <v>1266</v>
      </c>
      <c r="M1580" t="s">
        <v>1261</v>
      </c>
      <c r="N1580" t="s">
        <v>910</v>
      </c>
      <c r="P1580">
        <v>6</v>
      </c>
      <c r="U1580" t="s">
        <v>1111</v>
      </c>
      <c r="V1580" t="s">
        <v>507</v>
      </c>
      <c r="W1580" t="s">
        <v>92</v>
      </c>
      <c r="X1580" t="s">
        <v>93</v>
      </c>
      <c r="Y1580">
        <v>7</v>
      </c>
      <c r="Z1580" t="s">
        <v>94</v>
      </c>
      <c r="AB1580">
        <v>6.9835921120000002</v>
      </c>
      <c r="AG1580" t="s">
        <v>95</v>
      </c>
      <c r="AX1580" t="s">
        <v>523</v>
      </c>
      <c r="AY1580" t="s">
        <v>523</v>
      </c>
      <c r="AZ1580" t="s">
        <v>1307</v>
      </c>
      <c r="BC1580">
        <v>4.75</v>
      </c>
      <c r="BH1580" t="s">
        <v>99</v>
      </c>
      <c r="BO1580" t="s">
        <v>111</v>
      </c>
      <c r="CD1580" t="s">
        <v>1268</v>
      </c>
      <c r="CE1580">
        <v>182389</v>
      </c>
      <c r="CF1580" t="s">
        <v>1269</v>
      </c>
      <c r="CG1580" t="s">
        <v>1270</v>
      </c>
      <c r="CH1580">
        <v>2020</v>
      </c>
    </row>
    <row r="1581" spans="1:86" hidden="1" x14ac:dyDescent="0.25">
      <c r="A1581">
        <v>330541</v>
      </c>
      <c r="B1581" t="s">
        <v>86</v>
      </c>
      <c r="F1581">
        <v>96.8</v>
      </c>
      <c r="K1581" t="s">
        <v>1302</v>
      </c>
      <c r="L1581" t="s">
        <v>1303</v>
      </c>
      <c r="M1581" t="s">
        <v>1261</v>
      </c>
      <c r="V1581" t="s">
        <v>257</v>
      </c>
      <c r="X1581" t="s">
        <v>93</v>
      </c>
      <c r="Z1581" t="s">
        <v>94</v>
      </c>
      <c r="AB1581">
        <v>0.44</v>
      </c>
      <c r="AG1581" t="s">
        <v>95</v>
      </c>
      <c r="AX1581" t="s">
        <v>196</v>
      </c>
      <c r="AY1581" t="s">
        <v>197</v>
      </c>
      <c r="AZ1581" t="s">
        <v>486</v>
      </c>
      <c r="BC1581">
        <v>38</v>
      </c>
      <c r="BH1581" t="s">
        <v>99</v>
      </c>
      <c r="BO1581" t="s">
        <v>111</v>
      </c>
      <c r="CD1581" t="s">
        <v>366</v>
      </c>
      <c r="CE1581">
        <v>344</v>
      </c>
      <c r="CF1581" t="s">
        <v>367</v>
      </c>
      <c r="CG1581" t="s">
        <v>368</v>
      </c>
      <c r="CH1581">
        <v>1992</v>
      </c>
    </row>
    <row r="1582" spans="1:86" x14ac:dyDescent="0.25">
      <c r="A1582">
        <v>330541</v>
      </c>
      <c r="B1582" t="s">
        <v>86</v>
      </c>
      <c r="D1582" t="s">
        <v>115</v>
      </c>
      <c r="F1582">
        <v>98</v>
      </c>
      <c r="K1582" t="s">
        <v>1265</v>
      </c>
      <c r="L1582" t="s">
        <v>1266</v>
      </c>
      <c r="M1582" t="s">
        <v>1261</v>
      </c>
      <c r="N1582" t="s">
        <v>1144</v>
      </c>
      <c r="V1582" t="s">
        <v>507</v>
      </c>
      <c r="W1582" t="s">
        <v>92</v>
      </c>
      <c r="X1582" t="s">
        <v>93</v>
      </c>
      <c r="Y1582">
        <v>2</v>
      </c>
      <c r="Z1582" t="s">
        <v>94</v>
      </c>
      <c r="AB1582">
        <v>1E-3</v>
      </c>
      <c r="AG1582" t="s">
        <v>95</v>
      </c>
      <c r="AX1582" t="s">
        <v>615</v>
      </c>
      <c r="AY1582" t="s">
        <v>616</v>
      </c>
      <c r="AZ1582" t="s">
        <v>486</v>
      </c>
      <c r="BA1582" t="s">
        <v>1308</v>
      </c>
      <c r="BC1582">
        <v>14</v>
      </c>
      <c r="BH1582" t="s">
        <v>99</v>
      </c>
      <c r="BO1582" t="s">
        <v>111</v>
      </c>
      <c r="CD1582" t="s">
        <v>1309</v>
      </c>
      <c r="CE1582">
        <v>165329</v>
      </c>
      <c r="CF1582" t="s">
        <v>1310</v>
      </c>
      <c r="CG1582" t="s">
        <v>1311</v>
      </c>
      <c r="CH1582">
        <v>2010</v>
      </c>
    </row>
    <row r="1583" spans="1:86" x14ac:dyDescent="0.25">
      <c r="A1583">
        <v>330541</v>
      </c>
      <c r="B1583" t="s">
        <v>86</v>
      </c>
      <c r="D1583" t="s">
        <v>115</v>
      </c>
      <c r="F1583">
        <v>98</v>
      </c>
      <c r="K1583" t="s">
        <v>1265</v>
      </c>
      <c r="L1583" t="s">
        <v>1266</v>
      </c>
      <c r="M1583" t="s">
        <v>1261</v>
      </c>
      <c r="N1583" t="s">
        <v>1144</v>
      </c>
      <c r="V1583" t="s">
        <v>507</v>
      </c>
      <c r="W1583" t="s">
        <v>92</v>
      </c>
      <c r="X1583" t="s">
        <v>93</v>
      </c>
      <c r="Y1583">
        <v>2</v>
      </c>
      <c r="Z1583" t="s">
        <v>94</v>
      </c>
      <c r="AB1583">
        <v>1E-3</v>
      </c>
      <c r="AG1583" t="s">
        <v>95</v>
      </c>
      <c r="AX1583" t="s">
        <v>615</v>
      </c>
      <c r="AY1583" t="s">
        <v>616</v>
      </c>
      <c r="AZ1583" t="s">
        <v>486</v>
      </c>
      <c r="BA1583" t="s">
        <v>1308</v>
      </c>
      <c r="BC1583">
        <v>21</v>
      </c>
      <c r="BH1583" t="s">
        <v>99</v>
      </c>
      <c r="BO1583" t="s">
        <v>111</v>
      </c>
      <c r="CD1583" t="s">
        <v>1309</v>
      </c>
      <c r="CE1583">
        <v>165329</v>
      </c>
      <c r="CF1583" t="s">
        <v>1310</v>
      </c>
      <c r="CG1583" t="s">
        <v>1311</v>
      </c>
      <c r="CH1583">
        <v>2010</v>
      </c>
    </row>
    <row r="1584" spans="1:86" x14ac:dyDescent="0.25">
      <c r="A1584">
        <v>330541</v>
      </c>
      <c r="B1584" t="s">
        <v>86</v>
      </c>
      <c r="D1584" t="s">
        <v>115</v>
      </c>
      <c r="F1584">
        <v>98</v>
      </c>
      <c r="K1584" t="s">
        <v>1265</v>
      </c>
      <c r="L1584" t="s">
        <v>1266</v>
      </c>
      <c r="M1584" t="s">
        <v>1261</v>
      </c>
      <c r="N1584" t="s">
        <v>1144</v>
      </c>
      <c r="V1584" t="s">
        <v>507</v>
      </c>
      <c r="W1584" t="s">
        <v>92</v>
      </c>
      <c r="X1584" t="s">
        <v>93</v>
      </c>
      <c r="Y1584">
        <v>2</v>
      </c>
      <c r="Z1584" t="s">
        <v>94</v>
      </c>
      <c r="AB1584">
        <v>1E-3</v>
      </c>
      <c r="AG1584" t="s">
        <v>95</v>
      </c>
      <c r="AX1584" t="s">
        <v>615</v>
      </c>
      <c r="AY1584" t="s">
        <v>946</v>
      </c>
      <c r="AZ1584" t="s">
        <v>486</v>
      </c>
      <c r="BA1584" t="s">
        <v>1182</v>
      </c>
      <c r="BC1584">
        <v>21</v>
      </c>
      <c r="BH1584" t="s">
        <v>99</v>
      </c>
      <c r="BO1584" t="s">
        <v>111</v>
      </c>
      <c r="CD1584" t="s">
        <v>1309</v>
      </c>
      <c r="CE1584">
        <v>165329</v>
      </c>
      <c r="CF1584" t="s">
        <v>1310</v>
      </c>
      <c r="CG1584" t="s">
        <v>1311</v>
      </c>
      <c r="CH1584">
        <v>2010</v>
      </c>
    </row>
    <row r="1585" spans="1:86" hidden="1" x14ac:dyDescent="0.25">
      <c r="A1585">
        <v>330541</v>
      </c>
      <c r="B1585" t="s">
        <v>86</v>
      </c>
      <c r="F1585">
        <v>96.8</v>
      </c>
      <c r="K1585" t="s">
        <v>1302</v>
      </c>
      <c r="L1585" t="s">
        <v>1303</v>
      </c>
      <c r="M1585" t="s">
        <v>1261</v>
      </c>
      <c r="V1585" t="s">
        <v>257</v>
      </c>
      <c r="X1585" t="s">
        <v>93</v>
      </c>
      <c r="Z1585" t="s">
        <v>94</v>
      </c>
      <c r="AA1585" t="s">
        <v>234</v>
      </c>
      <c r="AB1585">
        <v>0.44</v>
      </c>
      <c r="AG1585" t="s">
        <v>95</v>
      </c>
      <c r="AX1585" t="s">
        <v>1087</v>
      </c>
      <c r="AY1585" t="s">
        <v>1088</v>
      </c>
      <c r="AZ1585" t="s">
        <v>486</v>
      </c>
      <c r="BC1585">
        <v>38</v>
      </c>
      <c r="BH1585" t="s">
        <v>99</v>
      </c>
      <c r="BO1585" t="s">
        <v>111</v>
      </c>
      <c r="CD1585" t="s">
        <v>366</v>
      </c>
      <c r="CE1585">
        <v>344</v>
      </c>
      <c r="CF1585" t="s">
        <v>367</v>
      </c>
      <c r="CG1585" t="s">
        <v>368</v>
      </c>
      <c r="CH1585">
        <v>1992</v>
      </c>
    </row>
    <row r="1586" spans="1:86" hidden="1" x14ac:dyDescent="0.25">
      <c r="A1586">
        <v>330541</v>
      </c>
      <c r="B1586" t="s">
        <v>86</v>
      </c>
      <c r="F1586">
        <v>96.8</v>
      </c>
      <c r="K1586" t="s">
        <v>1302</v>
      </c>
      <c r="L1586" t="s">
        <v>1303</v>
      </c>
      <c r="M1586" t="s">
        <v>1261</v>
      </c>
      <c r="V1586" t="s">
        <v>257</v>
      </c>
      <c r="X1586" t="s">
        <v>93</v>
      </c>
      <c r="Z1586" t="s">
        <v>94</v>
      </c>
      <c r="AB1586">
        <v>0.44</v>
      </c>
      <c r="AG1586" t="s">
        <v>95</v>
      </c>
      <c r="AX1586" t="s">
        <v>523</v>
      </c>
      <c r="AY1586" t="s">
        <v>1013</v>
      </c>
      <c r="AZ1586" t="s">
        <v>486</v>
      </c>
      <c r="BC1586">
        <v>38</v>
      </c>
      <c r="BH1586" t="s">
        <v>99</v>
      </c>
      <c r="BO1586" t="s">
        <v>111</v>
      </c>
      <c r="CD1586" t="s">
        <v>366</v>
      </c>
      <c r="CE1586">
        <v>344</v>
      </c>
      <c r="CF1586" t="s">
        <v>367</v>
      </c>
      <c r="CG1586" t="s">
        <v>368</v>
      </c>
      <c r="CH1586">
        <v>1992</v>
      </c>
    </row>
    <row r="1587" spans="1:86" hidden="1" x14ac:dyDescent="0.25">
      <c r="A1587">
        <v>330541</v>
      </c>
      <c r="B1587" t="s">
        <v>86</v>
      </c>
      <c r="D1587" t="s">
        <v>115</v>
      </c>
      <c r="E1587" t="s">
        <v>106</v>
      </c>
      <c r="F1587">
        <v>99</v>
      </c>
      <c r="K1587" t="s">
        <v>1285</v>
      </c>
      <c r="L1587" t="s">
        <v>1286</v>
      </c>
      <c r="M1587" t="s">
        <v>1261</v>
      </c>
      <c r="N1587" t="s">
        <v>910</v>
      </c>
      <c r="R1587">
        <v>20</v>
      </c>
      <c r="T1587">
        <v>24</v>
      </c>
      <c r="U1587" t="s">
        <v>213</v>
      </c>
      <c r="V1587" t="s">
        <v>91</v>
      </c>
      <c r="W1587" t="s">
        <v>92</v>
      </c>
      <c r="X1587" t="s">
        <v>93</v>
      </c>
      <c r="Y1587">
        <v>5</v>
      </c>
      <c r="Z1587" t="s">
        <v>94</v>
      </c>
      <c r="AB1587">
        <v>2.0046359200000001</v>
      </c>
      <c r="AG1587" t="s">
        <v>95</v>
      </c>
      <c r="AX1587" t="s">
        <v>523</v>
      </c>
      <c r="AY1587" t="s">
        <v>523</v>
      </c>
      <c r="AZ1587" t="s">
        <v>486</v>
      </c>
      <c r="BC1587">
        <v>15</v>
      </c>
      <c r="BH1587" t="s">
        <v>99</v>
      </c>
      <c r="BO1587" t="s">
        <v>111</v>
      </c>
      <c r="CD1587" t="s">
        <v>1282</v>
      </c>
      <c r="CE1587">
        <v>60040</v>
      </c>
      <c r="CF1587" t="s">
        <v>1283</v>
      </c>
      <c r="CG1587" t="s">
        <v>1284</v>
      </c>
      <c r="CH1587">
        <v>2001</v>
      </c>
    </row>
    <row r="1588" spans="1:86" hidden="1" x14ac:dyDescent="0.25">
      <c r="A1588">
        <v>330541</v>
      </c>
      <c r="B1588" t="s">
        <v>86</v>
      </c>
      <c r="D1588" t="s">
        <v>115</v>
      </c>
      <c r="E1588" t="s">
        <v>106</v>
      </c>
      <c r="F1588">
        <v>99</v>
      </c>
      <c r="K1588" t="s">
        <v>1285</v>
      </c>
      <c r="L1588" t="s">
        <v>1286</v>
      </c>
      <c r="M1588" t="s">
        <v>1261</v>
      </c>
      <c r="N1588" t="s">
        <v>910</v>
      </c>
      <c r="R1588">
        <v>20</v>
      </c>
      <c r="T1588">
        <v>24</v>
      </c>
      <c r="U1588" t="s">
        <v>213</v>
      </c>
      <c r="V1588" t="s">
        <v>91</v>
      </c>
      <c r="W1588" t="s">
        <v>92</v>
      </c>
      <c r="X1588" t="s">
        <v>93</v>
      </c>
      <c r="Y1588">
        <v>5</v>
      </c>
      <c r="Z1588" t="s">
        <v>94</v>
      </c>
      <c r="AB1588">
        <v>7.4591104000000001</v>
      </c>
      <c r="AG1588" t="s">
        <v>95</v>
      </c>
      <c r="AX1588" t="s">
        <v>912</v>
      </c>
      <c r="AY1588" t="s">
        <v>1312</v>
      </c>
      <c r="AZ1588" t="s">
        <v>486</v>
      </c>
      <c r="BC1588">
        <v>15</v>
      </c>
      <c r="BH1588" t="s">
        <v>99</v>
      </c>
      <c r="BO1588" t="s">
        <v>111</v>
      </c>
      <c r="CD1588" t="s">
        <v>1282</v>
      </c>
      <c r="CE1588">
        <v>60040</v>
      </c>
      <c r="CF1588" t="s">
        <v>1283</v>
      </c>
      <c r="CG1588" t="s">
        <v>1284</v>
      </c>
      <c r="CH1588">
        <v>2001</v>
      </c>
    </row>
    <row r="1589" spans="1:86" hidden="1" x14ac:dyDescent="0.25">
      <c r="A1589">
        <v>330541</v>
      </c>
      <c r="B1589" t="s">
        <v>86</v>
      </c>
      <c r="C1589" t="s">
        <v>183</v>
      </c>
      <c r="D1589" t="s">
        <v>87</v>
      </c>
      <c r="F1589">
        <v>99.8</v>
      </c>
      <c r="K1589" t="s">
        <v>1259</v>
      </c>
      <c r="L1589" t="s">
        <v>1260</v>
      </c>
      <c r="M1589" t="s">
        <v>1261</v>
      </c>
      <c r="N1589" t="s">
        <v>1000</v>
      </c>
      <c r="P1589">
        <v>1.5</v>
      </c>
      <c r="U1589" t="s">
        <v>934</v>
      </c>
      <c r="V1589" t="s">
        <v>507</v>
      </c>
      <c r="W1589" t="s">
        <v>92</v>
      </c>
      <c r="X1589" t="s">
        <v>93</v>
      </c>
      <c r="Z1589" t="s">
        <v>94</v>
      </c>
      <c r="AB1589">
        <v>27.1</v>
      </c>
      <c r="AG1589" t="s">
        <v>95</v>
      </c>
      <c r="AX1589" t="s">
        <v>523</v>
      </c>
      <c r="AY1589" t="s">
        <v>1013</v>
      </c>
      <c r="AZ1589" t="s">
        <v>486</v>
      </c>
      <c r="BC1589">
        <v>10</v>
      </c>
      <c r="BH1589" t="s">
        <v>99</v>
      </c>
      <c r="BO1589" t="s">
        <v>111</v>
      </c>
      <c r="CD1589" t="s">
        <v>1065</v>
      </c>
      <c r="CE1589">
        <v>20182</v>
      </c>
      <c r="CF1589" t="s">
        <v>1066</v>
      </c>
      <c r="CG1589" t="s">
        <v>1067</v>
      </c>
      <c r="CH1589">
        <v>1998</v>
      </c>
    </row>
    <row r="1590" spans="1:86" hidden="1" x14ac:dyDescent="0.25">
      <c r="A1590">
        <v>330541</v>
      </c>
      <c r="B1590" t="s">
        <v>86</v>
      </c>
      <c r="D1590" t="s">
        <v>87</v>
      </c>
      <c r="F1590">
        <v>98.6</v>
      </c>
      <c r="K1590" t="s">
        <v>1259</v>
      </c>
      <c r="L1590" t="s">
        <v>1260</v>
      </c>
      <c r="M1590" t="s">
        <v>1261</v>
      </c>
      <c r="N1590" t="s">
        <v>910</v>
      </c>
      <c r="O1590" t="s">
        <v>234</v>
      </c>
      <c r="P1590">
        <v>24</v>
      </c>
      <c r="U1590" t="s">
        <v>213</v>
      </c>
      <c r="V1590" t="s">
        <v>257</v>
      </c>
      <c r="W1590" t="s">
        <v>92</v>
      </c>
      <c r="X1590" t="s">
        <v>93</v>
      </c>
      <c r="Y1590">
        <v>6</v>
      </c>
      <c r="Z1590" t="s">
        <v>94</v>
      </c>
      <c r="AB1590">
        <v>7.8E-2</v>
      </c>
      <c r="AG1590" t="s">
        <v>95</v>
      </c>
      <c r="AX1590" t="s">
        <v>196</v>
      </c>
      <c r="AY1590" t="s">
        <v>928</v>
      </c>
      <c r="AZ1590" t="s">
        <v>486</v>
      </c>
      <c r="BA1590" t="s">
        <v>179</v>
      </c>
      <c r="BC1590">
        <v>63</v>
      </c>
      <c r="BH1590" t="s">
        <v>99</v>
      </c>
      <c r="BO1590" t="s">
        <v>111</v>
      </c>
      <c r="CD1590" t="s">
        <v>1313</v>
      </c>
      <c r="CE1590">
        <v>150898</v>
      </c>
      <c r="CF1590" t="s">
        <v>1314</v>
      </c>
      <c r="CG1590" t="s">
        <v>1315</v>
      </c>
      <c r="CH1590">
        <v>1992</v>
      </c>
    </row>
    <row r="1591" spans="1:86" x14ac:dyDescent="0.25">
      <c r="A1591">
        <v>330541</v>
      </c>
      <c r="B1591" t="s">
        <v>86</v>
      </c>
      <c r="D1591" t="s">
        <v>115</v>
      </c>
      <c r="F1591">
        <v>98</v>
      </c>
      <c r="K1591" t="s">
        <v>1265</v>
      </c>
      <c r="L1591" t="s">
        <v>1266</v>
      </c>
      <c r="M1591" t="s">
        <v>1261</v>
      </c>
      <c r="N1591" t="s">
        <v>1144</v>
      </c>
      <c r="V1591" t="s">
        <v>507</v>
      </c>
      <c r="W1591" t="s">
        <v>92</v>
      </c>
      <c r="X1591" t="s">
        <v>93</v>
      </c>
      <c r="Y1591">
        <v>2</v>
      </c>
      <c r="Z1591" t="s">
        <v>94</v>
      </c>
      <c r="AB1591">
        <v>1E-3</v>
      </c>
      <c r="AG1591" t="s">
        <v>95</v>
      </c>
      <c r="AX1591" t="s">
        <v>615</v>
      </c>
      <c r="AY1591" t="s">
        <v>616</v>
      </c>
      <c r="AZ1591" t="s">
        <v>486</v>
      </c>
      <c r="BA1591" t="s">
        <v>1156</v>
      </c>
      <c r="BC1591">
        <v>14</v>
      </c>
      <c r="BH1591" t="s">
        <v>99</v>
      </c>
      <c r="BO1591" t="s">
        <v>111</v>
      </c>
      <c r="CD1591" t="s">
        <v>1309</v>
      </c>
      <c r="CE1591">
        <v>165329</v>
      </c>
      <c r="CF1591" t="s">
        <v>1310</v>
      </c>
      <c r="CG1591" t="s">
        <v>1311</v>
      </c>
      <c r="CH1591">
        <v>2010</v>
      </c>
    </row>
    <row r="1592" spans="1:86" x14ac:dyDescent="0.25">
      <c r="A1592">
        <v>330541</v>
      </c>
      <c r="B1592" t="s">
        <v>86</v>
      </c>
      <c r="D1592" t="s">
        <v>115</v>
      </c>
      <c r="F1592">
        <v>98</v>
      </c>
      <c r="K1592" t="s">
        <v>1265</v>
      </c>
      <c r="L1592" t="s">
        <v>1266</v>
      </c>
      <c r="M1592" t="s">
        <v>1261</v>
      </c>
      <c r="N1592" t="s">
        <v>1144</v>
      </c>
      <c r="V1592" t="s">
        <v>507</v>
      </c>
      <c r="W1592" t="s">
        <v>92</v>
      </c>
      <c r="X1592" t="s">
        <v>93</v>
      </c>
      <c r="Y1592">
        <v>2</v>
      </c>
      <c r="Z1592" t="s">
        <v>94</v>
      </c>
      <c r="AB1592">
        <v>1E-3</v>
      </c>
      <c r="AG1592" t="s">
        <v>95</v>
      </c>
      <c r="AX1592" t="s">
        <v>615</v>
      </c>
      <c r="AY1592" t="s">
        <v>616</v>
      </c>
      <c r="AZ1592" t="s">
        <v>486</v>
      </c>
      <c r="BA1592" t="s">
        <v>1156</v>
      </c>
      <c r="BC1592">
        <v>21</v>
      </c>
      <c r="BH1592" t="s">
        <v>99</v>
      </c>
      <c r="BO1592" t="s">
        <v>111</v>
      </c>
      <c r="CD1592" t="s">
        <v>1309</v>
      </c>
      <c r="CE1592">
        <v>165329</v>
      </c>
      <c r="CF1592" t="s">
        <v>1310</v>
      </c>
      <c r="CG1592" t="s">
        <v>1311</v>
      </c>
      <c r="CH1592">
        <v>2010</v>
      </c>
    </row>
    <row r="1593" spans="1:86" hidden="1" x14ac:dyDescent="0.25">
      <c r="A1593">
        <v>330541</v>
      </c>
      <c r="B1593" t="s">
        <v>86</v>
      </c>
      <c r="C1593" t="s">
        <v>183</v>
      </c>
      <c r="D1593" t="s">
        <v>87</v>
      </c>
      <c r="F1593">
        <v>99.8</v>
      </c>
      <c r="K1593" t="s">
        <v>1259</v>
      </c>
      <c r="L1593" t="s">
        <v>1260</v>
      </c>
      <c r="M1593" t="s">
        <v>1261</v>
      </c>
      <c r="N1593" t="s">
        <v>1000</v>
      </c>
      <c r="P1593">
        <v>1.5</v>
      </c>
      <c r="U1593" t="s">
        <v>934</v>
      </c>
      <c r="V1593" t="s">
        <v>507</v>
      </c>
      <c r="W1593" t="s">
        <v>92</v>
      </c>
      <c r="X1593" t="s">
        <v>93</v>
      </c>
      <c r="Z1593" t="s">
        <v>94</v>
      </c>
      <c r="AB1593">
        <v>3.4</v>
      </c>
      <c r="AG1593" t="s">
        <v>95</v>
      </c>
      <c r="AX1593" t="s">
        <v>196</v>
      </c>
      <c r="AY1593" t="s">
        <v>928</v>
      </c>
      <c r="AZ1593" t="s">
        <v>486</v>
      </c>
      <c r="BC1593">
        <v>10</v>
      </c>
      <c r="BH1593" t="s">
        <v>99</v>
      </c>
      <c r="BO1593" t="s">
        <v>111</v>
      </c>
      <c r="CD1593" t="s">
        <v>1065</v>
      </c>
      <c r="CE1593">
        <v>20182</v>
      </c>
      <c r="CF1593" t="s">
        <v>1066</v>
      </c>
      <c r="CG1593" t="s">
        <v>1067</v>
      </c>
      <c r="CH1593">
        <v>1998</v>
      </c>
    </row>
    <row r="1594" spans="1:86" x14ac:dyDescent="0.25">
      <c r="A1594">
        <v>330541</v>
      </c>
      <c r="B1594" t="s">
        <v>86</v>
      </c>
      <c r="D1594" t="s">
        <v>115</v>
      </c>
      <c r="E1594" t="s">
        <v>106</v>
      </c>
      <c r="F1594">
        <v>98</v>
      </c>
      <c r="K1594" t="s">
        <v>1265</v>
      </c>
      <c r="L1594" t="s">
        <v>1266</v>
      </c>
      <c r="M1594" t="s">
        <v>1261</v>
      </c>
      <c r="N1594" t="s">
        <v>910</v>
      </c>
      <c r="P1594">
        <v>6</v>
      </c>
      <c r="U1594" t="s">
        <v>1111</v>
      </c>
      <c r="V1594" t="s">
        <v>507</v>
      </c>
      <c r="W1594" t="s">
        <v>92</v>
      </c>
      <c r="X1594" t="s">
        <v>93</v>
      </c>
      <c r="Y1594">
        <v>7</v>
      </c>
      <c r="Z1594" t="s">
        <v>94</v>
      </c>
      <c r="AB1594">
        <v>2.330972</v>
      </c>
      <c r="AG1594" t="s">
        <v>95</v>
      </c>
      <c r="AX1594" t="s">
        <v>912</v>
      </c>
      <c r="AY1594" t="s">
        <v>1316</v>
      </c>
      <c r="AZ1594" t="s">
        <v>486</v>
      </c>
      <c r="BC1594">
        <v>4.75</v>
      </c>
      <c r="BH1594" t="s">
        <v>99</v>
      </c>
      <c r="BO1594" t="s">
        <v>111</v>
      </c>
      <c r="CD1594" t="s">
        <v>1268</v>
      </c>
      <c r="CE1594">
        <v>182389</v>
      </c>
      <c r="CF1594" t="s">
        <v>1269</v>
      </c>
      <c r="CG1594" t="s">
        <v>1270</v>
      </c>
      <c r="CH1594">
        <v>2020</v>
      </c>
    </row>
    <row r="1595" spans="1:86" hidden="1" x14ac:dyDescent="0.25">
      <c r="A1595">
        <v>330541</v>
      </c>
      <c r="B1595" t="s">
        <v>86</v>
      </c>
      <c r="C1595" t="s">
        <v>183</v>
      </c>
      <c r="D1595" t="s">
        <v>87</v>
      </c>
      <c r="F1595">
        <v>98.6</v>
      </c>
      <c r="K1595" t="s">
        <v>1259</v>
      </c>
      <c r="L1595" t="s">
        <v>1260</v>
      </c>
      <c r="M1595" t="s">
        <v>1261</v>
      </c>
      <c r="N1595" t="s">
        <v>1110</v>
      </c>
      <c r="O1595" t="s">
        <v>234</v>
      </c>
      <c r="P1595">
        <v>24</v>
      </c>
      <c r="U1595" t="s">
        <v>213</v>
      </c>
      <c r="V1595" t="s">
        <v>257</v>
      </c>
      <c r="W1595" t="s">
        <v>92</v>
      </c>
      <c r="X1595" t="s">
        <v>93</v>
      </c>
      <c r="Y1595">
        <v>6</v>
      </c>
      <c r="Z1595" t="s">
        <v>94</v>
      </c>
      <c r="AB1595">
        <v>7.8E-2</v>
      </c>
      <c r="AG1595" t="s">
        <v>95</v>
      </c>
      <c r="AX1595" t="s">
        <v>912</v>
      </c>
      <c r="AY1595" t="s">
        <v>1316</v>
      </c>
      <c r="AZ1595" t="s">
        <v>486</v>
      </c>
      <c r="BC1595">
        <v>5</v>
      </c>
      <c r="BH1595" t="s">
        <v>99</v>
      </c>
      <c r="BO1595" t="s">
        <v>111</v>
      </c>
      <c r="CD1595" t="s">
        <v>1262</v>
      </c>
      <c r="CE1595">
        <v>12612</v>
      </c>
      <c r="CF1595" t="s">
        <v>1263</v>
      </c>
      <c r="CG1595" t="s">
        <v>1264</v>
      </c>
      <c r="CH1595">
        <v>1987</v>
      </c>
    </row>
    <row r="1596" spans="1:86" hidden="1" x14ac:dyDescent="0.25">
      <c r="A1596">
        <v>330541</v>
      </c>
      <c r="B1596" t="s">
        <v>86</v>
      </c>
      <c r="C1596" t="s">
        <v>183</v>
      </c>
      <c r="D1596" t="s">
        <v>87</v>
      </c>
      <c r="F1596">
        <v>98.6</v>
      </c>
      <c r="K1596" t="s">
        <v>1259</v>
      </c>
      <c r="L1596" t="s">
        <v>1260</v>
      </c>
      <c r="M1596" t="s">
        <v>1261</v>
      </c>
      <c r="N1596" t="s">
        <v>1110</v>
      </c>
      <c r="O1596" t="s">
        <v>234</v>
      </c>
      <c r="P1596">
        <v>24</v>
      </c>
      <c r="U1596" t="s">
        <v>213</v>
      </c>
      <c r="V1596" t="s">
        <v>257</v>
      </c>
      <c r="W1596" t="s">
        <v>92</v>
      </c>
      <c r="X1596" t="s">
        <v>93</v>
      </c>
      <c r="Y1596">
        <v>6</v>
      </c>
      <c r="Z1596" t="s">
        <v>94</v>
      </c>
      <c r="AB1596">
        <v>7.8E-2</v>
      </c>
      <c r="AG1596" t="s">
        <v>95</v>
      </c>
      <c r="AX1596" t="s">
        <v>523</v>
      </c>
      <c r="AY1596" t="s">
        <v>1013</v>
      </c>
      <c r="AZ1596" t="s">
        <v>486</v>
      </c>
      <c r="BC1596">
        <v>60</v>
      </c>
      <c r="BH1596" t="s">
        <v>1317</v>
      </c>
      <c r="BO1596" t="s">
        <v>111</v>
      </c>
      <c r="CD1596" t="s">
        <v>1262</v>
      </c>
      <c r="CE1596">
        <v>12612</v>
      </c>
      <c r="CF1596" t="s">
        <v>1263</v>
      </c>
      <c r="CG1596" t="s">
        <v>1264</v>
      </c>
      <c r="CH1596">
        <v>1987</v>
      </c>
    </row>
    <row r="1597" spans="1:86" hidden="1" x14ac:dyDescent="0.25">
      <c r="A1597">
        <v>330541</v>
      </c>
      <c r="B1597" t="s">
        <v>86</v>
      </c>
      <c r="F1597">
        <v>98.6</v>
      </c>
      <c r="K1597" t="s">
        <v>1259</v>
      </c>
      <c r="L1597" t="s">
        <v>1260</v>
      </c>
      <c r="M1597" t="s">
        <v>1261</v>
      </c>
      <c r="V1597" t="s">
        <v>91</v>
      </c>
      <c r="X1597" t="s">
        <v>93</v>
      </c>
      <c r="Z1597" t="s">
        <v>94</v>
      </c>
      <c r="AB1597">
        <v>6.1800000000000001E-2</v>
      </c>
      <c r="AG1597" t="s">
        <v>95</v>
      </c>
      <c r="AX1597" t="s">
        <v>602</v>
      </c>
      <c r="AY1597" t="s">
        <v>1086</v>
      </c>
      <c r="AZ1597" t="s">
        <v>486</v>
      </c>
      <c r="BC1597">
        <v>60</v>
      </c>
      <c r="BH1597" t="s">
        <v>99</v>
      </c>
      <c r="BO1597" t="s">
        <v>111</v>
      </c>
      <c r="CD1597" t="s">
        <v>366</v>
      </c>
      <c r="CE1597">
        <v>344</v>
      </c>
      <c r="CF1597" t="s">
        <v>367</v>
      </c>
      <c r="CG1597" t="s">
        <v>368</v>
      </c>
      <c r="CH1597">
        <v>1992</v>
      </c>
    </row>
    <row r="1598" spans="1:86" hidden="1" x14ac:dyDescent="0.25">
      <c r="A1598">
        <v>330541</v>
      </c>
      <c r="B1598" t="s">
        <v>86</v>
      </c>
      <c r="F1598">
        <v>98.6</v>
      </c>
      <c r="K1598" t="s">
        <v>1259</v>
      </c>
      <c r="L1598" t="s">
        <v>1260</v>
      </c>
      <c r="M1598" t="s">
        <v>1261</v>
      </c>
      <c r="V1598" t="s">
        <v>91</v>
      </c>
      <c r="X1598" t="s">
        <v>93</v>
      </c>
      <c r="Z1598" t="s">
        <v>94</v>
      </c>
      <c r="AB1598">
        <v>6.1800000000000001E-2</v>
      </c>
      <c r="AG1598" t="s">
        <v>95</v>
      </c>
      <c r="AX1598" t="s">
        <v>602</v>
      </c>
      <c r="AY1598" t="s">
        <v>1085</v>
      </c>
      <c r="AZ1598" t="s">
        <v>486</v>
      </c>
      <c r="BC1598">
        <v>60</v>
      </c>
      <c r="BH1598" t="s">
        <v>99</v>
      </c>
      <c r="BO1598" t="s">
        <v>111</v>
      </c>
      <c r="CD1598" t="s">
        <v>366</v>
      </c>
      <c r="CE1598">
        <v>344</v>
      </c>
      <c r="CF1598" t="s">
        <v>367</v>
      </c>
      <c r="CG1598" t="s">
        <v>368</v>
      </c>
      <c r="CH1598">
        <v>1992</v>
      </c>
    </row>
    <row r="1599" spans="1:86" hidden="1" x14ac:dyDescent="0.25">
      <c r="A1599">
        <v>330541</v>
      </c>
      <c r="B1599" t="s">
        <v>86</v>
      </c>
      <c r="D1599" t="s">
        <v>87</v>
      </c>
      <c r="F1599">
        <v>98.6</v>
      </c>
      <c r="K1599" t="s">
        <v>1259</v>
      </c>
      <c r="L1599" t="s">
        <v>1260</v>
      </c>
      <c r="M1599" t="s">
        <v>1261</v>
      </c>
      <c r="N1599" t="s">
        <v>910</v>
      </c>
      <c r="O1599" t="s">
        <v>234</v>
      </c>
      <c r="P1599">
        <v>24</v>
      </c>
      <c r="U1599" t="s">
        <v>213</v>
      </c>
      <c r="V1599" t="s">
        <v>257</v>
      </c>
      <c r="W1599" t="s">
        <v>92</v>
      </c>
      <c r="X1599" t="s">
        <v>93</v>
      </c>
      <c r="Y1599">
        <v>6</v>
      </c>
      <c r="Z1599" t="s">
        <v>94</v>
      </c>
      <c r="AB1599">
        <v>3.3399999999999999E-2</v>
      </c>
      <c r="AG1599" t="s">
        <v>95</v>
      </c>
      <c r="AX1599" t="s">
        <v>912</v>
      </c>
      <c r="AY1599" t="s">
        <v>1163</v>
      </c>
      <c r="AZ1599" t="s">
        <v>486</v>
      </c>
      <c r="BH1599" t="s">
        <v>1318</v>
      </c>
      <c r="BO1599" t="s">
        <v>111</v>
      </c>
      <c r="CD1599" t="s">
        <v>1313</v>
      </c>
      <c r="CE1599">
        <v>150898</v>
      </c>
      <c r="CF1599" t="s">
        <v>1314</v>
      </c>
      <c r="CG1599" t="s">
        <v>1315</v>
      </c>
      <c r="CH1599">
        <v>1992</v>
      </c>
    </row>
    <row r="1600" spans="1:86" hidden="1" x14ac:dyDescent="0.25">
      <c r="A1600">
        <v>330541</v>
      </c>
      <c r="B1600" t="s">
        <v>86</v>
      </c>
      <c r="F1600">
        <v>98.6</v>
      </c>
      <c r="K1600" t="s">
        <v>1259</v>
      </c>
      <c r="L1600" t="s">
        <v>1260</v>
      </c>
      <c r="M1600" t="s">
        <v>1261</v>
      </c>
      <c r="V1600" t="s">
        <v>91</v>
      </c>
      <c r="X1600" t="s">
        <v>93</v>
      </c>
      <c r="Z1600" t="s">
        <v>94</v>
      </c>
      <c r="AB1600">
        <v>6.1800000000000001E-2</v>
      </c>
      <c r="AG1600" t="s">
        <v>95</v>
      </c>
      <c r="AX1600" t="s">
        <v>523</v>
      </c>
      <c r="AY1600" t="s">
        <v>1013</v>
      </c>
      <c r="AZ1600" t="s">
        <v>486</v>
      </c>
      <c r="BC1600">
        <v>60</v>
      </c>
      <c r="BH1600" t="s">
        <v>99</v>
      </c>
      <c r="BO1600" t="s">
        <v>111</v>
      </c>
      <c r="CD1600" t="s">
        <v>366</v>
      </c>
      <c r="CE1600">
        <v>344</v>
      </c>
      <c r="CF1600" t="s">
        <v>367</v>
      </c>
      <c r="CG1600" t="s">
        <v>368</v>
      </c>
      <c r="CH1600">
        <v>1992</v>
      </c>
    </row>
    <row r="1601" spans="1:86" hidden="1" x14ac:dyDescent="0.25">
      <c r="A1601">
        <v>330541</v>
      </c>
      <c r="B1601" t="s">
        <v>86</v>
      </c>
      <c r="F1601">
        <v>98.6</v>
      </c>
      <c r="K1601" t="s">
        <v>1259</v>
      </c>
      <c r="L1601" t="s">
        <v>1260</v>
      </c>
      <c r="M1601" t="s">
        <v>1261</v>
      </c>
      <c r="V1601" t="s">
        <v>91</v>
      </c>
      <c r="X1601" t="s">
        <v>93</v>
      </c>
      <c r="Z1601" t="s">
        <v>94</v>
      </c>
      <c r="AB1601">
        <v>6.1800000000000001E-2</v>
      </c>
      <c r="AG1601" t="s">
        <v>95</v>
      </c>
      <c r="AX1601" t="s">
        <v>196</v>
      </c>
      <c r="AY1601" t="s">
        <v>197</v>
      </c>
      <c r="AZ1601" t="s">
        <v>486</v>
      </c>
      <c r="BC1601">
        <v>60</v>
      </c>
      <c r="BH1601" t="s">
        <v>99</v>
      </c>
      <c r="BO1601" t="s">
        <v>111</v>
      </c>
      <c r="CD1601" t="s">
        <v>366</v>
      </c>
      <c r="CE1601">
        <v>344</v>
      </c>
      <c r="CF1601" t="s">
        <v>367</v>
      </c>
      <c r="CG1601" t="s">
        <v>368</v>
      </c>
      <c r="CH1601">
        <v>1992</v>
      </c>
    </row>
    <row r="1602" spans="1:86" hidden="1" x14ac:dyDescent="0.25">
      <c r="A1602">
        <v>330541</v>
      </c>
      <c r="B1602" t="s">
        <v>86</v>
      </c>
      <c r="C1602" t="s">
        <v>183</v>
      </c>
      <c r="D1602" t="s">
        <v>87</v>
      </c>
      <c r="F1602">
        <v>99.8</v>
      </c>
      <c r="K1602" t="s">
        <v>1259</v>
      </c>
      <c r="L1602" t="s">
        <v>1260</v>
      </c>
      <c r="M1602" t="s">
        <v>1261</v>
      </c>
      <c r="N1602" t="s">
        <v>1110</v>
      </c>
      <c r="P1602">
        <v>2.5</v>
      </c>
      <c r="U1602" t="s">
        <v>99</v>
      </c>
      <c r="V1602" t="s">
        <v>91</v>
      </c>
      <c r="W1602" t="s">
        <v>92</v>
      </c>
      <c r="X1602" t="s">
        <v>93</v>
      </c>
      <c r="Z1602" t="s">
        <v>94</v>
      </c>
      <c r="AB1602">
        <v>8.3000000000000007</v>
      </c>
      <c r="AG1602" t="s">
        <v>95</v>
      </c>
      <c r="AX1602" t="s">
        <v>196</v>
      </c>
      <c r="AY1602" t="s">
        <v>928</v>
      </c>
      <c r="AZ1602" t="s">
        <v>486</v>
      </c>
      <c r="BC1602">
        <v>7</v>
      </c>
      <c r="BH1602" t="s">
        <v>99</v>
      </c>
      <c r="BO1602" t="s">
        <v>111</v>
      </c>
      <c r="CD1602" t="s">
        <v>1065</v>
      </c>
      <c r="CE1602">
        <v>20182</v>
      </c>
      <c r="CF1602" t="s">
        <v>1066</v>
      </c>
      <c r="CG1602" t="s">
        <v>1067</v>
      </c>
      <c r="CH1602">
        <v>1998</v>
      </c>
    </row>
    <row r="1603" spans="1:86" hidden="1" x14ac:dyDescent="0.25">
      <c r="A1603">
        <v>330541</v>
      </c>
      <c r="B1603" t="s">
        <v>86</v>
      </c>
      <c r="D1603" t="s">
        <v>87</v>
      </c>
      <c r="F1603">
        <v>98.6</v>
      </c>
      <c r="K1603" t="s">
        <v>1259</v>
      </c>
      <c r="L1603" t="s">
        <v>1260</v>
      </c>
      <c r="M1603" t="s">
        <v>1261</v>
      </c>
      <c r="N1603" t="s">
        <v>910</v>
      </c>
      <c r="O1603" t="s">
        <v>234</v>
      </c>
      <c r="P1603">
        <v>24</v>
      </c>
      <c r="U1603" t="s">
        <v>213</v>
      </c>
      <c r="V1603" t="s">
        <v>257</v>
      </c>
      <c r="W1603" t="s">
        <v>92</v>
      </c>
      <c r="X1603" t="s">
        <v>93</v>
      </c>
      <c r="Y1603">
        <v>6</v>
      </c>
      <c r="Z1603" t="s">
        <v>94</v>
      </c>
      <c r="AB1603">
        <v>7.8E-2</v>
      </c>
      <c r="AG1603" t="s">
        <v>95</v>
      </c>
      <c r="AX1603" t="s">
        <v>196</v>
      </c>
      <c r="AY1603" t="s">
        <v>817</v>
      </c>
      <c r="AZ1603" t="s">
        <v>486</v>
      </c>
      <c r="BA1603" t="s">
        <v>179</v>
      </c>
      <c r="BC1603">
        <v>63</v>
      </c>
      <c r="BH1603" t="s">
        <v>99</v>
      </c>
      <c r="BO1603" t="s">
        <v>111</v>
      </c>
      <c r="CD1603" t="s">
        <v>1313</v>
      </c>
      <c r="CE1603">
        <v>150898</v>
      </c>
      <c r="CF1603" t="s">
        <v>1314</v>
      </c>
      <c r="CG1603" t="s">
        <v>1315</v>
      </c>
      <c r="CH1603">
        <v>1992</v>
      </c>
    </row>
    <row r="1604" spans="1:86" x14ac:dyDescent="0.25">
      <c r="A1604">
        <v>330541</v>
      </c>
      <c r="B1604" t="s">
        <v>86</v>
      </c>
      <c r="D1604" t="s">
        <v>115</v>
      </c>
      <c r="F1604">
        <v>98</v>
      </c>
      <c r="K1604" t="s">
        <v>1265</v>
      </c>
      <c r="L1604" t="s">
        <v>1266</v>
      </c>
      <c r="M1604" t="s">
        <v>1261</v>
      </c>
      <c r="N1604" t="s">
        <v>1144</v>
      </c>
      <c r="V1604" t="s">
        <v>507</v>
      </c>
      <c r="W1604" t="s">
        <v>92</v>
      </c>
      <c r="X1604" t="s">
        <v>93</v>
      </c>
      <c r="Y1604">
        <v>2</v>
      </c>
      <c r="Z1604" t="s">
        <v>94</v>
      </c>
      <c r="AB1604">
        <v>1E-3</v>
      </c>
      <c r="AG1604" t="s">
        <v>95</v>
      </c>
      <c r="AX1604" t="s">
        <v>615</v>
      </c>
      <c r="AY1604" t="s">
        <v>946</v>
      </c>
      <c r="AZ1604" t="s">
        <v>486</v>
      </c>
      <c r="BA1604" t="s">
        <v>1182</v>
      </c>
      <c r="BC1604">
        <v>14</v>
      </c>
      <c r="BH1604" t="s">
        <v>99</v>
      </c>
      <c r="BO1604" t="s">
        <v>111</v>
      </c>
      <c r="CD1604" t="s">
        <v>1309</v>
      </c>
      <c r="CE1604">
        <v>165329</v>
      </c>
      <c r="CF1604" t="s">
        <v>1310</v>
      </c>
      <c r="CG1604" t="s">
        <v>1311</v>
      </c>
      <c r="CH1604">
        <v>2010</v>
      </c>
    </row>
    <row r="1605" spans="1:86" hidden="1" x14ac:dyDescent="0.25">
      <c r="A1605">
        <v>330541</v>
      </c>
      <c r="B1605" t="s">
        <v>86</v>
      </c>
      <c r="D1605" t="s">
        <v>115</v>
      </c>
      <c r="F1605">
        <v>99</v>
      </c>
      <c r="K1605" t="s">
        <v>1304</v>
      </c>
      <c r="L1605" t="s">
        <v>1305</v>
      </c>
      <c r="M1605" t="s">
        <v>1261</v>
      </c>
      <c r="N1605" t="s">
        <v>1000</v>
      </c>
      <c r="V1605" t="s">
        <v>91</v>
      </c>
      <c r="W1605" t="s">
        <v>92</v>
      </c>
      <c r="X1605" t="s">
        <v>93</v>
      </c>
      <c r="Y1605">
        <v>4</v>
      </c>
      <c r="Z1605" t="s">
        <v>94</v>
      </c>
      <c r="AB1605">
        <v>5.0000000000000001E-3</v>
      </c>
      <c r="AG1605" t="s">
        <v>95</v>
      </c>
      <c r="AX1605" t="s">
        <v>282</v>
      </c>
      <c r="AY1605" t="s">
        <v>1210</v>
      </c>
      <c r="AZ1605" t="s">
        <v>555</v>
      </c>
      <c r="BA1605" t="s">
        <v>1184</v>
      </c>
      <c r="BC1605">
        <v>0.5</v>
      </c>
      <c r="BH1605" t="s">
        <v>99</v>
      </c>
      <c r="BO1605" t="s">
        <v>111</v>
      </c>
      <c r="CD1605" t="s">
        <v>1319</v>
      </c>
      <c r="CE1605">
        <v>59758</v>
      </c>
      <c r="CF1605" t="s">
        <v>1320</v>
      </c>
      <c r="CG1605" t="s">
        <v>1321</v>
      </c>
      <c r="CH1605">
        <v>2000</v>
      </c>
    </row>
    <row r="1606" spans="1:86" hidden="1" x14ac:dyDescent="0.25">
      <c r="A1606">
        <v>330541</v>
      </c>
      <c r="B1606" t="s">
        <v>86</v>
      </c>
      <c r="D1606" t="s">
        <v>87</v>
      </c>
      <c r="F1606">
        <v>98.6</v>
      </c>
      <c r="K1606" t="s">
        <v>1259</v>
      </c>
      <c r="L1606" t="s">
        <v>1260</v>
      </c>
      <c r="M1606" t="s">
        <v>1261</v>
      </c>
      <c r="N1606" t="s">
        <v>910</v>
      </c>
      <c r="O1606" t="s">
        <v>234</v>
      </c>
      <c r="P1606">
        <v>24</v>
      </c>
      <c r="U1606" t="s">
        <v>213</v>
      </c>
      <c r="V1606" t="s">
        <v>257</v>
      </c>
      <c r="W1606" t="s">
        <v>92</v>
      </c>
      <c r="X1606" t="s">
        <v>93</v>
      </c>
      <c r="Y1606">
        <v>6</v>
      </c>
      <c r="Z1606" t="s">
        <v>94</v>
      </c>
      <c r="AB1606">
        <v>5.0999999999999997E-2</v>
      </c>
      <c r="AG1606" t="s">
        <v>95</v>
      </c>
      <c r="AX1606" t="s">
        <v>196</v>
      </c>
      <c r="AY1606" t="s">
        <v>817</v>
      </c>
      <c r="AZ1606" t="s">
        <v>585</v>
      </c>
      <c r="BA1606" t="s">
        <v>179</v>
      </c>
      <c r="BC1606">
        <v>63</v>
      </c>
      <c r="BH1606" t="s">
        <v>99</v>
      </c>
      <c r="BO1606" t="s">
        <v>111</v>
      </c>
      <c r="CD1606" t="s">
        <v>1313</v>
      </c>
      <c r="CE1606">
        <v>150898</v>
      </c>
      <c r="CF1606" t="s">
        <v>1314</v>
      </c>
      <c r="CG1606" t="s">
        <v>1315</v>
      </c>
      <c r="CH1606">
        <v>1992</v>
      </c>
    </row>
    <row r="1607" spans="1:86" hidden="1" x14ac:dyDescent="0.25">
      <c r="A1607">
        <v>330541</v>
      </c>
      <c r="B1607" t="s">
        <v>86</v>
      </c>
      <c r="C1607" t="s">
        <v>183</v>
      </c>
      <c r="D1607" t="s">
        <v>87</v>
      </c>
      <c r="F1607">
        <v>98.6</v>
      </c>
      <c r="K1607" t="s">
        <v>1259</v>
      </c>
      <c r="L1607" t="s">
        <v>1260</v>
      </c>
      <c r="M1607" t="s">
        <v>1261</v>
      </c>
      <c r="N1607" t="s">
        <v>1110</v>
      </c>
      <c r="O1607" t="s">
        <v>234</v>
      </c>
      <c r="P1607">
        <v>24</v>
      </c>
      <c r="U1607" t="s">
        <v>213</v>
      </c>
      <c r="V1607" t="s">
        <v>257</v>
      </c>
      <c r="W1607" t="s">
        <v>92</v>
      </c>
      <c r="X1607" t="s">
        <v>93</v>
      </c>
      <c r="Y1607">
        <v>6</v>
      </c>
      <c r="Z1607" t="s">
        <v>94</v>
      </c>
      <c r="AB1607"/>
      <c r="AC1607" t="s">
        <v>106</v>
      </c>
      <c r="AD1607">
        <v>3.3399999999999999E-2</v>
      </c>
      <c r="AE1607" t="s">
        <v>234</v>
      </c>
      <c r="AF1607">
        <v>7.8E-2</v>
      </c>
      <c r="AG1607" t="s">
        <v>95</v>
      </c>
      <c r="AX1607" t="s">
        <v>523</v>
      </c>
      <c r="AY1607" t="s">
        <v>1013</v>
      </c>
      <c r="AZ1607" t="s">
        <v>585</v>
      </c>
      <c r="BC1607">
        <v>60</v>
      </c>
      <c r="BH1607" t="s">
        <v>1317</v>
      </c>
      <c r="BO1607" t="s">
        <v>111</v>
      </c>
      <c r="CD1607" t="s">
        <v>1262</v>
      </c>
      <c r="CE1607">
        <v>12612</v>
      </c>
      <c r="CF1607" t="s">
        <v>1263</v>
      </c>
      <c r="CG1607" t="s">
        <v>1264</v>
      </c>
      <c r="CH1607">
        <v>1987</v>
      </c>
    </row>
    <row r="1608" spans="1:86" hidden="1" x14ac:dyDescent="0.25">
      <c r="A1608">
        <v>330541</v>
      </c>
      <c r="B1608" t="s">
        <v>86</v>
      </c>
      <c r="C1608" t="s">
        <v>183</v>
      </c>
      <c r="D1608" t="s">
        <v>87</v>
      </c>
      <c r="F1608">
        <v>98.6</v>
      </c>
      <c r="K1608" t="s">
        <v>1259</v>
      </c>
      <c r="L1608" t="s">
        <v>1260</v>
      </c>
      <c r="M1608" t="s">
        <v>1261</v>
      </c>
      <c r="N1608" t="s">
        <v>1110</v>
      </c>
      <c r="O1608" t="s">
        <v>234</v>
      </c>
      <c r="P1608">
        <v>24</v>
      </c>
      <c r="U1608" t="s">
        <v>213</v>
      </c>
      <c r="V1608" t="s">
        <v>257</v>
      </c>
      <c r="W1608" t="s">
        <v>92</v>
      </c>
      <c r="X1608" t="s">
        <v>93</v>
      </c>
      <c r="Y1608">
        <v>6</v>
      </c>
      <c r="Z1608" t="s">
        <v>94</v>
      </c>
      <c r="AB1608"/>
      <c r="AC1608" t="s">
        <v>106</v>
      </c>
      <c r="AD1608">
        <v>3.3399999999999999E-2</v>
      </c>
      <c r="AE1608" t="s">
        <v>234</v>
      </c>
      <c r="AF1608">
        <v>7.8E-2</v>
      </c>
      <c r="AG1608" t="s">
        <v>95</v>
      </c>
      <c r="AX1608" t="s">
        <v>912</v>
      </c>
      <c r="AY1608" t="s">
        <v>1316</v>
      </c>
      <c r="AZ1608" t="s">
        <v>585</v>
      </c>
      <c r="BC1608">
        <v>5</v>
      </c>
      <c r="BH1608" t="s">
        <v>99</v>
      </c>
      <c r="BO1608" t="s">
        <v>111</v>
      </c>
      <c r="CD1608" t="s">
        <v>1262</v>
      </c>
      <c r="CE1608">
        <v>12612</v>
      </c>
      <c r="CF1608" t="s">
        <v>1263</v>
      </c>
      <c r="CG1608" t="s">
        <v>1264</v>
      </c>
      <c r="CH1608">
        <v>1987</v>
      </c>
    </row>
    <row r="1609" spans="1:86" hidden="1" x14ac:dyDescent="0.25">
      <c r="A1609">
        <v>330541</v>
      </c>
      <c r="B1609" t="s">
        <v>86</v>
      </c>
      <c r="D1609" t="s">
        <v>87</v>
      </c>
      <c r="F1609">
        <v>98.6</v>
      </c>
      <c r="K1609" t="s">
        <v>1259</v>
      </c>
      <c r="L1609" t="s">
        <v>1260</v>
      </c>
      <c r="M1609" t="s">
        <v>1261</v>
      </c>
      <c r="N1609" t="s">
        <v>910</v>
      </c>
      <c r="O1609" t="s">
        <v>234</v>
      </c>
      <c r="P1609">
        <v>24</v>
      </c>
      <c r="U1609" t="s">
        <v>213</v>
      </c>
      <c r="V1609" t="s">
        <v>257</v>
      </c>
      <c r="W1609" t="s">
        <v>92</v>
      </c>
      <c r="X1609" t="s">
        <v>93</v>
      </c>
      <c r="Y1609">
        <v>6</v>
      </c>
      <c r="Z1609" t="s">
        <v>94</v>
      </c>
      <c r="AB1609">
        <v>5.0999999999999997E-2</v>
      </c>
      <c r="AG1609" t="s">
        <v>95</v>
      </c>
      <c r="AX1609" t="s">
        <v>523</v>
      </c>
      <c r="AY1609" t="s">
        <v>1013</v>
      </c>
      <c r="AZ1609" t="s">
        <v>585</v>
      </c>
      <c r="BC1609">
        <v>63</v>
      </c>
      <c r="BH1609" t="s">
        <v>99</v>
      </c>
      <c r="BO1609" t="s">
        <v>111</v>
      </c>
      <c r="CD1609" t="s">
        <v>1313</v>
      </c>
      <c r="CE1609">
        <v>150898</v>
      </c>
      <c r="CF1609" t="s">
        <v>1314</v>
      </c>
      <c r="CG1609" t="s">
        <v>1315</v>
      </c>
      <c r="CH1609">
        <v>1992</v>
      </c>
    </row>
    <row r="1610" spans="1:86" hidden="1" x14ac:dyDescent="0.25">
      <c r="A1610">
        <v>330541</v>
      </c>
      <c r="B1610" t="s">
        <v>86</v>
      </c>
      <c r="D1610" t="s">
        <v>87</v>
      </c>
      <c r="F1610">
        <v>98.6</v>
      </c>
      <c r="K1610" t="s">
        <v>1259</v>
      </c>
      <c r="L1610" t="s">
        <v>1260</v>
      </c>
      <c r="M1610" t="s">
        <v>1261</v>
      </c>
      <c r="N1610" t="s">
        <v>910</v>
      </c>
      <c r="O1610" t="s">
        <v>234</v>
      </c>
      <c r="P1610">
        <v>24</v>
      </c>
      <c r="U1610" t="s">
        <v>213</v>
      </c>
      <c r="V1610" t="s">
        <v>257</v>
      </c>
      <c r="W1610" t="s">
        <v>92</v>
      </c>
      <c r="X1610" t="s">
        <v>93</v>
      </c>
      <c r="Y1610">
        <v>6</v>
      </c>
      <c r="Z1610" t="s">
        <v>94</v>
      </c>
      <c r="AB1610">
        <v>2.1999999999999999E-2</v>
      </c>
      <c r="AG1610" t="s">
        <v>95</v>
      </c>
      <c r="AX1610" t="s">
        <v>912</v>
      </c>
      <c r="AY1610" t="s">
        <v>1163</v>
      </c>
      <c r="AZ1610" t="s">
        <v>585</v>
      </c>
      <c r="BH1610" t="s">
        <v>1318</v>
      </c>
      <c r="BO1610" t="s">
        <v>111</v>
      </c>
      <c r="CD1610" t="s">
        <v>1313</v>
      </c>
      <c r="CE1610">
        <v>150898</v>
      </c>
      <c r="CF1610" t="s">
        <v>1314</v>
      </c>
      <c r="CG1610" t="s">
        <v>1315</v>
      </c>
      <c r="CH1610">
        <v>1992</v>
      </c>
    </row>
    <row r="1611" spans="1:86" hidden="1" x14ac:dyDescent="0.25">
      <c r="A1611">
        <v>330541</v>
      </c>
      <c r="B1611" t="s">
        <v>86</v>
      </c>
      <c r="D1611" t="s">
        <v>87</v>
      </c>
      <c r="F1611">
        <v>98.6</v>
      </c>
      <c r="K1611" t="s">
        <v>1259</v>
      </c>
      <c r="L1611" t="s">
        <v>1260</v>
      </c>
      <c r="M1611" t="s">
        <v>1261</v>
      </c>
      <c r="N1611" t="s">
        <v>910</v>
      </c>
      <c r="O1611" t="s">
        <v>234</v>
      </c>
      <c r="P1611">
        <v>24</v>
      </c>
      <c r="U1611" t="s">
        <v>213</v>
      </c>
      <c r="V1611" t="s">
        <v>257</v>
      </c>
      <c r="W1611" t="s">
        <v>92</v>
      </c>
      <c r="X1611" t="s">
        <v>93</v>
      </c>
      <c r="Y1611">
        <v>6</v>
      </c>
      <c r="Z1611" t="s">
        <v>94</v>
      </c>
      <c r="AB1611">
        <v>5.0999999999999997E-2</v>
      </c>
      <c r="AG1611" t="s">
        <v>95</v>
      </c>
      <c r="AX1611" t="s">
        <v>196</v>
      </c>
      <c r="AY1611" t="s">
        <v>928</v>
      </c>
      <c r="AZ1611" t="s">
        <v>585</v>
      </c>
      <c r="BA1611" t="s">
        <v>179</v>
      </c>
      <c r="BC1611">
        <v>63</v>
      </c>
      <c r="BH1611" t="s">
        <v>99</v>
      </c>
      <c r="BO1611" t="s">
        <v>111</v>
      </c>
      <c r="CD1611" t="s">
        <v>1313</v>
      </c>
      <c r="CE1611">
        <v>150898</v>
      </c>
      <c r="CF1611" t="s">
        <v>1314</v>
      </c>
      <c r="CG1611" t="s">
        <v>1315</v>
      </c>
      <c r="CH1611">
        <v>1992</v>
      </c>
    </row>
    <row r="1612" spans="1:86" hidden="1" x14ac:dyDescent="0.25">
      <c r="A1612">
        <v>330541</v>
      </c>
      <c r="B1612" t="s">
        <v>86</v>
      </c>
      <c r="C1612" t="s">
        <v>183</v>
      </c>
      <c r="D1612" t="s">
        <v>87</v>
      </c>
      <c r="F1612">
        <v>98.6</v>
      </c>
      <c r="K1612" t="s">
        <v>1259</v>
      </c>
      <c r="L1612" t="s">
        <v>1260</v>
      </c>
      <c r="M1612" t="s">
        <v>1261</v>
      </c>
      <c r="N1612" t="s">
        <v>1110</v>
      </c>
      <c r="O1612" t="s">
        <v>234</v>
      </c>
      <c r="P1612">
        <v>24</v>
      </c>
      <c r="U1612" t="s">
        <v>213</v>
      </c>
      <c r="V1612" t="s">
        <v>257</v>
      </c>
      <c r="W1612" t="s">
        <v>92</v>
      </c>
      <c r="X1612" t="s">
        <v>93</v>
      </c>
      <c r="Y1612">
        <v>6</v>
      </c>
      <c r="Z1612" t="s">
        <v>94</v>
      </c>
      <c r="AB1612">
        <v>2.9000000000000001E-2</v>
      </c>
      <c r="AG1612" t="s">
        <v>95</v>
      </c>
      <c r="AX1612" t="s">
        <v>196</v>
      </c>
      <c r="AY1612" t="s">
        <v>928</v>
      </c>
      <c r="AZ1612" t="s">
        <v>586</v>
      </c>
      <c r="BA1612" t="s">
        <v>179</v>
      </c>
      <c r="BC1612">
        <v>60</v>
      </c>
      <c r="BH1612" t="s">
        <v>1317</v>
      </c>
      <c r="BO1612" t="s">
        <v>111</v>
      </c>
      <c r="CD1612" t="s">
        <v>1262</v>
      </c>
      <c r="CE1612">
        <v>12612</v>
      </c>
      <c r="CF1612" t="s">
        <v>1263</v>
      </c>
      <c r="CG1612" t="s">
        <v>1264</v>
      </c>
      <c r="CH1612">
        <v>1987</v>
      </c>
    </row>
    <row r="1613" spans="1:86" x14ac:dyDescent="0.25">
      <c r="A1613">
        <v>330541</v>
      </c>
      <c r="B1613" t="s">
        <v>86</v>
      </c>
      <c r="D1613" t="s">
        <v>115</v>
      </c>
      <c r="E1613" t="s">
        <v>106</v>
      </c>
      <c r="F1613">
        <v>98</v>
      </c>
      <c r="K1613" t="s">
        <v>1265</v>
      </c>
      <c r="L1613" t="s">
        <v>1266</v>
      </c>
      <c r="M1613" t="s">
        <v>1261</v>
      </c>
      <c r="N1613" t="s">
        <v>910</v>
      </c>
      <c r="P1613">
        <v>6</v>
      </c>
      <c r="U1613" t="s">
        <v>1111</v>
      </c>
      <c r="V1613" t="s">
        <v>507</v>
      </c>
      <c r="W1613" t="s">
        <v>92</v>
      </c>
      <c r="X1613" t="s">
        <v>93</v>
      </c>
      <c r="Y1613">
        <v>7</v>
      </c>
      <c r="Z1613" t="s">
        <v>94</v>
      </c>
      <c r="AB1613">
        <v>0.69929160000000001</v>
      </c>
      <c r="AG1613" t="s">
        <v>95</v>
      </c>
      <c r="AX1613" t="s">
        <v>912</v>
      </c>
      <c r="AY1613" t="s">
        <v>1316</v>
      </c>
      <c r="AZ1613" t="s">
        <v>586</v>
      </c>
      <c r="BC1613">
        <v>4.75</v>
      </c>
      <c r="BH1613" t="s">
        <v>99</v>
      </c>
      <c r="BO1613" t="s">
        <v>111</v>
      </c>
      <c r="CD1613" t="s">
        <v>1268</v>
      </c>
      <c r="CE1613">
        <v>182389</v>
      </c>
      <c r="CF1613" t="s">
        <v>1269</v>
      </c>
      <c r="CG1613" t="s">
        <v>1270</v>
      </c>
      <c r="CH1613">
        <v>2020</v>
      </c>
    </row>
    <row r="1614" spans="1:86" hidden="1" x14ac:dyDescent="0.25">
      <c r="A1614">
        <v>330541</v>
      </c>
      <c r="B1614" t="s">
        <v>86</v>
      </c>
      <c r="C1614" t="s">
        <v>158</v>
      </c>
      <c r="D1614" t="s">
        <v>115</v>
      </c>
      <c r="K1614" t="s">
        <v>1259</v>
      </c>
      <c r="L1614" t="s">
        <v>1260</v>
      </c>
      <c r="M1614" t="s">
        <v>1261</v>
      </c>
      <c r="N1614" t="s">
        <v>1064</v>
      </c>
      <c r="O1614" t="s">
        <v>106</v>
      </c>
      <c r="P1614">
        <v>180</v>
      </c>
      <c r="U1614" t="s">
        <v>920</v>
      </c>
      <c r="V1614" t="s">
        <v>507</v>
      </c>
      <c r="W1614" t="s">
        <v>92</v>
      </c>
      <c r="X1614" t="s">
        <v>93</v>
      </c>
      <c r="Y1614">
        <v>4</v>
      </c>
      <c r="Z1614" t="s">
        <v>94</v>
      </c>
      <c r="AB1614">
        <v>2.05E-4</v>
      </c>
      <c r="AG1614" t="s">
        <v>95</v>
      </c>
      <c r="AX1614" t="s">
        <v>615</v>
      </c>
      <c r="AY1614" t="s">
        <v>1155</v>
      </c>
      <c r="AZ1614" t="s">
        <v>586</v>
      </c>
      <c r="BA1614" t="s">
        <v>1156</v>
      </c>
      <c r="BC1614">
        <v>7</v>
      </c>
      <c r="BH1614" t="s">
        <v>99</v>
      </c>
      <c r="BO1614" t="s">
        <v>111</v>
      </c>
      <c r="CD1614" t="s">
        <v>1322</v>
      </c>
      <c r="CE1614">
        <v>169755</v>
      </c>
      <c r="CF1614" t="s">
        <v>1323</v>
      </c>
      <c r="CG1614" t="s">
        <v>1324</v>
      </c>
      <c r="CH1614">
        <v>2015</v>
      </c>
    </row>
    <row r="1615" spans="1:86" hidden="1" x14ac:dyDescent="0.25">
      <c r="A1615">
        <v>330541</v>
      </c>
      <c r="B1615" t="s">
        <v>86</v>
      </c>
      <c r="C1615" t="s">
        <v>183</v>
      </c>
      <c r="D1615" t="s">
        <v>87</v>
      </c>
      <c r="F1615">
        <v>98.6</v>
      </c>
      <c r="K1615" t="s">
        <v>1259</v>
      </c>
      <c r="L1615" t="s">
        <v>1260</v>
      </c>
      <c r="M1615" t="s">
        <v>1261</v>
      </c>
      <c r="N1615" t="s">
        <v>1110</v>
      </c>
      <c r="O1615" t="s">
        <v>234</v>
      </c>
      <c r="P1615">
        <v>24</v>
      </c>
      <c r="U1615" t="s">
        <v>213</v>
      </c>
      <c r="V1615" t="s">
        <v>257</v>
      </c>
      <c r="W1615" t="s">
        <v>92</v>
      </c>
      <c r="X1615" t="s">
        <v>93</v>
      </c>
      <c r="Y1615">
        <v>6</v>
      </c>
      <c r="Z1615" t="s">
        <v>94</v>
      </c>
      <c r="AB1615">
        <v>3.3399999999999999E-2</v>
      </c>
      <c r="AG1615" t="s">
        <v>95</v>
      </c>
      <c r="AX1615" t="s">
        <v>523</v>
      </c>
      <c r="AY1615" t="s">
        <v>1013</v>
      </c>
      <c r="AZ1615" t="s">
        <v>586</v>
      </c>
      <c r="BC1615">
        <v>60</v>
      </c>
      <c r="BH1615" t="s">
        <v>1317</v>
      </c>
      <c r="BO1615" t="s">
        <v>111</v>
      </c>
      <c r="CD1615" t="s">
        <v>1262</v>
      </c>
      <c r="CE1615">
        <v>12612</v>
      </c>
      <c r="CF1615" t="s">
        <v>1263</v>
      </c>
      <c r="CG1615" t="s">
        <v>1264</v>
      </c>
      <c r="CH1615">
        <v>1987</v>
      </c>
    </row>
    <row r="1616" spans="1:86" hidden="1" x14ac:dyDescent="0.25">
      <c r="A1616">
        <v>330541</v>
      </c>
      <c r="B1616" t="s">
        <v>86</v>
      </c>
      <c r="F1616">
        <v>98.6</v>
      </c>
      <c r="K1616" t="s">
        <v>1259</v>
      </c>
      <c r="L1616" t="s">
        <v>1260</v>
      </c>
      <c r="M1616" t="s">
        <v>1261</v>
      </c>
      <c r="V1616" t="s">
        <v>91</v>
      </c>
      <c r="X1616" t="s">
        <v>93</v>
      </c>
      <c r="Z1616" t="s">
        <v>94</v>
      </c>
      <c r="AB1616">
        <v>2.64E-2</v>
      </c>
      <c r="AG1616" t="s">
        <v>95</v>
      </c>
      <c r="AX1616" t="s">
        <v>523</v>
      </c>
      <c r="AY1616" t="s">
        <v>1013</v>
      </c>
      <c r="AZ1616" t="s">
        <v>586</v>
      </c>
      <c r="BC1616">
        <v>60</v>
      </c>
      <c r="BH1616" t="s">
        <v>99</v>
      </c>
      <c r="BO1616" t="s">
        <v>111</v>
      </c>
      <c r="CD1616" t="s">
        <v>366</v>
      </c>
      <c r="CE1616">
        <v>344</v>
      </c>
      <c r="CF1616" t="s">
        <v>367</v>
      </c>
      <c r="CG1616" t="s">
        <v>368</v>
      </c>
      <c r="CH1616">
        <v>1992</v>
      </c>
    </row>
    <row r="1617" spans="1:86" hidden="1" x14ac:dyDescent="0.25">
      <c r="A1617">
        <v>330541</v>
      </c>
      <c r="B1617" t="s">
        <v>86</v>
      </c>
      <c r="D1617" t="s">
        <v>87</v>
      </c>
      <c r="F1617">
        <v>98.6</v>
      </c>
      <c r="K1617" t="s">
        <v>1259</v>
      </c>
      <c r="L1617" t="s">
        <v>1260</v>
      </c>
      <c r="M1617" t="s">
        <v>1261</v>
      </c>
      <c r="N1617" t="s">
        <v>910</v>
      </c>
      <c r="O1617" t="s">
        <v>234</v>
      </c>
      <c r="P1617">
        <v>24</v>
      </c>
      <c r="U1617" t="s">
        <v>213</v>
      </c>
      <c r="V1617" t="s">
        <v>257</v>
      </c>
      <c r="W1617" t="s">
        <v>92</v>
      </c>
      <c r="X1617" t="s">
        <v>93</v>
      </c>
      <c r="Y1617">
        <v>6</v>
      </c>
      <c r="Z1617" t="s">
        <v>94</v>
      </c>
      <c r="AB1617">
        <v>1.4500000000000001E-2</v>
      </c>
      <c r="AG1617" t="s">
        <v>95</v>
      </c>
      <c r="AX1617" t="s">
        <v>912</v>
      </c>
      <c r="AY1617" t="s">
        <v>1163</v>
      </c>
      <c r="AZ1617" t="s">
        <v>586</v>
      </c>
      <c r="BH1617" t="s">
        <v>1318</v>
      </c>
      <c r="BO1617" t="s">
        <v>111</v>
      </c>
      <c r="CD1617" t="s">
        <v>1313</v>
      </c>
      <c r="CE1617">
        <v>150898</v>
      </c>
      <c r="CF1617" t="s">
        <v>1314</v>
      </c>
      <c r="CG1617" t="s">
        <v>1315</v>
      </c>
      <c r="CH1617">
        <v>1992</v>
      </c>
    </row>
    <row r="1618" spans="1:86" hidden="1" x14ac:dyDescent="0.25">
      <c r="A1618">
        <v>330541</v>
      </c>
      <c r="B1618" t="s">
        <v>86</v>
      </c>
      <c r="F1618">
        <v>98.6</v>
      </c>
      <c r="K1618" t="s">
        <v>1259</v>
      </c>
      <c r="L1618" t="s">
        <v>1260</v>
      </c>
      <c r="M1618" t="s">
        <v>1261</v>
      </c>
      <c r="V1618" t="s">
        <v>91</v>
      </c>
      <c r="X1618" t="s">
        <v>93</v>
      </c>
      <c r="Z1618" t="s">
        <v>94</v>
      </c>
      <c r="AB1618">
        <v>2.64E-2</v>
      </c>
      <c r="AG1618" t="s">
        <v>95</v>
      </c>
      <c r="AX1618" t="s">
        <v>196</v>
      </c>
      <c r="AY1618" t="s">
        <v>197</v>
      </c>
      <c r="AZ1618" t="s">
        <v>586</v>
      </c>
      <c r="BC1618">
        <v>60</v>
      </c>
      <c r="BH1618" t="s">
        <v>99</v>
      </c>
      <c r="BO1618" t="s">
        <v>111</v>
      </c>
      <c r="CD1618" t="s">
        <v>366</v>
      </c>
      <c r="CE1618">
        <v>344</v>
      </c>
      <c r="CF1618" t="s">
        <v>367</v>
      </c>
      <c r="CG1618" t="s">
        <v>368</v>
      </c>
      <c r="CH1618">
        <v>1992</v>
      </c>
    </row>
    <row r="1619" spans="1:86" hidden="1" x14ac:dyDescent="0.25">
      <c r="A1619">
        <v>330541</v>
      </c>
      <c r="B1619" t="s">
        <v>86</v>
      </c>
      <c r="F1619">
        <v>98.6</v>
      </c>
      <c r="K1619" t="s">
        <v>1259</v>
      </c>
      <c r="L1619" t="s">
        <v>1260</v>
      </c>
      <c r="M1619" t="s">
        <v>1261</v>
      </c>
      <c r="V1619" t="s">
        <v>91</v>
      </c>
      <c r="X1619" t="s">
        <v>93</v>
      </c>
      <c r="Z1619" t="s">
        <v>94</v>
      </c>
      <c r="AB1619">
        <v>2.64E-2</v>
      </c>
      <c r="AG1619" t="s">
        <v>95</v>
      </c>
      <c r="AX1619" t="s">
        <v>602</v>
      </c>
      <c r="AY1619" t="s">
        <v>1086</v>
      </c>
      <c r="AZ1619" t="s">
        <v>586</v>
      </c>
      <c r="BC1619">
        <v>60</v>
      </c>
      <c r="BH1619" t="s">
        <v>99</v>
      </c>
      <c r="BO1619" t="s">
        <v>111</v>
      </c>
      <c r="CD1619" t="s">
        <v>366</v>
      </c>
      <c r="CE1619">
        <v>344</v>
      </c>
      <c r="CF1619" t="s">
        <v>367</v>
      </c>
      <c r="CG1619" t="s">
        <v>368</v>
      </c>
      <c r="CH1619">
        <v>1992</v>
      </c>
    </row>
    <row r="1620" spans="1:86" hidden="1" x14ac:dyDescent="0.25">
      <c r="A1620">
        <v>330541</v>
      </c>
      <c r="B1620" t="s">
        <v>86</v>
      </c>
      <c r="F1620">
        <v>98.6</v>
      </c>
      <c r="K1620" t="s">
        <v>1259</v>
      </c>
      <c r="L1620" t="s">
        <v>1260</v>
      </c>
      <c r="M1620" t="s">
        <v>1261</v>
      </c>
      <c r="V1620" t="s">
        <v>91</v>
      </c>
      <c r="X1620" t="s">
        <v>93</v>
      </c>
      <c r="Z1620" t="s">
        <v>94</v>
      </c>
      <c r="AB1620">
        <v>2.64E-2</v>
      </c>
      <c r="AG1620" t="s">
        <v>95</v>
      </c>
      <c r="AX1620" t="s">
        <v>602</v>
      </c>
      <c r="AY1620" t="s">
        <v>1085</v>
      </c>
      <c r="AZ1620" t="s">
        <v>586</v>
      </c>
      <c r="BC1620">
        <v>60</v>
      </c>
      <c r="BH1620" t="s">
        <v>99</v>
      </c>
      <c r="BO1620" t="s">
        <v>111</v>
      </c>
      <c r="CD1620" t="s">
        <v>366</v>
      </c>
      <c r="CE1620">
        <v>344</v>
      </c>
      <c r="CF1620" t="s">
        <v>367</v>
      </c>
      <c r="CG1620" t="s">
        <v>368</v>
      </c>
      <c r="CH1620">
        <v>1992</v>
      </c>
    </row>
    <row r="1621" spans="1:86" hidden="1" x14ac:dyDescent="0.25">
      <c r="A1621">
        <v>330541</v>
      </c>
      <c r="B1621" t="s">
        <v>86</v>
      </c>
      <c r="D1621" t="s">
        <v>87</v>
      </c>
      <c r="F1621">
        <v>98.6</v>
      </c>
      <c r="K1621" t="s">
        <v>1259</v>
      </c>
      <c r="L1621" t="s">
        <v>1260</v>
      </c>
      <c r="M1621" t="s">
        <v>1261</v>
      </c>
      <c r="N1621" t="s">
        <v>910</v>
      </c>
      <c r="O1621" t="s">
        <v>234</v>
      </c>
      <c r="P1621">
        <v>24</v>
      </c>
      <c r="U1621" t="s">
        <v>213</v>
      </c>
      <c r="V1621" t="s">
        <v>257</v>
      </c>
      <c r="W1621" t="s">
        <v>92</v>
      </c>
      <c r="X1621" t="s">
        <v>93</v>
      </c>
      <c r="Y1621">
        <v>6</v>
      </c>
      <c r="Z1621" t="s">
        <v>94</v>
      </c>
      <c r="AB1621">
        <v>3.3399999999999999E-2</v>
      </c>
      <c r="AG1621" t="s">
        <v>95</v>
      </c>
      <c r="AX1621" t="s">
        <v>196</v>
      </c>
      <c r="AY1621" t="s">
        <v>817</v>
      </c>
      <c r="AZ1621" t="s">
        <v>586</v>
      </c>
      <c r="BA1621" t="s">
        <v>179</v>
      </c>
      <c r="BC1621">
        <v>63</v>
      </c>
      <c r="BH1621" t="s">
        <v>99</v>
      </c>
      <c r="BO1621" t="s">
        <v>111</v>
      </c>
      <c r="CD1621" t="s">
        <v>1313</v>
      </c>
      <c r="CE1621">
        <v>150898</v>
      </c>
      <c r="CF1621" t="s">
        <v>1314</v>
      </c>
      <c r="CG1621" t="s">
        <v>1315</v>
      </c>
      <c r="CH1621">
        <v>1992</v>
      </c>
    </row>
    <row r="1622" spans="1:86" x14ac:dyDescent="0.25">
      <c r="A1622">
        <v>330541</v>
      </c>
      <c r="B1622" t="s">
        <v>86</v>
      </c>
      <c r="D1622" t="s">
        <v>115</v>
      </c>
      <c r="F1622">
        <v>98</v>
      </c>
      <c r="K1622" t="s">
        <v>1265</v>
      </c>
      <c r="L1622" t="s">
        <v>1266</v>
      </c>
      <c r="M1622" t="s">
        <v>1261</v>
      </c>
      <c r="N1622" t="s">
        <v>1144</v>
      </c>
      <c r="V1622" t="s">
        <v>507</v>
      </c>
      <c r="W1622" t="s">
        <v>92</v>
      </c>
      <c r="X1622" t="s">
        <v>93</v>
      </c>
      <c r="Y1622">
        <v>2</v>
      </c>
      <c r="Z1622" t="s">
        <v>94</v>
      </c>
      <c r="AB1622">
        <v>1E-3</v>
      </c>
      <c r="AG1622" t="s">
        <v>95</v>
      </c>
      <c r="AX1622" t="s">
        <v>615</v>
      </c>
      <c r="AY1622" t="s">
        <v>946</v>
      </c>
      <c r="AZ1622" t="s">
        <v>586</v>
      </c>
      <c r="BA1622" t="s">
        <v>1182</v>
      </c>
      <c r="BC1622">
        <v>7</v>
      </c>
      <c r="BH1622" t="s">
        <v>99</v>
      </c>
      <c r="BO1622" t="s">
        <v>111</v>
      </c>
      <c r="CD1622" t="s">
        <v>1309</v>
      </c>
      <c r="CE1622">
        <v>165329</v>
      </c>
      <c r="CF1622" t="s">
        <v>1310</v>
      </c>
      <c r="CG1622" t="s">
        <v>1311</v>
      </c>
      <c r="CH1622">
        <v>2010</v>
      </c>
    </row>
    <row r="1623" spans="1:86" x14ac:dyDescent="0.25">
      <c r="A1623">
        <v>330541</v>
      </c>
      <c r="B1623" t="s">
        <v>86</v>
      </c>
      <c r="D1623" t="s">
        <v>115</v>
      </c>
      <c r="F1623">
        <v>98</v>
      </c>
      <c r="K1623" t="s">
        <v>1265</v>
      </c>
      <c r="L1623" t="s">
        <v>1266</v>
      </c>
      <c r="M1623" t="s">
        <v>1261</v>
      </c>
      <c r="N1623" t="s">
        <v>1144</v>
      </c>
      <c r="V1623" t="s">
        <v>507</v>
      </c>
      <c r="W1623" t="s">
        <v>92</v>
      </c>
      <c r="X1623" t="s">
        <v>93</v>
      </c>
      <c r="Y1623">
        <v>2</v>
      </c>
      <c r="Z1623" t="s">
        <v>94</v>
      </c>
      <c r="AB1623">
        <v>1E-3</v>
      </c>
      <c r="AG1623" t="s">
        <v>95</v>
      </c>
      <c r="AX1623" t="s">
        <v>615</v>
      </c>
      <c r="AY1623" t="s">
        <v>616</v>
      </c>
      <c r="AZ1623" t="s">
        <v>586</v>
      </c>
      <c r="BA1623" t="s">
        <v>1308</v>
      </c>
      <c r="BC1623">
        <v>7</v>
      </c>
      <c r="BH1623" t="s">
        <v>99</v>
      </c>
      <c r="BO1623" t="s">
        <v>111</v>
      </c>
      <c r="CD1623" t="s">
        <v>1309</v>
      </c>
      <c r="CE1623">
        <v>165329</v>
      </c>
      <c r="CF1623" t="s">
        <v>1310</v>
      </c>
      <c r="CG1623" t="s">
        <v>1311</v>
      </c>
      <c r="CH1623">
        <v>2010</v>
      </c>
    </row>
    <row r="1624" spans="1:86" x14ac:dyDescent="0.25">
      <c r="A1624">
        <v>330541</v>
      </c>
      <c r="B1624" t="s">
        <v>86</v>
      </c>
      <c r="D1624" t="s">
        <v>115</v>
      </c>
      <c r="F1624">
        <v>98</v>
      </c>
      <c r="K1624" t="s">
        <v>1265</v>
      </c>
      <c r="L1624" t="s">
        <v>1266</v>
      </c>
      <c r="M1624" t="s">
        <v>1261</v>
      </c>
      <c r="N1624" t="s">
        <v>1144</v>
      </c>
      <c r="V1624" t="s">
        <v>507</v>
      </c>
      <c r="W1624" t="s">
        <v>92</v>
      </c>
      <c r="X1624" t="s">
        <v>93</v>
      </c>
      <c r="Y1624">
        <v>2</v>
      </c>
      <c r="Z1624" t="s">
        <v>94</v>
      </c>
      <c r="AB1624">
        <v>1E-3</v>
      </c>
      <c r="AG1624" t="s">
        <v>95</v>
      </c>
      <c r="AX1624" t="s">
        <v>615</v>
      </c>
      <c r="AY1624" t="s">
        <v>616</v>
      </c>
      <c r="AZ1624" t="s">
        <v>586</v>
      </c>
      <c r="BA1624" t="s">
        <v>1156</v>
      </c>
      <c r="BC1624">
        <v>7</v>
      </c>
      <c r="BH1624" t="s">
        <v>99</v>
      </c>
      <c r="BO1624" t="s">
        <v>111</v>
      </c>
      <c r="CD1624" t="s">
        <v>1309</v>
      </c>
      <c r="CE1624">
        <v>165329</v>
      </c>
      <c r="CF1624" t="s">
        <v>1310</v>
      </c>
      <c r="CG1624" t="s">
        <v>1311</v>
      </c>
      <c r="CH1624">
        <v>2010</v>
      </c>
    </row>
    <row r="1625" spans="1:86" hidden="1" x14ac:dyDescent="0.25">
      <c r="A1625">
        <v>330541</v>
      </c>
      <c r="B1625" t="s">
        <v>86</v>
      </c>
      <c r="D1625" t="s">
        <v>87</v>
      </c>
      <c r="F1625">
        <v>98.6</v>
      </c>
      <c r="K1625" t="s">
        <v>1259</v>
      </c>
      <c r="L1625" t="s">
        <v>1260</v>
      </c>
      <c r="M1625" t="s">
        <v>1261</v>
      </c>
      <c r="N1625" t="s">
        <v>910</v>
      </c>
      <c r="O1625" t="s">
        <v>234</v>
      </c>
      <c r="P1625">
        <v>24</v>
      </c>
      <c r="U1625" t="s">
        <v>213</v>
      </c>
      <c r="V1625" t="s">
        <v>257</v>
      </c>
      <c r="W1625" t="s">
        <v>92</v>
      </c>
      <c r="X1625" t="s">
        <v>93</v>
      </c>
      <c r="Y1625">
        <v>6</v>
      </c>
      <c r="Z1625" t="s">
        <v>94</v>
      </c>
      <c r="AB1625">
        <v>3.3399999999999999E-2</v>
      </c>
      <c r="AG1625" t="s">
        <v>95</v>
      </c>
      <c r="AX1625" t="s">
        <v>196</v>
      </c>
      <c r="AY1625" t="s">
        <v>928</v>
      </c>
      <c r="AZ1625" t="s">
        <v>586</v>
      </c>
      <c r="BA1625" t="s">
        <v>179</v>
      </c>
      <c r="BC1625">
        <v>63</v>
      </c>
      <c r="BH1625" t="s">
        <v>99</v>
      </c>
      <c r="BO1625" t="s">
        <v>111</v>
      </c>
      <c r="CD1625" t="s">
        <v>1313</v>
      </c>
      <c r="CE1625">
        <v>150898</v>
      </c>
      <c r="CF1625" t="s">
        <v>1314</v>
      </c>
      <c r="CG1625" t="s">
        <v>1315</v>
      </c>
      <c r="CH1625">
        <v>1992</v>
      </c>
    </row>
    <row r="1626" spans="1:86" hidden="1" x14ac:dyDescent="0.25">
      <c r="A1626">
        <v>330541</v>
      </c>
      <c r="B1626" t="s">
        <v>86</v>
      </c>
      <c r="C1626" t="s">
        <v>183</v>
      </c>
      <c r="D1626" t="s">
        <v>87</v>
      </c>
      <c r="F1626">
        <v>98.6</v>
      </c>
      <c r="K1626" t="s">
        <v>1259</v>
      </c>
      <c r="L1626" t="s">
        <v>1260</v>
      </c>
      <c r="M1626" t="s">
        <v>1261</v>
      </c>
      <c r="N1626" t="s">
        <v>1110</v>
      </c>
      <c r="O1626" t="s">
        <v>234</v>
      </c>
      <c r="P1626">
        <v>24</v>
      </c>
      <c r="U1626" t="s">
        <v>213</v>
      </c>
      <c r="V1626" t="s">
        <v>257</v>
      </c>
      <c r="W1626" t="s">
        <v>92</v>
      </c>
      <c r="X1626" t="s">
        <v>93</v>
      </c>
      <c r="Y1626">
        <v>6</v>
      </c>
      <c r="Z1626" t="s">
        <v>94</v>
      </c>
      <c r="AB1626">
        <v>2.9000000000000001E-2</v>
      </c>
      <c r="AG1626" t="s">
        <v>95</v>
      </c>
      <c r="AX1626" t="s">
        <v>523</v>
      </c>
      <c r="AY1626" t="s">
        <v>1086</v>
      </c>
      <c r="AZ1626" t="s">
        <v>586</v>
      </c>
      <c r="BC1626">
        <v>5</v>
      </c>
      <c r="BH1626" t="s">
        <v>99</v>
      </c>
      <c r="BO1626" t="s">
        <v>111</v>
      </c>
      <c r="CD1626" t="s">
        <v>1262</v>
      </c>
      <c r="CE1626">
        <v>12612</v>
      </c>
      <c r="CF1626" t="s">
        <v>1263</v>
      </c>
      <c r="CG1626" t="s">
        <v>1264</v>
      </c>
      <c r="CH1626">
        <v>1987</v>
      </c>
    </row>
    <row r="1627" spans="1:86" hidden="1" x14ac:dyDescent="0.25">
      <c r="A1627">
        <v>330541</v>
      </c>
      <c r="B1627" t="s">
        <v>86</v>
      </c>
      <c r="C1627" t="s">
        <v>183</v>
      </c>
      <c r="D1627" t="s">
        <v>87</v>
      </c>
      <c r="F1627">
        <v>98.6</v>
      </c>
      <c r="K1627" t="s">
        <v>1259</v>
      </c>
      <c r="L1627" t="s">
        <v>1260</v>
      </c>
      <c r="M1627" t="s">
        <v>1261</v>
      </c>
      <c r="N1627" t="s">
        <v>1110</v>
      </c>
      <c r="O1627" t="s">
        <v>234</v>
      </c>
      <c r="P1627">
        <v>24</v>
      </c>
      <c r="U1627" t="s">
        <v>213</v>
      </c>
      <c r="V1627" t="s">
        <v>257</v>
      </c>
      <c r="W1627" t="s">
        <v>92</v>
      </c>
      <c r="X1627" t="s">
        <v>93</v>
      </c>
      <c r="Y1627">
        <v>6</v>
      </c>
      <c r="Z1627" t="s">
        <v>94</v>
      </c>
      <c r="AB1627">
        <v>3.3399999999999999E-2</v>
      </c>
      <c r="AG1627" t="s">
        <v>95</v>
      </c>
      <c r="AX1627" t="s">
        <v>912</v>
      </c>
      <c r="AY1627" t="s">
        <v>1316</v>
      </c>
      <c r="AZ1627" t="s">
        <v>586</v>
      </c>
      <c r="BC1627">
        <v>5</v>
      </c>
      <c r="BH1627" t="s">
        <v>99</v>
      </c>
      <c r="BO1627" t="s">
        <v>111</v>
      </c>
      <c r="CD1627" t="s">
        <v>1262</v>
      </c>
      <c r="CE1627">
        <v>12612</v>
      </c>
      <c r="CF1627" t="s">
        <v>1263</v>
      </c>
      <c r="CG1627" t="s">
        <v>1264</v>
      </c>
      <c r="CH1627">
        <v>1987</v>
      </c>
    </row>
    <row r="1628" spans="1:86" hidden="1" x14ac:dyDescent="0.25">
      <c r="A1628">
        <v>330541</v>
      </c>
      <c r="B1628" t="s">
        <v>86</v>
      </c>
      <c r="D1628" t="s">
        <v>115</v>
      </c>
      <c r="K1628" t="s">
        <v>1285</v>
      </c>
      <c r="L1628" t="s">
        <v>1286</v>
      </c>
      <c r="M1628" t="s">
        <v>1261</v>
      </c>
      <c r="N1628" t="s">
        <v>1064</v>
      </c>
      <c r="P1628">
        <v>120</v>
      </c>
      <c r="U1628" t="s">
        <v>920</v>
      </c>
      <c r="V1628" t="s">
        <v>507</v>
      </c>
      <c r="W1628" t="s">
        <v>92</v>
      </c>
      <c r="X1628" t="s">
        <v>93</v>
      </c>
      <c r="Y1628">
        <v>4</v>
      </c>
      <c r="Z1628" t="s">
        <v>137</v>
      </c>
      <c r="AB1628">
        <v>2.05E-4</v>
      </c>
      <c r="AG1628" t="s">
        <v>95</v>
      </c>
      <c r="AX1628" t="s">
        <v>201</v>
      </c>
      <c r="AY1628" t="s">
        <v>1325</v>
      </c>
      <c r="AZ1628" t="s">
        <v>586</v>
      </c>
      <c r="BA1628" t="s">
        <v>1156</v>
      </c>
      <c r="BC1628">
        <v>7</v>
      </c>
      <c r="BH1628" t="s">
        <v>99</v>
      </c>
      <c r="BO1628" t="s">
        <v>111</v>
      </c>
      <c r="CD1628" t="s">
        <v>1326</v>
      </c>
      <c r="CE1628">
        <v>163900</v>
      </c>
      <c r="CF1628" t="s">
        <v>1327</v>
      </c>
      <c r="CG1628" t="s">
        <v>1328</v>
      </c>
      <c r="CH1628">
        <v>2012</v>
      </c>
    </row>
    <row r="1629" spans="1:86" hidden="1" x14ac:dyDescent="0.25">
      <c r="A1629">
        <v>330541</v>
      </c>
      <c r="B1629" t="s">
        <v>86</v>
      </c>
      <c r="C1629" t="s">
        <v>183</v>
      </c>
      <c r="D1629" t="s">
        <v>87</v>
      </c>
      <c r="F1629">
        <v>98.6</v>
      </c>
      <c r="K1629" t="s">
        <v>1259</v>
      </c>
      <c r="L1629" t="s">
        <v>1260</v>
      </c>
      <c r="M1629" t="s">
        <v>1261</v>
      </c>
      <c r="N1629" t="s">
        <v>1110</v>
      </c>
      <c r="O1629" t="s">
        <v>234</v>
      </c>
      <c r="P1629">
        <v>24</v>
      </c>
      <c r="U1629" t="s">
        <v>213</v>
      </c>
      <c r="V1629" t="s">
        <v>257</v>
      </c>
      <c r="W1629" t="s">
        <v>92</v>
      </c>
      <c r="X1629" t="s">
        <v>93</v>
      </c>
      <c r="Y1629">
        <v>6</v>
      </c>
      <c r="Z1629" t="s">
        <v>94</v>
      </c>
      <c r="AB1629">
        <v>2.9000000000000001E-2</v>
      </c>
      <c r="AG1629" t="s">
        <v>95</v>
      </c>
      <c r="AX1629" t="s">
        <v>196</v>
      </c>
      <c r="AY1629" t="s">
        <v>817</v>
      </c>
      <c r="AZ1629" t="s">
        <v>586</v>
      </c>
      <c r="BA1629" t="s">
        <v>179</v>
      </c>
      <c r="BC1629">
        <v>60</v>
      </c>
      <c r="BH1629" t="s">
        <v>1317</v>
      </c>
      <c r="BO1629" t="s">
        <v>111</v>
      </c>
      <c r="CD1629" t="s">
        <v>1262</v>
      </c>
      <c r="CE1629">
        <v>12612</v>
      </c>
      <c r="CF1629" t="s">
        <v>1263</v>
      </c>
      <c r="CG1629" t="s">
        <v>1264</v>
      </c>
      <c r="CH1629">
        <v>1987</v>
      </c>
    </row>
    <row r="1630" spans="1:86" hidden="1" x14ac:dyDescent="0.25">
      <c r="A1630">
        <v>330541</v>
      </c>
      <c r="B1630" t="s">
        <v>86</v>
      </c>
      <c r="C1630" t="s">
        <v>183</v>
      </c>
      <c r="D1630" t="s">
        <v>87</v>
      </c>
      <c r="F1630">
        <v>99.8</v>
      </c>
      <c r="K1630" t="s">
        <v>1259</v>
      </c>
      <c r="L1630" t="s">
        <v>1260</v>
      </c>
      <c r="M1630" t="s">
        <v>1261</v>
      </c>
      <c r="N1630" t="s">
        <v>1110</v>
      </c>
      <c r="P1630">
        <v>2.5</v>
      </c>
      <c r="U1630" t="s">
        <v>99</v>
      </c>
      <c r="V1630" t="s">
        <v>91</v>
      </c>
      <c r="W1630" t="s">
        <v>92</v>
      </c>
      <c r="X1630" t="s">
        <v>93</v>
      </c>
      <c r="Z1630" t="s">
        <v>94</v>
      </c>
      <c r="AB1630">
        <v>4.2</v>
      </c>
      <c r="AG1630" t="s">
        <v>95</v>
      </c>
      <c r="AX1630" t="s">
        <v>196</v>
      </c>
      <c r="AY1630" t="s">
        <v>928</v>
      </c>
      <c r="AZ1630" t="s">
        <v>586</v>
      </c>
      <c r="BC1630">
        <v>7</v>
      </c>
      <c r="BH1630" t="s">
        <v>99</v>
      </c>
      <c r="BO1630" t="s">
        <v>111</v>
      </c>
      <c r="CD1630" t="s">
        <v>1065</v>
      </c>
      <c r="CE1630">
        <v>20182</v>
      </c>
      <c r="CF1630" t="s">
        <v>1066</v>
      </c>
      <c r="CG1630" t="s">
        <v>1067</v>
      </c>
      <c r="CH1630">
        <v>1998</v>
      </c>
    </row>
    <row r="1631" spans="1:86" hidden="1" x14ac:dyDescent="0.25">
      <c r="A1631">
        <v>330541</v>
      </c>
      <c r="B1631" t="s">
        <v>86</v>
      </c>
      <c r="C1631" t="s">
        <v>183</v>
      </c>
      <c r="D1631" t="s">
        <v>87</v>
      </c>
      <c r="F1631">
        <v>99.8</v>
      </c>
      <c r="K1631" t="s">
        <v>1259</v>
      </c>
      <c r="L1631" t="s">
        <v>1260</v>
      </c>
      <c r="M1631" t="s">
        <v>1261</v>
      </c>
      <c r="N1631" t="s">
        <v>1000</v>
      </c>
      <c r="P1631">
        <v>1.5</v>
      </c>
      <c r="U1631" t="s">
        <v>934</v>
      </c>
      <c r="V1631" t="s">
        <v>507</v>
      </c>
      <c r="W1631" t="s">
        <v>92</v>
      </c>
      <c r="X1631" t="s">
        <v>93</v>
      </c>
      <c r="Z1631" t="s">
        <v>94</v>
      </c>
      <c r="AA1631" t="s">
        <v>234</v>
      </c>
      <c r="AB1631">
        <v>3.4</v>
      </c>
      <c r="AG1631" t="s">
        <v>95</v>
      </c>
      <c r="AX1631" t="s">
        <v>196</v>
      </c>
      <c r="AY1631" t="s">
        <v>928</v>
      </c>
      <c r="AZ1631" t="s">
        <v>586</v>
      </c>
      <c r="BC1631">
        <v>10</v>
      </c>
      <c r="BH1631" t="s">
        <v>99</v>
      </c>
      <c r="BO1631" t="s">
        <v>111</v>
      </c>
      <c r="CD1631" t="s">
        <v>1065</v>
      </c>
      <c r="CE1631">
        <v>20182</v>
      </c>
      <c r="CF1631" t="s">
        <v>1066</v>
      </c>
      <c r="CG1631" t="s">
        <v>1067</v>
      </c>
      <c r="CH1631">
        <v>1998</v>
      </c>
    </row>
    <row r="1632" spans="1:86" hidden="1" x14ac:dyDescent="0.25">
      <c r="A1632">
        <v>330541</v>
      </c>
      <c r="B1632" t="s">
        <v>86</v>
      </c>
      <c r="D1632" t="s">
        <v>115</v>
      </c>
      <c r="E1632" t="s">
        <v>106</v>
      </c>
      <c r="F1632">
        <v>98</v>
      </c>
      <c r="K1632" t="s">
        <v>1259</v>
      </c>
      <c r="L1632" t="s">
        <v>1260</v>
      </c>
      <c r="M1632" t="s">
        <v>1261</v>
      </c>
      <c r="N1632" t="s">
        <v>945</v>
      </c>
      <c r="O1632" t="s">
        <v>234</v>
      </c>
      <c r="P1632">
        <v>48</v>
      </c>
      <c r="U1632" t="s">
        <v>213</v>
      </c>
      <c r="V1632" t="s">
        <v>507</v>
      </c>
      <c r="W1632" t="s">
        <v>92</v>
      </c>
      <c r="X1632" t="s">
        <v>93</v>
      </c>
      <c r="Y1632">
        <v>3</v>
      </c>
      <c r="Z1632" t="s">
        <v>94</v>
      </c>
      <c r="AB1632">
        <v>0.01</v>
      </c>
      <c r="AG1632" t="s">
        <v>95</v>
      </c>
      <c r="AX1632" t="s">
        <v>523</v>
      </c>
      <c r="AY1632" t="s">
        <v>523</v>
      </c>
      <c r="AZ1632" t="s">
        <v>586</v>
      </c>
      <c r="BC1632">
        <v>7</v>
      </c>
      <c r="BH1632" t="s">
        <v>99</v>
      </c>
      <c r="BO1632" t="s">
        <v>111</v>
      </c>
      <c r="CD1632" t="s">
        <v>552</v>
      </c>
      <c r="CE1632">
        <v>94271</v>
      </c>
      <c r="CF1632" t="s">
        <v>553</v>
      </c>
      <c r="CG1632" t="s">
        <v>554</v>
      </c>
      <c r="CH1632">
        <v>2005</v>
      </c>
    </row>
    <row r="1633" spans="1:86" hidden="1" x14ac:dyDescent="0.25">
      <c r="A1633">
        <v>330541</v>
      </c>
      <c r="B1633" t="s">
        <v>86</v>
      </c>
      <c r="D1633" t="s">
        <v>115</v>
      </c>
      <c r="E1633" t="s">
        <v>106</v>
      </c>
      <c r="F1633">
        <v>98</v>
      </c>
      <c r="K1633" t="s">
        <v>1259</v>
      </c>
      <c r="L1633" t="s">
        <v>1260</v>
      </c>
      <c r="M1633" t="s">
        <v>1261</v>
      </c>
      <c r="N1633" t="s">
        <v>945</v>
      </c>
      <c r="O1633" t="s">
        <v>234</v>
      </c>
      <c r="P1633">
        <v>48</v>
      </c>
      <c r="U1633" t="s">
        <v>213</v>
      </c>
      <c r="V1633" t="s">
        <v>507</v>
      </c>
      <c r="W1633" t="s">
        <v>92</v>
      </c>
      <c r="X1633" t="s">
        <v>93</v>
      </c>
      <c r="Y1633">
        <v>3</v>
      </c>
      <c r="Z1633" t="s">
        <v>94</v>
      </c>
      <c r="AB1633">
        <v>0.01</v>
      </c>
      <c r="AG1633" t="s">
        <v>95</v>
      </c>
      <c r="AX1633" t="s">
        <v>196</v>
      </c>
      <c r="AY1633" t="s">
        <v>174</v>
      </c>
      <c r="AZ1633" t="s">
        <v>586</v>
      </c>
      <c r="BC1633">
        <v>7</v>
      </c>
      <c r="BH1633" t="s">
        <v>99</v>
      </c>
      <c r="BO1633" t="s">
        <v>111</v>
      </c>
      <c r="CD1633" t="s">
        <v>552</v>
      </c>
      <c r="CE1633">
        <v>94271</v>
      </c>
      <c r="CF1633" t="s">
        <v>553</v>
      </c>
      <c r="CG1633" t="s">
        <v>554</v>
      </c>
      <c r="CH1633">
        <v>2005</v>
      </c>
    </row>
    <row r="1634" spans="1:86" hidden="1" x14ac:dyDescent="0.25">
      <c r="A1634">
        <v>330541</v>
      </c>
      <c r="B1634" t="s">
        <v>86</v>
      </c>
      <c r="D1634" t="s">
        <v>115</v>
      </c>
      <c r="E1634" t="s">
        <v>106</v>
      </c>
      <c r="F1634">
        <v>99</v>
      </c>
      <c r="K1634" t="s">
        <v>1285</v>
      </c>
      <c r="L1634" t="s">
        <v>1286</v>
      </c>
      <c r="M1634" t="s">
        <v>1261</v>
      </c>
      <c r="N1634" t="s">
        <v>910</v>
      </c>
      <c r="R1634">
        <v>20</v>
      </c>
      <c r="T1634">
        <v>24</v>
      </c>
      <c r="U1634" t="s">
        <v>213</v>
      </c>
      <c r="V1634" t="s">
        <v>91</v>
      </c>
      <c r="W1634" t="s">
        <v>92</v>
      </c>
      <c r="X1634" t="s">
        <v>93</v>
      </c>
      <c r="Y1634">
        <v>5</v>
      </c>
      <c r="Z1634" t="s">
        <v>94</v>
      </c>
      <c r="AB1634">
        <v>2.0046359200000001</v>
      </c>
      <c r="AG1634" t="s">
        <v>95</v>
      </c>
      <c r="AX1634" t="s">
        <v>912</v>
      </c>
      <c r="AY1634" t="s">
        <v>1312</v>
      </c>
      <c r="AZ1634" t="s">
        <v>586</v>
      </c>
      <c r="BC1634">
        <v>15</v>
      </c>
      <c r="BH1634" t="s">
        <v>99</v>
      </c>
      <c r="BO1634" t="s">
        <v>111</v>
      </c>
      <c r="CD1634" t="s">
        <v>1282</v>
      </c>
      <c r="CE1634">
        <v>60040</v>
      </c>
      <c r="CF1634" t="s">
        <v>1283</v>
      </c>
      <c r="CG1634" t="s">
        <v>1284</v>
      </c>
      <c r="CH1634">
        <v>2001</v>
      </c>
    </row>
    <row r="1635" spans="1:86" hidden="1" x14ac:dyDescent="0.25">
      <c r="A1635">
        <v>330541</v>
      </c>
      <c r="B1635" t="s">
        <v>86</v>
      </c>
      <c r="C1635" t="s">
        <v>183</v>
      </c>
      <c r="D1635" t="s">
        <v>87</v>
      </c>
      <c r="F1635">
        <v>99.8</v>
      </c>
      <c r="K1635" t="s">
        <v>1259</v>
      </c>
      <c r="L1635" t="s">
        <v>1260</v>
      </c>
      <c r="M1635" t="s">
        <v>1261</v>
      </c>
      <c r="N1635" t="s">
        <v>1000</v>
      </c>
      <c r="P1635">
        <v>1.5</v>
      </c>
      <c r="U1635" t="s">
        <v>934</v>
      </c>
      <c r="V1635" t="s">
        <v>507</v>
      </c>
      <c r="W1635" t="s">
        <v>92</v>
      </c>
      <c r="X1635" t="s">
        <v>93</v>
      </c>
      <c r="Z1635" t="s">
        <v>94</v>
      </c>
      <c r="AB1635">
        <v>20</v>
      </c>
      <c r="AG1635" t="s">
        <v>95</v>
      </c>
      <c r="AX1635" t="s">
        <v>523</v>
      </c>
      <c r="AY1635" t="s">
        <v>1013</v>
      </c>
      <c r="AZ1635" t="s">
        <v>586</v>
      </c>
      <c r="BC1635">
        <v>10</v>
      </c>
      <c r="BH1635" t="s">
        <v>99</v>
      </c>
      <c r="BO1635" t="s">
        <v>111</v>
      </c>
      <c r="CD1635" t="s">
        <v>1065</v>
      </c>
      <c r="CE1635">
        <v>20182</v>
      </c>
      <c r="CF1635" t="s">
        <v>1066</v>
      </c>
      <c r="CG1635" t="s">
        <v>1067</v>
      </c>
      <c r="CH1635">
        <v>1998</v>
      </c>
    </row>
    <row r="1636" spans="1:86" hidden="1" x14ac:dyDescent="0.25">
      <c r="A1636">
        <v>330541</v>
      </c>
      <c r="B1636" t="s">
        <v>86</v>
      </c>
      <c r="F1636">
        <v>99</v>
      </c>
      <c r="K1636" t="s">
        <v>1302</v>
      </c>
      <c r="L1636" t="s">
        <v>1303</v>
      </c>
      <c r="M1636" t="s">
        <v>1261</v>
      </c>
      <c r="V1636" t="s">
        <v>91</v>
      </c>
      <c r="W1636" t="s">
        <v>107</v>
      </c>
      <c r="X1636" t="s">
        <v>93</v>
      </c>
      <c r="Z1636" t="s">
        <v>94</v>
      </c>
      <c r="AB1636">
        <v>3.6</v>
      </c>
      <c r="AG1636" t="s">
        <v>95</v>
      </c>
      <c r="AX1636" t="s">
        <v>523</v>
      </c>
      <c r="AY1636" t="s">
        <v>523</v>
      </c>
      <c r="AZ1636" t="s">
        <v>609</v>
      </c>
      <c r="BC1636">
        <v>4</v>
      </c>
      <c r="BH1636" t="s">
        <v>99</v>
      </c>
      <c r="BO1636" t="s">
        <v>111</v>
      </c>
      <c r="CD1636" t="s">
        <v>366</v>
      </c>
      <c r="CE1636">
        <v>344</v>
      </c>
      <c r="CF1636" t="s">
        <v>367</v>
      </c>
      <c r="CG1636" t="s">
        <v>368</v>
      </c>
      <c r="CH1636">
        <v>1992</v>
      </c>
    </row>
    <row r="1637" spans="1:86" hidden="1" x14ac:dyDescent="0.25">
      <c r="A1637">
        <v>330541</v>
      </c>
      <c r="B1637" t="s">
        <v>86</v>
      </c>
      <c r="C1637" t="s">
        <v>183</v>
      </c>
      <c r="D1637" t="s">
        <v>87</v>
      </c>
      <c r="F1637">
        <v>99.8</v>
      </c>
      <c r="K1637" t="s">
        <v>1259</v>
      </c>
      <c r="L1637" t="s">
        <v>1260</v>
      </c>
      <c r="M1637" t="s">
        <v>1261</v>
      </c>
      <c r="N1637" t="s">
        <v>1110</v>
      </c>
      <c r="P1637">
        <v>2.5</v>
      </c>
      <c r="U1637" t="s">
        <v>99</v>
      </c>
      <c r="V1637" t="s">
        <v>91</v>
      </c>
      <c r="W1637" t="s">
        <v>92</v>
      </c>
      <c r="X1637" t="s">
        <v>93</v>
      </c>
      <c r="Z1637" t="s">
        <v>94</v>
      </c>
      <c r="AB1637">
        <v>31.2</v>
      </c>
      <c r="AG1637" t="s">
        <v>95</v>
      </c>
      <c r="AX1637" t="s">
        <v>523</v>
      </c>
      <c r="AY1637" t="s">
        <v>523</v>
      </c>
      <c r="AZ1637" t="s">
        <v>626</v>
      </c>
      <c r="BC1637">
        <v>7</v>
      </c>
      <c r="BH1637" t="s">
        <v>99</v>
      </c>
      <c r="BO1637" t="s">
        <v>111</v>
      </c>
      <c r="CD1637" t="s">
        <v>1065</v>
      </c>
      <c r="CE1637">
        <v>20182</v>
      </c>
      <c r="CF1637" t="s">
        <v>1066</v>
      </c>
      <c r="CG1637" t="s">
        <v>1067</v>
      </c>
      <c r="CH1637">
        <v>1998</v>
      </c>
    </row>
    <row r="1638" spans="1:86" x14ac:dyDescent="0.25">
      <c r="A1638">
        <v>330541</v>
      </c>
      <c r="B1638" t="s">
        <v>86</v>
      </c>
      <c r="D1638" t="s">
        <v>115</v>
      </c>
      <c r="F1638">
        <v>98</v>
      </c>
      <c r="K1638" t="s">
        <v>1265</v>
      </c>
      <c r="L1638" t="s">
        <v>1266</v>
      </c>
      <c r="M1638" t="s">
        <v>1261</v>
      </c>
      <c r="N1638" t="s">
        <v>1144</v>
      </c>
      <c r="V1638" t="s">
        <v>507</v>
      </c>
      <c r="W1638" t="s">
        <v>92</v>
      </c>
      <c r="X1638" t="s">
        <v>93</v>
      </c>
      <c r="Y1638">
        <v>2</v>
      </c>
      <c r="Z1638" t="s">
        <v>94</v>
      </c>
      <c r="AB1638">
        <v>1E-3</v>
      </c>
      <c r="AG1638" t="s">
        <v>95</v>
      </c>
      <c r="AX1638" t="s">
        <v>523</v>
      </c>
      <c r="AY1638" t="s">
        <v>523</v>
      </c>
      <c r="AZ1638" t="s">
        <v>1094</v>
      </c>
      <c r="BC1638">
        <v>21</v>
      </c>
      <c r="BH1638" t="s">
        <v>99</v>
      </c>
      <c r="BO1638" t="s">
        <v>111</v>
      </c>
      <c r="CD1638" t="s">
        <v>1309</v>
      </c>
      <c r="CE1638">
        <v>165329</v>
      </c>
      <c r="CF1638" t="s">
        <v>1310</v>
      </c>
      <c r="CG1638" t="s">
        <v>1311</v>
      </c>
      <c r="CH1638">
        <v>2010</v>
      </c>
    </row>
    <row r="1639" spans="1:86" hidden="1" x14ac:dyDescent="0.25">
      <c r="A1639">
        <v>330541</v>
      </c>
      <c r="B1639" t="s">
        <v>86</v>
      </c>
      <c r="D1639" t="s">
        <v>115</v>
      </c>
      <c r="K1639" t="s">
        <v>1292</v>
      </c>
      <c r="L1639" t="s">
        <v>1293</v>
      </c>
      <c r="M1639" t="s">
        <v>1261</v>
      </c>
      <c r="N1639" t="s">
        <v>1129</v>
      </c>
      <c r="W1639" t="s">
        <v>92</v>
      </c>
      <c r="Z1639" t="s">
        <v>137</v>
      </c>
      <c r="AB1639">
        <v>10</v>
      </c>
      <c r="AG1639" t="s">
        <v>95</v>
      </c>
      <c r="AX1639" t="s">
        <v>1206</v>
      </c>
      <c r="AY1639" t="s">
        <v>1255</v>
      </c>
      <c r="BH1639" t="s">
        <v>627</v>
      </c>
      <c r="BO1639" t="s">
        <v>111</v>
      </c>
      <c r="CD1639" t="s">
        <v>1329</v>
      </c>
      <c r="CE1639">
        <v>6016</v>
      </c>
      <c r="CF1639" t="s">
        <v>1330</v>
      </c>
      <c r="CG1639" t="s">
        <v>1331</v>
      </c>
      <c r="CH1639">
        <v>1977</v>
      </c>
    </row>
    <row r="1640" spans="1:86" hidden="1" x14ac:dyDescent="0.25">
      <c r="A1640">
        <v>330541</v>
      </c>
      <c r="B1640" t="s">
        <v>86</v>
      </c>
      <c r="C1640" t="s">
        <v>183</v>
      </c>
      <c r="D1640" t="s">
        <v>87</v>
      </c>
      <c r="F1640">
        <v>99.8</v>
      </c>
      <c r="K1640" t="s">
        <v>1259</v>
      </c>
      <c r="L1640" t="s">
        <v>1260</v>
      </c>
      <c r="M1640" t="s">
        <v>1261</v>
      </c>
      <c r="N1640" t="s">
        <v>1110</v>
      </c>
      <c r="P1640">
        <v>2.5</v>
      </c>
      <c r="U1640" t="s">
        <v>99</v>
      </c>
      <c r="V1640" t="s">
        <v>91</v>
      </c>
      <c r="W1640" t="s">
        <v>92</v>
      </c>
      <c r="X1640" t="s">
        <v>93</v>
      </c>
      <c r="Z1640" t="s">
        <v>94</v>
      </c>
      <c r="AB1640">
        <v>8.3000000000000007</v>
      </c>
      <c r="AG1640" t="s">
        <v>95</v>
      </c>
      <c r="AX1640" t="s">
        <v>196</v>
      </c>
      <c r="AY1640" t="s">
        <v>817</v>
      </c>
      <c r="BA1640" t="s">
        <v>179</v>
      </c>
      <c r="BC1640">
        <v>7</v>
      </c>
      <c r="BH1640" t="s">
        <v>99</v>
      </c>
      <c r="BO1640" t="s">
        <v>111</v>
      </c>
      <c r="CD1640" t="s">
        <v>1065</v>
      </c>
      <c r="CE1640">
        <v>20182</v>
      </c>
      <c r="CF1640" t="s">
        <v>1066</v>
      </c>
      <c r="CG1640" t="s">
        <v>1067</v>
      </c>
      <c r="CH1640">
        <v>1998</v>
      </c>
    </row>
    <row r="1641" spans="1:86" hidden="1" x14ac:dyDescent="0.25">
      <c r="A1641">
        <v>330541</v>
      </c>
      <c r="B1641" t="s">
        <v>86</v>
      </c>
      <c r="D1641" t="s">
        <v>115</v>
      </c>
      <c r="F1641">
        <v>99</v>
      </c>
      <c r="K1641" t="s">
        <v>1304</v>
      </c>
      <c r="L1641" t="s">
        <v>1305</v>
      </c>
      <c r="M1641" t="s">
        <v>1261</v>
      </c>
      <c r="N1641" t="s">
        <v>1000</v>
      </c>
      <c r="V1641" t="s">
        <v>257</v>
      </c>
      <c r="W1641" t="s">
        <v>92</v>
      </c>
      <c r="X1641" t="s">
        <v>93</v>
      </c>
      <c r="Z1641" t="s">
        <v>94</v>
      </c>
      <c r="AB1641"/>
      <c r="AD1641">
        <v>0.1</v>
      </c>
      <c r="AF1641">
        <v>10</v>
      </c>
      <c r="AG1641" t="s">
        <v>95</v>
      </c>
      <c r="AX1641" t="s">
        <v>926</v>
      </c>
      <c r="AY1641" t="s">
        <v>1332</v>
      </c>
      <c r="BC1641">
        <v>6.8999999999999999E-3</v>
      </c>
      <c r="BH1641" t="s">
        <v>99</v>
      </c>
      <c r="BO1641" t="s">
        <v>111</v>
      </c>
      <c r="CD1641" t="s">
        <v>1333</v>
      </c>
      <c r="CE1641">
        <v>20177</v>
      </c>
      <c r="CF1641" t="s">
        <v>1334</v>
      </c>
      <c r="CG1641" t="s">
        <v>1335</v>
      </c>
      <c r="CH1641">
        <v>1998</v>
      </c>
    </row>
    <row r="1642" spans="1:86" hidden="1" x14ac:dyDescent="0.25">
      <c r="A1642">
        <v>330541</v>
      </c>
      <c r="B1642" t="s">
        <v>86</v>
      </c>
      <c r="D1642" t="s">
        <v>115</v>
      </c>
      <c r="F1642">
        <v>99</v>
      </c>
      <c r="K1642" t="s">
        <v>1304</v>
      </c>
      <c r="L1642" t="s">
        <v>1305</v>
      </c>
      <c r="M1642" t="s">
        <v>1261</v>
      </c>
      <c r="N1642" t="s">
        <v>1000</v>
      </c>
      <c r="V1642" t="s">
        <v>91</v>
      </c>
      <c r="W1642" t="s">
        <v>92</v>
      </c>
      <c r="X1642" t="s">
        <v>93</v>
      </c>
      <c r="Z1642" t="s">
        <v>94</v>
      </c>
      <c r="AB1642"/>
      <c r="AD1642">
        <v>5.0000000000000001E-4</v>
      </c>
      <c r="AF1642">
        <v>0.05</v>
      </c>
      <c r="AG1642" t="s">
        <v>95</v>
      </c>
      <c r="AX1642" t="s">
        <v>926</v>
      </c>
      <c r="AY1642" t="s">
        <v>1332</v>
      </c>
      <c r="BC1642">
        <v>1</v>
      </c>
      <c r="BH1642" t="s">
        <v>99</v>
      </c>
      <c r="BO1642" t="s">
        <v>111</v>
      </c>
      <c r="CD1642" t="s">
        <v>1333</v>
      </c>
      <c r="CE1642">
        <v>20177</v>
      </c>
      <c r="CF1642" t="s">
        <v>1334</v>
      </c>
      <c r="CG1642" t="s">
        <v>1335</v>
      </c>
      <c r="CH1642">
        <v>1998</v>
      </c>
    </row>
    <row r="1643" spans="1:86" hidden="1" x14ac:dyDescent="0.25">
      <c r="A1643">
        <v>330541</v>
      </c>
      <c r="B1643" t="s">
        <v>86</v>
      </c>
      <c r="C1643" t="s">
        <v>183</v>
      </c>
      <c r="D1643" t="s">
        <v>87</v>
      </c>
      <c r="F1643">
        <v>99.8</v>
      </c>
      <c r="K1643" t="s">
        <v>1259</v>
      </c>
      <c r="L1643" t="s">
        <v>1260</v>
      </c>
      <c r="M1643" t="s">
        <v>1261</v>
      </c>
      <c r="N1643" t="s">
        <v>1110</v>
      </c>
      <c r="P1643">
        <v>2.5</v>
      </c>
      <c r="U1643" t="s">
        <v>99</v>
      </c>
      <c r="V1643" t="s">
        <v>91</v>
      </c>
      <c r="W1643" t="s">
        <v>92</v>
      </c>
      <c r="X1643" t="s">
        <v>93</v>
      </c>
      <c r="Z1643" t="s">
        <v>94</v>
      </c>
      <c r="AB1643">
        <v>4.2</v>
      </c>
      <c r="AG1643" t="s">
        <v>95</v>
      </c>
      <c r="AX1643" t="s">
        <v>196</v>
      </c>
      <c r="AY1643" t="s">
        <v>817</v>
      </c>
      <c r="BA1643" t="s">
        <v>179</v>
      </c>
      <c r="BC1643">
        <v>7</v>
      </c>
      <c r="BH1643" t="s">
        <v>99</v>
      </c>
      <c r="BO1643" t="s">
        <v>111</v>
      </c>
      <c r="CD1643" t="s">
        <v>1065</v>
      </c>
      <c r="CE1643">
        <v>20182</v>
      </c>
      <c r="CF1643" t="s">
        <v>1066</v>
      </c>
      <c r="CG1643" t="s">
        <v>1067</v>
      </c>
      <c r="CH1643">
        <v>1998</v>
      </c>
    </row>
    <row r="1644" spans="1:86" hidden="1" x14ac:dyDescent="0.25">
      <c r="A1644">
        <v>330541</v>
      </c>
      <c r="B1644" t="s">
        <v>86</v>
      </c>
      <c r="C1644" t="s">
        <v>183</v>
      </c>
      <c r="D1644" t="s">
        <v>87</v>
      </c>
      <c r="F1644">
        <v>99.8</v>
      </c>
      <c r="K1644" t="s">
        <v>1259</v>
      </c>
      <c r="L1644" t="s">
        <v>1260</v>
      </c>
      <c r="M1644" t="s">
        <v>1261</v>
      </c>
      <c r="N1644" t="s">
        <v>1110</v>
      </c>
      <c r="P1644">
        <v>2.5</v>
      </c>
      <c r="U1644" t="s">
        <v>99</v>
      </c>
      <c r="V1644" t="s">
        <v>91</v>
      </c>
      <c r="W1644" t="s">
        <v>92</v>
      </c>
      <c r="X1644" t="s">
        <v>93</v>
      </c>
      <c r="Z1644" t="s">
        <v>94</v>
      </c>
      <c r="AB1644"/>
      <c r="AD1644">
        <v>1</v>
      </c>
      <c r="AF1644">
        <v>15.1</v>
      </c>
      <c r="AG1644" t="s">
        <v>95</v>
      </c>
      <c r="AX1644" t="s">
        <v>523</v>
      </c>
      <c r="AY1644" t="s">
        <v>1086</v>
      </c>
      <c r="BA1644" t="s">
        <v>1110</v>
      </c>
      <c r="BC1644">
        <v>7</v>
      </c>
      <c r="BH1644" t="s">
        <v>99</v>
      </c>
      <c r="BO1644" t="s">
        <v>111</v>
      </c>
      <c r="CD1644" t="s">
        <v>1065</v>
      </c>
      <c r="CE1644">
        <v>20182</v>
      </c>
      <c r="CF1644" t="s">
        <v>1066</v>
      </c>
      <c r="CG1644" t="s">
        <v>1067</v>
      </c>
      <c r="CH1644">
        <v>1998</v>
      </c>
    </row>
    <row r="1645" spans="1:86" x14ac:dyDescent="0.25">
      <c r="A1645">
        <v>330541</v>
      </c>
      <c r="B1645" t="s">
        <v>86</v>
      </c>
      <c r="D1645" t="s">
        <v>115</v>
      </c>
      <c r="K1645" t="s">
        <v>1265</v>
      </c>
      <c r="L1645" t="s">
        <v>1266</v>
      </c>
      <c r="M1645" t="s">
        <v>1261</v>
      </c>
      <c r="N1645" t="s">
        <v>910</v>
      </c>
      <c r="R1645">
        <v>6</v>
      </c>
      <c r="T1645">
        <v>8</v>
      </c>
      <c r="U1645" t="s">
        <v>1111</v>
      </c>
      <c r="V1645" t="s">
        <v>507</v>
      </c>
      <c r="W1645" t="s">
        <v>92</v>
      </c>
      <c r="X1645" t="s">
        <v>93</v>
      </c>
      <c r="Y1645">
        <v>2</v>
      </c>
      <c r="Z1645" t="s">
        <v>137</v>
      </c>
      <c r="AB1645">
        <v>18.647776</v>
      </c>
      <c r="AG1645" t="s">
        <v>95</v>
      </c>
      <c r="AX1645" t="s">
        <v>1022</v>
      </c>
      <c r="AY1645" t="s">
        <v>1091</v>
      </c>
      <c r="BA1645" t="s">
        <v>1256</v>
      </c>
      <c r="BC1645">
        <v>5</v>
      </c>
      <c r="BH1645" t="s">
        <v>99</v>
      </c>
      <c r="BO1645" t="s">
        <v>111</v>
      </c>
      <c r="CD1645" t="s">
        <v>1336</v>
      </c>
      <c r="CE1645">
        <v>161191</v>
      </c>
      <c r="CF1645" t="s">
        <v>1337</v>
      </c>
      <c r="CG1645" t="s">
        <v>1338</v>
      </c>
      <c r="CH1645">
        <v>2012</v>
      </c>
    </row>
    <row r="1646" spans="1:86" hidden="1" x14ac:dyDescent="0.25">
      <c r="A1646">
        <v>330541</v>
      </c>
      <c r="B1646" t="s">
        <v>86</v>
      </c>
      <c r="D1646" t="s">
        <v>115</v>
      </c>
      <c r="F1646">
        <v>80</v>
      </c>
      <c r="K1646" t="s">
        <v>1292</v>
      </c>
      <c r="L1646" t="s">
        <v>1293</v>
      </c>
      <c r="M1646" t="s">
        <v>1261</v>
      </c>
      <c r="P1646">
        <v>1</v>
      </c>
      <c r="U1646" t="s">
        <v>1339</v>
      </c>
      <c r="W1646" t="s">
        <v>92</v>
      </c>
      <c r="X1646" t="s">
        <v>93</v>
      </c>
      <c r="Z1646" t="s">
        <v>137</v>
      </c>
      <c r="AB1646">
        <v>0.1</v>
      </c>
      <c r="AG1646" t="s">
        <v>95</v>
      </c>
      <c r="AX1646" t="s">
        <v>1206</v>
      </c>
      <c r="AY1646" t="s">
        <v>1255</v>
      </c>
      <c r="BC1646">
        <v>40</v>
      </c>
      <c r="BH1646" t="s">
        <v>99</v>
      </c>
      <c r="BO1646" t="s">
        <v>111</v>
      </c>
      <c r="CD1646" t="s">
        <v>1340</v>
      </c>
      <c r="CE1646">
        <v>9185</v>
      </c>
      <c r="CF1646" t="s">
        <v>1341</v>
      </c>
      <c r="CG1646" t="s">
        <v>1342</v>
      </c>
      <c r="CH1646">
        <v>1972</v>
      </c>
    </row>
    <row r="1647" spans="1:86" hidden="1" x14ac:dyDescent="0.25">
      <c r="A1647">
        <v>330541</v>
      </c>
      <c r="B1647" t="s">
        <v>86</v>
      </c>
      <c r="D1647" t="s">
        <v>115</v>
      </c>
      <c r="K1647" t="s">
        <v>1343</v>
      </c>
      <c r="L1647" t="s">
        <v>1344</v>
      </c>
      <c r="M1647" t="s">
        <v>1261</v>
      </c>
      <c r="N1647" t="s">
        <v>1103</v>
      </c>
      <c r="P1647">
        <v>1</v>
      </c>
      <c r="U1647" t="s">
        <v>1345</v>
      </c>
      <c r="V1647" t="s">
        <v>91</v>
      </c>
      <c r="W1647" t="s">
        <v>92</v>
      </c>
      <c r="X1647" t="s">
        <v>93</v>
      </c>
      <c r="Z1647" t="s">
        <v>137</v>
      </c>
      <c r="AB1647">
        <v>10</v>
      </c>
      <c r="AG1647" t="s">
        <v>95</v>
      </c>
      <c r="AX1647" t="s">
        <v>523</v>
      </c>
      <c r="AY1647" t="s">
        <v>523</v>
      </c>
      <c r="BC1647">
        <v>2</v>
      </c>
      <c r="BH1647" t="s">
        <v>99</v>
      </c>
      <c r="BO1647" t="s">
        <v>111</v>
      </c>
      <c r="CD1647" t="s">
        <v>1346</v>
      </c>
      <c r="CE1647">
        <v>858</v>
      </c>
      <c r="CF1647" t="s">
        <v>1347</v>
      </c>
      <c r="CG1647" t="s">
        <v>1348</v>
      </c>
      <c r="CH1647">
        <v>1977</v>
      </c>
    </row>
    <row r="1648" spans="1:86" hidden="1" x14ac:dyDescent="0.25">
      <c r="A1648">
        <v>330541</v>
      </c>
      <c r="B1648" t="s">
        <v>86</v>
      </c>
      <c r="D1648" t="s">
        <v>87</v>
      </c>
      <c r="K1648" t="s">
        <v>1349</v>
      </c>
      <c r="L1648" t="s">
        <v>1350</v>
      </c>
      <c r="M1648" t="s">
        <v>1351</v>
      </c>
      <c r="W1648" t="s">
        <v>92</v>
      </c>
      <c r="X1648" t="s">
        <v>93</v>
      </c>
      <c r="Z1648" t="s">
        <v>94</v>
      </c>
      <c r="AB1648">
        <v>4.3</v>
      </c>
      <c r="AG1648" t="s">
        <v>95</v>
      </c>
      <c r="AX1648" t="s">
        <v>523</v>
      </c>
      <c r="AY1648" t="s">
        <v>523</v>
      </c>
      <c r="AZ1648" t="s">
        <v>214</v>
      </c>
      <c r="BC1648">
        <v>2</v>
      </c>
      <c r="BH1648" t="s">
        <v>99</v>
      </c>
      <c r="BO1648" t="s">
        <v>111</v>
      </c>
      <c r="CD1648" t="s">
        <v>1278</v>
      </c>
      <c r="CE1648">
        <v>10337</v>
      </c>
      <c r="CF1648" t="s">
        <v>1279</v>
      </c>
      <c r="CG1648" t="s">
        <v>1280</v>
      </c>
      <c r="CH1648">
        <v>1966</v>
      </c>
    </row>
    <row r="1649" spans="1:86" hidden="1" x14ac:dyDescent="0.25">
      <c r="A1649">
        <v>330541</v>
      </c>
      <c r="B1649" t="s">
        <v>86</v>
      </c>
      <c r="F1649">
        <v>95</v>
      </c>
      <c r="K1649" t="s">
        <v>1349</v>
      </c>
      <c r="L1649" t="s">
        <v>1350</v>
      </c>
      <c r="M1649" t="s">
        <v>1351</v>
      </c>
      <c r="V1649" t="s">
        <v>91</v>
      </c>
      <c r="W1649" t="s">
        <v>92</v>
      </c>
      <c r="X1649" t="s">
        <v>93</v>
      </c>
      <c r="Z1649" t="s">
        <v>94</v>
      </c>
      <c r="AB1649">
        <v>9.4</v>
      </c>
      <c r="AD1649">
        <v>8.3000000000000007</v>
      </c>
      <c r="AF1649">
        <v>10.7</v>
      </c>
      <c r="AG1649" t="s">
        <v>95</v>
      </c>
      <c r="AX1649" t="s">
        <v>523</v>
      </c>
      <c r="AY1649" t="s">
        <v>523</v>
      </c>
      <c r="AZ1649" t="s">
        <v>475</v>
      </c>
      <c r="BC1649">
        <v>4</v>
      </c>
      <c r="BH1649" t="s">
        <v>99</v>
      </c>
      <c r="BO1649" t="s">
        <v>111</v>
      </c>
      <c r="CD1649" t="s">
        <v>982</v>
      </c>
      <c r="CE1649">
        <v>6797</v>
      </c>
      <c r="CF1649" t="s">
        <v>983</v>
      </c>
      <c r="CG1649" t="s">
        <v>984</v>
      </c>
      <c r="CH1649">
        <v>1986</v>
      </c>
    </row>
    <row r="1650" spans="1:86" hidden="1" x14ac:dyDescent="0.25">
      <c r="A1650">
        <v>330541</v>
      </c>
      <c r="B1650" t="s">
        <v>86</v>
      </c>
      <c r="F1650">
        <v>95</v>
      </c>
      <c r="K1650" t="s">
        <v>1349</v>
      </c>
      <c r="L1650" t="s">
        <v>1350</v>
      </c>
      <c r="M1650" t="s">
        <v>1351</v>
      </c>
      <c r="V1650" t="s">
        <v>91</v>
      </c>
      <c r="W1650" t="s">
        <v>92</v>
      </c>
      <c r="X1650" t="s">
        <v>93</v>
      </c>
      <c r="Z1650" t="s">
        <v>94</v>
      </c>
      <c r="AB1650">
        <v>1.95</v>
      </c>
      <c r="AD1650">
        <v>1.5</v>
      </c>
      <c r="AF1650">
        <v>2.54</v>
      </c>
      <c r="AG1650" t="s">
        <v>95</v>
      </c>
      <c r="AX1650" t="s">
        <v>523</v>
      </c>
      <c r="AY1650" t="s">
        <v>523</v>
      </c>
      <c r="AZ1650" t="s">
        <v>475</v>
      </c>
      <c r="BC1650">
        <v>4</v>
      </c>
      <c r="BH1650" t="s">
        <v>99</v>
      </c>
      <c r="BO1650" t="s">
        <v>111</v>
      </c>
      <c r="CD1650" t="s">
        <v>366</v>
      </c>
      <c r="CE1650">
        <v>344</v>
      </c>
      <c r="CF1650" t="s">
        <v>367</v>
      </c>
      <c r="CG1650" t="s">
        <v>368</v>
      </c>
      <c r="CH1650">
        <v>1992</v>
      </c>
    </row>
    <row r="1651" spans="1:86" hidden="1" x14ac:dyDescent="0.25">
      <c r="A1651">
        <v>330541</v>
      </c>
      <c r="B1651" t="s">
        <v>86</v>
      </c>
      <c r="F1651">
        <v>95</v>
      </c>
      <c r="K1651" t="s">
        <v>1349</v>
      </c>
      <c r="L1651" t="s">
        <v>1350</v>
      </c>
      <c r="M1651" t="s">
        <v>1351</v>
      </c>
      <c r="V1651" t="s">
        <v>91</v>
      </c>
      <c r="W1651" t="s">
        <v>92</v>
      </c>
      <c r="X1651" t="s">
        <v>93</v>
      </c>
      <c r="Z1651" t="s">
        <v>94</v>
      </c>
      <c r="AB1651">
        <v>9</v>
      </c>
      <c r="AD1651">
        <v>7.6</v>
      </c>
      <c r="AF1651">
        <v>11</v>
      </c>
      <c r="AG1651" t="s">
        <v>95</v>
      </c>
      <c r="AX1651" t="s">
        <v>523</v>
      </c>
      <c r="AY1651" t="s">
        <v>523</v>
      </c>
      <c r="AZ1651" t="s">
        <v>475</v>
      </c>
      <c r="BC1651">
        <v>1</v>
      </c>
      <c r="BH1651" t="s">
        <v>99</v>
      </c>
      <c r="BO1651" t="s">
        <v>111</v>
      </c>
      <c r="CD1651" t="s">
        <v>982</v>
      </c>
      <c r="CE1651">
        <v>6797</v>
      </c>
      <c r="CF1651" t="s">
        <v>983</v>
      </c>
      <c r="CG1651" t="s">
        <v>984</v>
      </c>
      <c r="CH1651">
        <v>1986</v>
      </c>
    </row>
    <row r="1652" spans="1:86" hidden="1" x14ac:dyDescent="0.25">
      <c r="A1652">
        <v>330541</v>
      </c>
      <c r="B1652" t="s">
        <v>86</v>
      </c>
      <c r="F1652">
        <v>28</v>
      </c>
      <c r="K1652" t="s">
        <v>1349</v>
      </c>
      <c r="L1652" t="s">
        <v>1350</v>
      </c>
      <c r="M1652" t="s">
        <v>1351</v>
      </c>
      <c r="V1652" t="s">
        <v>91</v>
      </c>
      <c r="W1652" t="s">
        <v>92</v>
      </c>
      <c r="X1652" t="s">
        <v>93</v>
      </c>
      <c r="Z1652" t="s">
        <v>137</v>
      </c>
      <c r="AB1652">
        <v>23.8</v>
      </c>
      <c r="AD1652">
        <v>20</v>
      </c>
      <c r="AF1652">
        <v>28.3</v>
      </c>
      <c r="AG1652" t="s">
        <v>95</v>
      </c>
      <c r="AX1652" t="s">
        <v>523</v>
      </c>
      <c r="AY1652" t="s">
        <v>523</v>
      </c>
      <c r="AZ1652" t="s">
        <v>475</v>
      </c>
      <c r="BC1652">
        <v>4</v>
      </c>
      <c r="BH1652" t="s">
        <v>99</v>
      </c>
      <c r="BO1652" t="s">
        <v>111</v>
      </c>
      <c r="CD1652" t="s">
        <v>366</v>
      </c>
      <c r="CE1652">
        <v>344</v>
      </c>
      <c r="CF1652" t="s">
        <v>367</v>
      </c>
      <c r="CG1652" t="s">
        <v>368</v>
      </c>
      <c r="CH1652">
        <v>1992</v>
      </c>
    </row>
    <row r="1653" spans="1:86" hidden="1" x14ac:dyDescent="0.25">
      <c r="A1653">
        <v>330541</v>
      </c>
      <c r="B1653" t="s">
        <v>86</v>
      </c>
      <c r="F1653">
        <v>95</v>
      </c>
      <c r="K1653" t="s">
        <v>1349</v>
      </c>
      <c r="L1653" t="s">
        <v>1350</v>
      </c>
      <c r="M1653" t="s">
        <v>1351</v>
      </c>
      <c r="V1653" t="s">
        <v>91</v>
      </c>
      <c r="W1653" t="s">
        <v>92</v>
      </c>
      <c r="X1653" t="s">
        <v>93</v>
      </c>
      <c r="Z1653" t="s">
        <v>94</v>
      </c>
      <c r="AB1653">
        <v>7.2</v>
      </c>
      <c r="AD1653">
        <v>6.5</v>
      </c>
      <c r="AF1653">
        <v>7.9</v>
      </c>
      <c r="AG1653" t="s">
        <v>95</v>
      </c>
      <c r="AX1653" t="s">
        <v>523</v>
      </c>
      <c r="AY1653" t="s">
        <v>523</v>
      </c>
      <c r="AZ1653" t="s">
        <v>475</v>
      </c>
      <c r="BC1653">
        <v>4</v>
      </c>
      <c r="BH1653" t="s">
        <v>99</v>
      </c>
      <c r="BO1653" t="s">
        <v>111</v>
      </c>
      <c r="CD1653" t="s">
        <v>982</v>
      </c>
      <c r="CE1653">
        <v>6797</v>
      </c>
      <c r="CF1653" t="s">
        <v>983</v>
      </c>
      <c r="CG1653" t="s">
        <v>984</v>
      </c>
      <c r="CH1653">
        <v>1986</v>
      </c>
    </row>
    <row r="1654" spans="1:86" hidden="1" x14ac:dyDescent="0.25">
      <c r="A1654">
        <v>330541</v>
      </c>
      <c r="B1654" t="s">
        <v>86</v>
      </c>
      <c r="F1654">
        <v>80</v>
      </c>
      <c r="K1654" t="s">
        <v>1349</v>
      </c>
      <c r="L1654" t="s">
        <v>1350</v>
      </c>
      <c r="M1654" t="s">
        <v>1351</v>
      </c>
      <c r="V1654" t="s">
        <v>91</v>
      </c>
      <c r="W1654" t="s">
        <v>92</v>
      </c>
      <c r="X1654" t="s">
        <v>93</v>
      </c>
      <c r="Z1654" t="s">
        <v>94</v>
      </c>
      <c r="AB1654">
        <v>71</v>
      </c>
      <c r="AD1654">
        <v>61.1</v>
      </c>
      <c r="AF1654">
        <v>82.5</v>
      </c>
      <c r="AG1654" t="s">
        <v>95</v>
      </c>
      <c r="AX1654" t="s">
        <v>523</v>
      </c>
      <c r="AY1654" t="s">
        <v>523</v>
      </c>
      <c r="AZ1654" t="s">
        <v>475</v>
      </c>
      <c r="BC1654">
        <v>1</v>
      </c>
      <c r="BH1654" t="s">
        <v>99</v>
      </c>
      <c r="BO1654" t="s">
        <v>111</v>
      </c>
      <c r="CD1654" t="s">
        <v>982</v>
      </c>
      <c r="CE1654">
        <v>6797</v>
      </c>
      <c r="CF1654" t="s">
        <v>983</v>
      </c>
      <c r="CG1654" t="s">
        <v>984</v>
      </c>
      <c r="CH1654">
        <v>1986</v>
      </c>
    </row>
    <row r="1655" spans="1:86" hidden="1" x14ac:dyDescent="0.25">
      <c r="A1655">
        <v>330541</v>
      </c>
      <c r="B1655" t="s">
        <v>86</v>
      </c>
      <c r="F1655">
        <v>95</v>
      </c>
      <c r="K1655" t="s">
        <v>1349</v>
      </c>
      <c r="L1655" t="s">
        <v>1350</v>
      </c>
      <c r="M1655" t="s">
        <v>1351</v>
      </c>
      <c r="V1655" t="s">
        <v>91</v>
      </c>
      <c r="W1655" t="s">
        <v>92</v>
      </c>
      <c r="X1655" t="s">
        <v>93</v>
      </c>
      <c r="Z1655" t="s">
        <v>94</v>
      </c>
      <c r="AB1655">
        <v>7.4</v>
      </c>
      <c r="AD1655">
        <v>6.2</v>
      </c>
      <c r="AF1655">
        <v>8.6999999999999993</v>
      </c>
      <c r="AG1655" t="s">
        <v>95</v>
      </c>
      <c r="AX1655" t="s">
        <v>523</v>
      </c>
      <c r="AY1655" t="s">
        <v>523</v>
      </c>
      <c r="AZ1655" t="s">
        <v>475</v>
      </c>
      <c r="BC1655">
        <v>4</v>
      </c>
      <c r="BH1655" t="s">
        <v>99</v>
      </c>
      <c r="BO1655" t="s">
        <v>111</v>
      </c>
      <c r="CD1655" t="s">
        <v>982</v>
      </c>
      <c r="CE1655">
        <v>6797</v>
      </c>
      <c r="CF1655" t="s">
        <v>983</v>
      </c>
      <c r="CG1655" t="s">
        <v>984</v>
      </c>
      <c r="CH1655">
        <v>1986</v>
      </c>
    </row>
    <row r="1656" spans="1:86" hidden="1" x14ac:dyDescent="0.25">
      <c r="A1656">
        <v>330541</v>
      </c>
      <c r="B1656" t="s">
        <v>86</v>
      </c>
      <c r="D1656" t="s">
        <v>115</v>
      </c>
      <c r="K1656" t="s">
        <v>1352</v>
      </c>
      <c r="L1656" t="s">
        <v>1353</v>
      </c>
      <c r="M1656" t="s">
        <v>1351</v>
      </c>
      <c r="N1656" t="s">
        <v>1103</v>
      </c>
      <c r="W1656" t="s">
        <v>92</v>
      </c>
      <c r="X1656" t="s">
        <v>93</v>
      </c>
      <c r="Z1656" t="s">
        <v>94</v>
      </c>
      <c r="AB1656">
        <v>33</v>
      </c>
      <c r="AG1656" t="s">
        <v>95</v>
      </c>
      <c r="AX1656" t="s">
        <v>523</v>
      </c>
      <c r="AY1656" t="s">
        <v>523</v>
      </c>
      <c r="AZ1656" t="s">
        <v>475</v>
      </c>
      <c r="BC1656">
        <v>1</v>
      </c>
      <c r="BH1656" t="s">
        <v>99</v>
      </c>
      <c r="BO1656" t="s">
        <v>111</v>
      </c>
      <c r="CD1656" t="s">
        <v>1252</v>
      </c>
      <c r="CE1656">
        <v>876</v>
      </c>
      <c r="CF1656" t="s">
        <v>1253</v>
      </c>
      <c r="CG1656" t="s">
        <v>1254</v>
      </c>
      <c r="CH1656">
        <v>1960</v>
      </c>
    </row>
    <row r="1657" spans="1:86" hidden="1" x14ac:dyDescent="0.25">
      <c r="A1657">
        <v>330541</v>
      </c>
      <c r="B1657" t="s">
        <v>86</v>
      </c>
      <c r="F1657">
        <v>95</v>
      </c>
      <c r="K1657" t="s">
        <v>1349</v>
      </c>
      <c r="L1657" t="s">
        <v>1350</v>
      </c>
      <c r="M1657" t="s">
        <v>1351</v>
      </c>
      <c r="V1657" t="s">
        <v>91</v>
      </c>
      <c r="W1657" t="s">
        <v>92</v>
      </c>
      <c r="X1657" t="s">
        <v>93</v>
      </c>
      <c r="Z1657" t="s">
        <v>94</v>
      </c>
      <c r="AB1657">
        <v>15.5</v>
      </c>
      <c r="AD1657">
        <v>14.1</v>
      </c>
      <c r="AF1657">
        <v>17.100000000000001</v>
      </c>
      <c r="AG1657" t="s">
        <v>95</v>
      </c>
      <c r="AX1657" t="s">
        <v>523</v>
      </c>
      <c r="AY1657" t="s">
        <v>523</v>
      </c>
      <c r="AZ1657" t="s">
        <v>475</v>
      </c>
      <c r="BC1657">
        <v>1</v>
      </c>
      <c r="BH1657" t="s">
        <v>99</v>
      </c>
      <c r="BO1657" t="s">
        <v>111</v>
      </c>
      <c r="CD1657" t="s">
        <v>982</v>
      </c>
      <c r="CE1657">
        <v>6797</v>
      </c>
      <c r="CF1657" t="s">
        <v>983</v>
      </c>
      <c r="CG1657" t="s">
        <v>984</v>
      </c>
      <c r="CH1657">
        <v>1986</v>
      </c>
    </row>
    <row r="1658" spans="1:86" hidden="1" x14ac:dyDescent="0.25">
      <c r="A1658">
        <v>330541</v>
      </c>
      <c r="B1658" t="s">
        <v>86</v>
      </c>
      <c r="F1658">
        <v>95</v>
      </c>
      <c r="K1658" t="s">
        <v>1349</v>
      </c>
      <c r="L1658" t="s">
        <v>1350</v>
      </c>
      <c r="M1658" t="s">
        <v>1351</v>
      </c>
      <c r="V1658" t="s">
        <v>91</v>
      </c>
      <c r="W1658" t="s">
        <v>92</v>
      </c>
      <c r="X1658" t="s">
        <v>93</v>
      </c>
      <c r="Z1658" t="s">
        <v>94</v>
      </c>
      <c r="AB1658">
        <v>4.9000000000000004</v>
      </c>
      <c r="AD1658">
        <v>4.0999999999999996</v>
      </c>
      <c r="AF1658">
        <v>5.9</v>
      </c>
      <c r="AG1658" t="s">
        <v>95</v>
      </c>
      <c r="AX1658" t="s">
        <v>523</v>
      </c>
      <c r="AY1658" t="s">
        <v>523</v>
      </c>
      <c r="AZ1658" t="s">
        <v>475</v>
      </c>
      <c r="BC1658">
        <v>4</v>
      </c>
      <c r="BH1658" t="s">
        <v>99</v>
      </c>
      <c r="BO1658" t="s">
        <v>111</v>
      </c>
      <c r="CD1658" t="s">
        <v>982</v>
      </c>
      <c r="CE1658">
        <v>6797</v>
      </c>
      <c r="CF1658" t="s">
        <v>983</v>
      </c>
      <c r="CG1658" t="s">
        <v>984</v>
      </c>
      <c r="CH1658">
        <v>1986</v>
      </c>
    </row>
    <row r="1659" spans="1:86" hidden="1" x14ac:dyDescent="0.25">
      <c r="A1659">
        <v>330541</v>
      </c>
      <c r="B1659" t="s">
        <v>86</v>
      </c>
      <c r="F1659">
        <v>80</v>
      </c>
      <c r="K1659" t="s">
        <v>1349</v>
      </c>
      <c r="L1659" t="s">
        <v>1350</v>
      </c>
      <c r="M1659" t="s">
        <v>1351</v>
      </c>
      <c r="V1659" t="s">
        <v>91</v>
      </c>
      <c r="W1659" t="s">
        <v>92</v>
      </c>
      <c r="X1659" t="s">
        <v>93</v>
      </c>
      <c r="Z1659" t="s">
        <v>137</v>
      </c>
      <c r="AB1659">
        <v>19.600000000000001</v>
      </c>
      <c r="AG1659" t="s">
        <v>95</v>
      </c>
      <c r="AX1659" t="s">
        <v>523</v>
      </c>
      <c r="AY1659" t="s">
        <v>523</v>
      </c>
      <c r="AZ1659" t="s">
        <v>475</v>
      </c>
      <c r="BC1659">
        <v>4</v>
      </c>
      <c r="BH1659" t="s">
        <v>99</v>
      </c>
      <c r="BO1659" t="s">
        <v>111</v>
      </c>
      <c r="CD1659" t="s">
        <v>366</v>
      </c>
      <c r="CE1659">
        <v>344</v>
      </c>
      <c r="CF1659" t="s">
        <v>367</v>
      </c>
      <c r="CG1659" t="s">
        <v>368</v>
      </c>
      <c r="CH1659">
        <v>1992</v>
      </c>
    </row>
    <row r="1660" spans="1:86" hidden="1" x14ac:dyDescent="0.25">
      <c r="A1660">
        <v>330541</v>
      </c>
      <c r="B1660" t="s">
        <v>86</v>
      </c>
      <c r="F1660">
        <v>95</v>
      </c>
      <c r="K1660" t="s">
        <v>1349</v>
      </c>
      <c r="L1660" t="s">
        <v>1350</v>
      </c>
      <c r="M1660" t="s">
        <v>1351</v>
      </c>
      <c r="V1660" t="s">
        <v>91</v>
      </c>
      <c r="W1660" t="s">
        <v>92</v>
      </c>
      <c r="X1660" t="s">
        <v>93</v>
      </c>
      <c r="Z1660" t="s">
        <v>94</v>
      </c>
      <c r="AB1660">
        <v>11.5</v>
      </c>
      <c r="AD1660">
        <v>10.5</v>
      </c>
      <c r="AF1660">
        <v>12.7</v>
      </c>
      <c r="AG1660" t="s">
        <v>95</v>
      </c>
      <c r="AX1660" t="s">
        <v>523</v>
      </c>
      <c r="AY1660" t="s">
        <v>523</v>
      </c>
      <c r="AZ1660" t="s">
        <v>475</v>
      </c>
      <c r="BC1660">
        <v>1</v>
      </c>
      <c r="BH1660" t="s">
        <v>99</v>
      </c>
      <c r="BO1660" t="s">
        <v>111</v>
      </c>
      <c r="CD1660" t="s">
        <v>982</v>
      </c>
      <c r="CE1660">
        <v>6797</v>
      </c>
      <c r="CF1660" t="s">
        <v>983</v>
      </c>
      <c r="CG1660" t="s">
        <v>984</v>
      </c>
      <c r="CH1660">
        <v>1986</v>
      </c>
    </row>
    <row r="1661" spans="1:86" hidden="1" x14ac:dyDescent="0.25">
      <c r="A1661">
        <v>330541</v>
      </c>
      <c r="B1661" t="s">
        <v>86</v>
      </c>
      <c r="F1661">
        <v>95</v>
      </c>
      <c r="K1661" t="s">
        <v>1349</v>
      </c>
      <c r="L1661" t="s">
        <v>1350</v>
      </c>
      <c r="M1661" t="s">
        <v>1351</v>
      </c>
      <c r="V1661" t="s">
        <v>91</v>
      </c>
      <c r="W1661" t="s">
        <v>92</v>
      </c>
      <c r="X1661" t="s">
        <v>93</v>
      </c>
      <c r="Z1661" t="s">
        <v>94</v>
      </c>
      <c r="AB1661">
        <v>13.4</v>
      </c>
      <c r="AD1661">
        <v>10.7</v>
      </c>
      <c r="AF1661">
        <v>16.7</v>
      </c>
      <c r="AG1661" t="s">
        <v>95</v>
      </c>
      <c r="AX1661" t="s">
        <v>523</v>
      </c>
      <c r="AY1661" t="s">
        <v>523</v>
      </c>
      <c r="AZ1661" t="s">
        <v>475</v>
      </c>
      <c r="BC1661">
        <v>4</v>
      </c>
      <c r="BH1661" t="s">
        <v>99</v>
      </c>
      <c r="BO1661" t="s">
        <v>111</v>
      </c>
      <c r="CD1661" t="s">
        <v>982</v>
      </c>
      <c r="CE1661">
        <v>6797</v>
      </c>
      <c r="CF1661" t="s">
        <v>983</v>
      </c>
      <c r="CG1661" t="s">
        <v>984</v>
      </c>
      <c r="CH1661">
        <v>1986</v>
      </c>
    </row>
    <row r="1662" spans="1:86" hidden="1" x14ac:dyDescent="0.25">
      <c r="A1662">
        <v>330541</v>
      </c>
      <c r="B1662" t="s">
        <v>86</v>
      </c>
      <c r="F1662">
        <v>95</v>
      </c>
      <c r="K1662" t="s">
        <v>1349</v>
      </c>
      <c r="L1662" t="s">
        <v>1350</v>
      </c>
      <c r="M1662" t="s">
        <v>1351</v>
      </c>
      <c r="V1662" t="s">
        <v>91</v>
      </c>
      <c r="W1662" t="s">
        <v>92</v>
      </c>
      <c r="X1662" t="s">
        <v>93</v>
      </c>
      <c r="Z1662" t="s">
        <v>94</v>
      </c>
      <c r="AB1662">
        <v>4.2</v>
      </c>
      <c r="AD1662">
        <v>3.1</v>
      </c>
      <c r="AF1662">
        <v>5.6</v>
      </c>
      <c r="AG1662" t="s">
        <v>95</v>
      </c>
      <c r="AX1662" t="s">
        <v>523</v>
      </c>
      <c r="AY1662" t="s">
        <v>523</v>
      </c>
      <c r="AZ1662" t="s">
        <v>475</v>
      </c>
      <c r="BC1662">
        <v>4</v>
      </c>
      <c r="BH1662" t="s">
        <v>99</v>
      </c>
      <c r="BO1662" t="s">
        <v>111</v>
      </c>
      <c r="CD1662" t="s">
        <v>982</v>
      </c>
      <c r="CE1662">
        <v>6797</v>
      </c>
      <c r="CF1662" t="s">
        <v>983</v>
      </c>
      <c r="CG1662" t="s">
        <v>984</v>
      </c>
      <c r="CH1662">
        <v>1986</v>
      </c>
    </row>
    <row r="1663" spans="1:86" hidden="1" x14ac:dyDescent="0.25">
      <c r="A1663">
        <v>330541</v>
      </c>
      <c r="B1663" t="s">
        <v>86</v>
      </c>
      <c r="D1663" t="s">
        <v>115</v>
      </c>
      <c r="K1663" t="s">
        <v>1349</v>
      </c>
      <c r="L1663" t="s">
        <v>1350</v>
      </c>
      <c r="M1663" t="s">
        <v>1351</v>
      </c>
      <c r="N1663" t="s">
        <v>1000</v>
      </c>
      <c r="V1663" t="s">
        <v>507</v>
      </c>
      <c r="W1663" t="s">
        <v>92</v>
      </c>
      <c r="X1663" t="s">
        <v>93</v>
      </c>
      <c r="Y1663">
        <v>6</v>
      </c>
      <c r="Z1663" t="s">
        <v>137</v>
      </c>
      <c r="AB1663">
        <v>0.23</v>
      </c>
      <c r="AD1663">
        <v>8.8999999999999999E-3</v>
      </c>
      <c r="AF1663">
        <v>0.59</v>
      </c>
      <c r="AG1663" t="s">
        <v>95</v>
      </c>
      <c r="AX1663" t="s">
        <v>523</v>
      </c>
      <c r="AY1663" t="s">
        <v>523</v>
      </c>
      <c r="AZ1663" t="s">
        <v>475</v>
      </c>
      <c r="BC1663">
        <v>28</v>
      </c>
      <c r="BH1663" t="s">
        <v>99</v>
      </c>
      <c r="BO1663" t="s">
        <v>111</v>
      </c>
      <c r="CD1663" t="s">
        <v>1354</v>
      </c>
      <c r="CE1663">
        <v>65852</v>
      </c>
      <c r="CF1663" t="s">
        <v>1355</v>
      </c>
      <c r="CG1663" t="s">
        <v>1356</v>
      </c>
      <c r="CH1663">
        <v>2002</v>
      </c>
    </row>
    <row r="1664" spans="1:86" hidden="1" x14ac:dyDescent="0.25">
      <c r="A1664">
        <v>330541</v>
      </c>
      <c r="B1664" t="s">
        <v>86</v>
      </c>
      <c r="F1664">
        <v>95</v>
      </c>
      <c r="K1664" t="s">
        <v>1349</v>
      </c>
      <c r="L1664" t="s">
        <v>1350</v>
      </c>
      <c r="M1664" t="s">
        <v>1351</v>
      </c>
      <c r="V1664" t="s">
        <v>91</v>
      </c>
      <c r="W1664" t="s">
        <v>92</v>
      </c>
      <c r="X1664" t="s">
        <v>93</v>
      </c>
      <c r="Z1664" t="s">
        <v>94</v>
      </c>
      <c r="AB1664">
        <v>12.5</v>
      </c>
      <c r="AD1664">
        <v>11.5</v>
      </c>
      <c r="AF1664">
        <v>13.6</v>
      </c>
      <c r="AG1664" t="s">
        <v>95</v>
      </c>
      <c r="AX1664" t="s">
        <v>523</v>
      </c>
      <c r="AY1664" t="s">
        <v>523</v>
      </c>
      <c r="AZ1664" t="s">
        <v>475</v>
      </c>
      <c r="BC1664">
        <v>1</v>
      </c>
      <c r="BH1664" t="s">
        <v>99</v>
      </c>
      <c r="BO1664" t="s">
        <v>111</v>
      </c>
      <c r="CD1664" t="s">
        <v>982</v>
      </c>
      <c r="CE1664">
        <v>6797</v>
      </c>
      <c r="CF1664" t="s">
        <v>983</v>
      </c>
      <c r="CG1664" t="s">
        <v>984</v>
      </c>
      <c r="CH1664">
        <v>1986</v>
      </c>
    </row>
    <row r="1665" spans="1:86" hidden="1" x14ac:dyDescent="0.25">
      <c r="A1665">
        <v>330541</v>
      </c>
      <c r="B1665" t="s">
        <v>86</v>
      </c>
      <c r="F1665">
        <v>95</v>
      </c>
      <c r="K1665" t="s">
        <v>1349</v>
      </c>
      <c r="L1665" t="s">
        <v>1350</v>
      </c>
      <c r="M1665" t="s">
        <v>1351</v>
      </c>
      <c r="V1665" t="s">
        <v>91</v>
      </c>
      <c r="W1665" t="s">
        <v>92</v>
      </c>
      <c r="X1665" t="s">
        <v>93</v>
      </c>
      <c r="Z1665" t="s">
        <v>94</v>
      </c>
      <c r="AB1665">
        <v>5.3</v>
      </c>
      <c r="AD1665">
        <v>5.0999999999999996</v>
      </c>
      <c r="AF1665">
        <v>5.7</v>
      </c>
      <c r="AG1665" t="s">
        <v>95</v>
      </c>
      <c r="AX1665" t="s">
        <v>523</v>
      </c>
      <c r="AY1665" t="s">
        <v>523</v>
      </c>
      <c r="AZ1665" t="s">
        <v>475</v>
      </c>
      <c r="BC1665">
        <v>4</v>
      </c>
      <c r="BH1665" t="s">
        <v>99</v>
      </c>
      <c r="BO1665" t="s">
        <v>111</v>
      </c>
      <c r="CD1665" t="s">
        <v>982</v>
      </c>
      <c r="CE1665">
        <v>6797</v>
      </c>
      <c r="CF1665" t="s">
        <v>983</v>
      </c>
      <c r="CG1665" t="s">
        <v>984</v>
      </c>
      <c r="CH1665">
        <v>1986</v>
      </c>
    </row>
    <row r="1666" spans="1:86" hidden="1" x14ac:dyDescent="0.25">
      <c r="A1666">
        <v>330541</v>
      </c>
      <c r="B1666" t="s">
        <v>86</v>
      </c>
      <c r="F1666">
        <v>80</v>
      </c>
      <c r="K1666" t="s">
        <v>1349</v>
      </c>
      <c r="L1666" t="s">
        <v>1350</v>
      </c>
      <c r="M1666" t="s">
        <v>1351</v>
      </c>
      <c r="V1666" t="s">
        <v>91</v>
      </c>
      <c r="W1666" t="s">
        <v>92</v>
      </c>
      <c r="X1666" t="s">
        <v>93</v>
      </c>
      <c r="Z1666" t="s">
        <v>94</v>
      </c>
      <c r="AB1666">
        <v>16</v>
      </c>
      <c r="AD1666">
        <v>11.3</v>
      </c>
      <c r="AF1666">
        <v>22.7</v>
      </c>
      <c r="AG1666" t="s">
        <v>95</v>
      </c>
      <c r="AX1666" t="s">
        <v>523</v>
      </c>
      <c r="AY1666" t="s">
        <v>523</v>
      </c>
      <c r="AZ1666" t="s">
        <v>475</v>
      </c>
      <c r="BC1666">
        <v>4</v>
      </c>
      <c r="BH1666" t="s">
        <v>99</v>
      </c>
      <c r="BO1666" t="s">
        <v>111</v>
      </c>
      <c r="CD1666" t="s">
        <v>982</v>
      </c>
      <c r="CE1666">
        <v>6797</v>
      </c>
      <c r="CF1666" t="s">
        <v>983</v>
      </c>
      <c r="CG1666" t="s">
        <v>984</v>
      </c>
      <c r="CH1666">
        <v>1986</v>
      </c>
    </row>
    <row r="1667" spans="1:86" hidden="1" x14ac:dyDescent="0.25">
      <c r="A1667">
        <v>330541</v>
      </c>
      <c r="B1667" t="s">
        <v>86</v>
      </c>
      <c r="F1667">
        <v>95</v>
      </c>
      <c r="K1667" t="s">
        <v>1349</v>
      </c>
      <c r="L1667" t="s">
        <v>1350</v>
      </c>
      <c r="M1667" t="s">
        <v>1351</v>
      </c>
      <c r="V1667" t="s">
        <v>91</v>
      </c>
      <c r="W1667" t="s">
        <v>92</v>
      </c>
      <c r="X1667" t="s">
        <v>93</v>
      </c>
      <c r="Z1667" t="s">
        <v>94</v>
      </c>
      <c r="AB1667">
        <v>7.7</v>
      </c>
      <c r="AD1667">
        <v>6.8</v>
      </c>
      <c r="AF1667">
        <v>8.9</v>
      </c>
      <c r="AG1667" t="s">
        <v>95</v>
      </c>
      <c r="AX1667" t="s">
        <v>523</v>
      </c>
      <c r="AY1667" t="s">
        <v>523</v>
      </c>
      <c r="AZ1667" t="s">
        <v>475</v>
      </c>
      <c r="BC1667">
        <v>4</v>
      </c>
      <c r="BH1667" t="s">
        <v>99</v>
      </c>
      <c r="BO1667" t="s">
        <v>111</v>
      </c>
      <c r="CD1667" t="s">
        <v>982</v>
      </c>
      <c r="CE1667">
        <v>6797</v>
      </c>
      <c r="CF1667" t="s">
        <v>983</v>
      </c>
      <c r="CG1667" t="s">
        <v>984</v>
      </c>
      <c r="CH1667">
        <v>1986</v>
      </c>
    </row>
    <row r="1668" spans="1:86" hidden="1" x14ac:dyDescent="0.25">
      <c r="A1668">
        <v>330541</v>
      </c>
      <c r="B1668" t="s">
        <v>86</v>
      </c>
      <c r="F1668">
        <v>95</v>
      </c>
      <c r="K1668" t="s">
        <v>1349</v>
      </c>
      <c r="L1668" t="s">
        <v>1350</v>
      </c>
      <c r="M1668" t="s">
        <v>1351</v>
      </c>
      <c r="V1668" t="s">
        <v>91</v>
      </c>
      <c r="W1668" t="s">
        <v>92</v>
      </c>
      <c r="X1668" t="s">
        <v>93</v>
      </c>
      <c r="Z1668" t="s">
        <v>94</v>
      </c>
      <c r="AB1668">
        <v>3.5</v>
      </c>
      <c r="AD1668">
        <v>2.7</v>
      </c>
      <c r="AF1668">
        <v>4.4000000000000004</v>
      </c>
      <c r="AG1668" t="s">
        <v>95</v>
      </c>
      <c r="AX1668" t="s">
        <v>523</v>
      </c>
      <c r="AY1668" t="s">
        <v>523</v>
      </c>
      <c r="AZ1668" t="s">
        <v>475</v>
      </c>
      <c r="BC1668">
        <v>4</v>
      </c>
      <c r="BH1668" t="s">
        <v>99</v>
      </c>
      <c r="BO1668" t="s">
        <v>111</v>
      </c>
      <c r="CD1668" t="s">
        <v>982</v>
      </c>
      <c r="CE1668">
        <v>6797</v>
      </c>
      <c r="CF1668" t="s">
        <v>983</v>
      </c>
      <c r="CG1668" t="s">
        <v>984</v>
      </c>
      <c r="CH1668">
        <v>1986</v>
      </c>
    </row>
    <row r="1669" spans="1:86" hidden="1" x14ac:dyDescent="0.25">
      <c r="A1669">
        <v>330541</v>
      </c>
      <c r="B1669" t="s">
        <v>86</v>
      </c>
      <c r="F1669">
        <v>95</v>
      </c>
      <c r="K1669" t="s">
        <v>1349</v>
      </c>
      <c r="L1669" t="s">
        <v>1350</v>
      </c>
      <c r="M1669" t="s">
        <v>1351</v>
      </c>
      <c r="V1669" t="s">
        <v>91</v>
      </c>
      <c r="W1669" t="s">
        <v>92</v>
      </c>
      <c r="X1669" t="s">
        <v>93</v>
      </c>
      <c r="Z1669" t="s">
        <v>94</v>
      </c>
      <c r="AB1669">
        <v>6.2</v>
      </c>
      <c r="AD1669">
        <v>5.8</v>
      </c>
      <c r="AF1669">
        <v>6.6</v>
      </c>
      <c r="AG1669" t="s">
        <v>95</v>
      </c>
      <c r="AX1669" t="s">
        <v>523</v>
      </c>
      <c r="AY1669" t="s">
        <v>523</v>
      </c>
      <c r="AZ1669" t="s">
        <v>475</v>
      </c>
      <c r="BC1669">
        <v>4</v>
      </c>
      <c r="BH1669" t="s">
        <v>99</v>
      </c>
      <c r="BO1669" t="s">
        <v>111</v>
      </c>
      <c r="CD1669" t="s">
        <v>982</v>
      </c>
      <c r="CE1669">
        <v>6797</v>
      </c>
      <c r="CF1669" t="s">
        <v>983</v>
      </c>
      <c r="CG1669" t="s">
        <v>984</v>
      </c>
      <c r="CH1669">
        <v>1986</v>
      </c>
    </row>
    <row r="1670" spans="1:86" hidden="1" x14ac:dyDescent="0.25">
      <c r="A1670">
        <v>330541</v>
      </c>
      <c r="B1670" t="s">
        <v>86</v>
      </c>
      <c r="F1670">
        <v>95</v>
      </c>
      <c r="K1670" t="s">
        <v>1352</v>
      </c>
      <c r="L1670" t="s">
        <v>1353</v>
      </c>
      <c r="M1670" t="s">
        <v>1351</v>
      </c>
      <c r="V1670" t="s">
        <v>91</v>
      </c>
      <c r="W1670" t="s">
        <v>92</v>
      </c>
      <c r="X1670" t="s">
        <v>93</v>
      </c>
      <c r="Z1670" t="s">
        <v>94</v>
      </c>
      <c r="AA1670" t="s">
        <v>234</v>
      </c>
      <c r="AB1670">
        <v>2.4</v>
      </c>
      <c r="AG1670" t="s">
        <v>95</v>
      </c>
      <c r="AX1670" t="s">
        <v>523</v>
      </c>
      <c r="AY1670" t="s">
        <v>523</v>
      </c>
      <c r="AZ1670" t="s">
        <v>475</v>
      </c>
      <c r="BC1670">
        <v>4</v>
      </c>
      <c r="BH1670" t="s">
        <v>99</v>
      </c>
      <c r="BO1670" t="s">
        <v>111</v>
      </c>
      <c r="CD1670" t="s">
        <v>982</v>
      </c>
      <c r="CE1670">
        <v>6797</v>
      </c>
      <c r="CF1670" t="s">
        <v>983</v>
      </c>
      <c r="CG1670" t="s">
        <v>984</v>
      </c>
      <c r="CH1670">
        <v>1986</v>
      </c>
    </row>
    <row r="1671" spans="1:86" hidden="1" x14ac:dyDescent="0.25">
      <c r="A1671">
        <v>330541</v>
      </c>
      <c r="B1671" t="s">
        <v>86</v>
      </c>
      <c r="D1671" t="s">
        <v>115</v>
      </c>
      <c r="K1671" t="s">
        <v>1352</v>
      </c>
      <c r="L1671" t="s">
        <v>1353</v>
      </c>
      <c r="M1671" t="s">
        <v>1351</v>
      </c>
      <c r="N1671" t="s">
        <v>1103</v>
      </c>
      <c r="W1671" t="s">
        <v>92</v>
      </c>
      <c r="X1671" t="s">
        <v>93</v>
      </c>
      <c r="Z1671" t="s">
        <v>94</v>
      </c>
      <c r="AB1671">
        <v>16</v>
      </c>
      <c r="AG1671" t="s">
        <v>95</v>
      </c>
      <c r="AX1671" t="s">
        <v>523</v>
      </c>
      <c r="AY1671" t="s">
        <v>523</v>
      </c>
      <c r="AZ1671" t="s">
        <v>475</v>
      </c>
      <c r="BC1671">
        <v>2</v>
      </c>
      <c r="BH1671" t="s">
        <v>99</v>
      </c>
      <c r="BO1671" t="s">
        <v>111</v>
      </c>
      <c r="CD1671" t="s">
        <v>1252</v>
      </c>
      <c r="CE1671">
        <v>876</v>
      </c>
      <c r="CF1671" t="s">
        <v>1253</v>
      </c>
      <c r="CG1671" t="s">
        <v>1254</v>
      </c>
      <c r="CH1671">
        <v>1960</v>
      </c>
    </row>
    <row r="1672" spans="1:86" hidden="1" x14ac:dyDescent="0.25">
      <c r="A1672">
        <v>330541</v>
      </c>
      <c r="B1672" t="s">
        <v>86</v>
      </c>
      <c r="F1672">
        <v>95</v>
      </c>
      <c r="K1672" t="s">
        <v>1349</v>
      </c>
      <c r="L1672" t="s">
        <v>1350</v>
      </c>
      <c r="M1672" t="s">
        <v>1351</v>
      </c>
      <c r="V1672" t="s">
        <v>91</v>
      </c>
      <c r="W1672" t="s">
        <v>92</v>
      </c>
      <c r="X1672" t="s">
        <v>93</v>
      </c>
      <c r="Z1672" t="s">
        <v>94</v>
      </c>
      <c r="AB1672">
        <v>8.4</v>
      </c>
      <c r="AD1672">
        <v>7.9</v>
      </c>
      <c r="AF1672">
        <v>9.1</v>
      </c>
      <c r="AG1672" t="s">
        <v>95</v>
      </c>
      <c r="AX1672" t="s">
        <v>523</v>
      </c>
      <c r="AY1672" t="s">
        <v>523</v>
      </c>
      <c r="AZ1672" t="s">
        <v>475</v>
      </c>
      <c r="BC1672">
        <v>1</v>
      </c>
      <c r="BH1672" t="s">
        <v>99</v>
      </c>
      <c r="BO1672" t="s">
        <v>111</v>
      </c>
      <c r="CD1672" t="s">
        <v>982</v>
      </c>
      <c r="CE1672">
        <v>6797</v>
      </c>
      <c r="CF1672" t="s">
        <v>983</v>
      </c>
      <c r="CG1672" t="s">
        <v>984</v>
      </c>
      <c r="CH1672">
        <v>1986</v>
      </c>
    </row>
    <row r="1673" spans="1:86" hidden="1" x14ac:dyDescent="0.25">
      <c r="A1673">
        <v>330541</v>
      </c>
      <c r="B1673" t="s">
        <v>86</v>
      </c>
      <c r="F1673">
        <v>95</v>
      </c>
      <c r="K1673" t="s">
        <v>1352</v>
      </c>
      <c r="L1673" t="s">
        <v>1353</v>
      </c>
      <c r="M1673" t="s">
        <v>1351</v>
      </c>
      <c r="V1673" t="s">
        <v>91</v>
      </c>
      <c r="W1673" t="s">
        <v>92</v>
      </c>
      <c r="X1673" t="s">
        <v>93</v>
      </c>
      <c r="Z1673" t="s">
        <v>94</v>
      </c>
      <c r="AB1673">
        <v>11</v>
      </c>
      <c r="AG1673" t="s">
        <v>95</v>
      </c>
      <c r="AX1673" t="s">
        <v>523</v>
      </c>
      <c r="AY1673" t="s">
        <v>523</v>
      </c>
      <c r="AZ1673" t="s">
        <v>475</v>
      </c>
      <c r="BC1673">
        <v>1</v>
      </c>
      <c r="BH1673" t="s">
        <v>99</v>
      </c>
      <c r="BO1673" t="s">
        <v>111</v>
      </c>
      <c r="CD1673" t="s">
        <v>982</v>
      </c>
      <c r="CE1673">
        <v>6797</v>
      </c>
      <c r="CF1673" t="s">
        <v>983</v>
      </c>
      <c r="CG1673" t="s">
        <v>984</v>
      </c>
      <c r="CH1673">
        <v>1986</v>
      </c>
    </row>
    <row r="1674" spans="1:86" hidden="1" x14ac:dyDescent="0.25">
      <c r="A1674">
        <v>330541</v>
      </c>
      <c r="B1674" t="s">
        <v>86</v>
      </c>
      <c r="D1674" t="s">
        <v>115</v>
      </c>
      <c r="K1674" t="s">
        <v>1349</v>
      </c>
      <c r="L1674" t="s">
        <v>1350</v>
      </c>
      <c r="M1674" t="s">
        <v>1351</v>
      </c>
      <c r="W1674" t="s">
        <v>92</v>
      </c>
      <c r="X1674" t="s">
        <v>93</v>
      </c>
      <c r="Z1674" t="s">
        <v>137</v>
      </c>
      <c r="AB1674">
        <v>4.3</v>
      </c>
      <c r="AG1674" t="s">
        <v>95</v>
      </c>
      <c r="AX1674" t="s">
        <v>523</v>
      </c>
      <c r="AY1674" t="s">
        <v>523</v>
      </c>
      <c r="AZ1674" t="s">
        <v>475</v>
      </c>
      <c r="BC1674">
        <v>2</v>
      </c>
      <c r="BH1674" t="s">
        <v>99</v>
      </c>
      <c r="BO1674" t="s">
        <v>111</v>
      </c>
      <c r="CD1674" t="s">
        <v>1299</v>
      </c>
      <c r="CE1674">
        <v>70421</v>
      </c>
      <c r="CF1674" t="s">
        <v>1300</v>
      </c>
      <c r="CG1674" t="s">
        <v>1301</v>
      </c>
      <c r="CH1674">
        <v>1974</v>
      </c>
    </row>
    <row r="1675" spans="1:86" hidden="1" x14ac:dyDescent="0.25">
      <c r="A1675">
        <v>330541</v>
      </c>
      <c r="B1675" t="s">
        <v>86</v>
      </c>
      <c r="D1675" t="s">
        <v>115</v>
      </c>
      <c r="K1675" t="s">
        <v>1349</v>
      </c>
      <c r="L1675" t="s">
        <v>1350</v>
      </c>
      <c r="M1675" t="s">
        <v>1351</v>
      </c>
      <c r="N1675" t="s">
        <v>1271</v>
      </c>
      <c r="V1675" t="s">
        <v>272</v>
      </c>
      <c r="W1675" t="s">
        <v>220</v>
      </c>
      <c r="X1675" t="s">
        <v>93</v>
      </c>
      <c r="Y1675">
        <v>2</v>
      </c>
      <c r="Z1675" t="s">
        <v>137</v>
      </c>
      <c r="AB1675">
        <v>2.330972</v>
      </c>
      <c r="AG1675" t="s">
        <v>95</v>
      </c>
      <c r="AX1675" t="s">
        <v>282</v>
      </c>
      <c r="AY1675" t="s">
        <v>1183</v>
      </c>
      <c r="AZ1675" t="s">
        <v>586</v>
      </c>
      <c r="BA1675" t="s">
        <v>1208</v>
      </c>
      <c r="BC1675">
        <v>6.25E-2</v>
      </c>
      <c r="BH1675" t="s">
        <v>99</v>
      </c>
      <c r="BO1675" t="s">
        <v>111</v>
      </c>
      <c r="CD1675" t="s">
        <v>1357</v>
      </c>
      <c r="CE1675">
        <v>180865</v>
      </c>
      <c r="CF1675" t="s">
        <v>1358</v>
      </c>
      <c r="CG1675" t="s">
        <v>1359</v>
      </c>
      <c r="CH1675">
        <v>2006</v>
      </c>
    </row>
    <row r="1676" spans="1:86" hidden="1" x14ac:dyDescent="0.25">
      <c r="A1676">
        <v>330541</v>
      </c>
      <c r="B1676" t="s">
        <v>86</v>
      </c>
      <c r="D1676" t="s">
        <v>115</v>
      </c>
      <c r="K1676" t="s">
        <v>1349</v>
      </c>
      <c r="L1676" t="s">
        <v>1350</v>
      </c>
      <c r="M1676" t="s">
        <v>1351</v>
      </c>
      <c r="N1676" t="s">
        <v>1271</v>
      </c>
      <c r="V1676" t="s">
        <v>272</v>
      </c>
      <c r="W1676" t="s">
        <v>220</v>
      </c>
      <c r="X1676" t="s">
        <v>93</v>
      </c>
      <c r="Y1676">
        <v>2</v>
      </c>
      <c r="Z1676" t="s">
        <v>137</v>
      </c>
      <c r="AB1676">
        <v>2.330972</v>
      </c>
      <c r="AG1676" t="s">
        <v>95</v>
      </c>
      <c r="AX1676" t="s">
        <v>282</v>
      </c>
      <c r="AY1676" t="s">
        <v>1183</v>
      </c>
      <c r="AZ1676" t="s">
        <v>586</v>
      </c>
      <c r="BA1676" t="s">
        <v>1184</v>
      </c>
      <c r="BC1676">
        <v>6.25E-2</v>
      </c>
      <c r="BH1676" t="s">
        <v>99</v>
      </c>
      <c r="BO1676" t="s">
        <v>111</v>
      </c>
      <c r="CD1676" t="s">
        <v>1357</v>
      </c>
      <c r="CE1676">
        <v>180865</v>
      </c>
      <c r="CF1676" t="s">
        <v>1358</v>
      </c>
      <c r="CG1676" t="s">
        <v>1359</v>
      </c>
      <c r="CH1676">
        <v>2006</v>
      </c>
    </row>
    <row r="1677" spans="1:86" hidden="1" x14ac:dyDescent="0.25">
      <c r="A1677">
        <v>330541</v>
      </c>
      <c r="B1677" t="s">
        <v>86</v>
      </c>
      <c r="C1677" t="s">
        <v>183</v>
      </c>
      <c r="D1677" t="s">
        <v>115</v>
      </c>
      <c r="E1677" t="s">
        <v>106</v>
      </c>
      <c r="F1677">
        <v>97</v>
      </c>
      <c r="K1677" t="s">
        <v>1360</v>
      </c>
      <c r="L1677" t="s">
        <v>1361</v>
      </c>
      <c r="M1677" t="s">
        <v>1362</v>
      </c>
      <c r="O1677" t="s">
        <v>106</v>
      </c>
      <c r="P1677">
        <v>1</v>
      </c>
      <c r="U1677" t="s">
        <v>1345</v>
      </c>
      <c r="V1677" t="s">
        <v>257</v>
      </c>
      <c r="W1677" t="s">
        <v>92</v>
      </c>
      <c r="X1677" t="s">
        <v>93</v>
      </c>
      <c r="Z1677" t="s">
        <v>94</v>
      </c>
      <c r="AB1677">
        <v>44</v>
      </c>
      <c r="AD1677">
        <v>37</v>
      </c>
      <c r="AF1677">
        <v>51</v>
      </c>
      <c r="AG1677" t="s">
        <v>95</v>
      </c>
      <c r="AX1677" t="s">
        <v>523</v>
      </c>
      <c r="AY1677" t="s">
        <v>523</v>
      </c>
      <c r="AZ1677" t="s">
        <v>475</v>
      </c>
      <c r="BC1677">
        <v>2</v>
      </c>
      <c r="BH1677" t="s">
        <v>99</v>
      </c>
      <c r="BO1677" t="s">
        <v>111</v>
      </c>
      <c r="CD1677" t="s">
        <v>1363</v>
      </c>
      <c r="CE1677">
        <v>575</v>
      </c>
      <c r="CF1677" t="s">
        <v>1364</v>
      </c>
      <c r="CG1677" t="s">
        <v>1365</v>
      </c>
      <c r="CH1677">
        <v>1980</v>
      </c>
    </row>
    <row r="1678" spans="1:86" hidden="1" x14ac:dyDescent="0.25">
      <c r="A1678">
        <v>330541</v>
      </c>
      <c r="B1678" t="s">
        <v>86</v>
      </c>
      <c r="C1678" t="s">
        <v>183</v>
      </c>
      <c r="D1678" t="s">
        <v>115</v>
      </c>
      <c r="E1678" t="s">
        <v>106</v>
      </c>
      <c r="F1678">
        <v>97</v>
      </c>
      <c r="K1678" t="s">
        <v>1360</v>
      </c>
      <c r="L1678" t="s">
        <v>1361</v>
      </c>
      <c r="M1678" t="s">
        <v>1362</v>
      </c>
      <c r="O1678" t="s">
        <v>106</v>
      </c>
      <c r="P1678">
        <v>1</v>
      </c>
      <c r="U1678" t="s">
        <v>1345</v>
      </c>
      <c r="V1678" t="s">
        <v>257</v>
      </c>
      <c r="W1678" t="s">
        <v>92</v>
      </c>
      <c r="X1678" t="s">
        <v>93</v>
      </c>
      <c r="Z1678" t="s">
        <v>94</v>
      </c>
      <c r="AB1678">
        <v>31</v>
      </c>
      <c r="AD1678">
        <v>28</v>
      </c>
      <c r="AF1678">
        <v>34</v>
      </c>
      <c r="AG1678" t="s">
        <v>95</v>
      </c>
      <c r="AX1678" t="s">
        <v>523</v>
      </c>
      <c r="AY1678" t="s">
        <v>523</v>
      </c>
      <c r="AZ1678" t="s">
        <v>475</v>
      </c>
      <c r="BC1678">
        <v>4</v>
      </c>
      <c r="BH1678" t="s">
        <v>99</v>
      </c>
      <c r="BO1678" t="s">
        <v>111</v>
      </c>
      <c r="CD1678" t="s">
        <v>1363</v>
      </c>
      <c r="CE1678">
        <v>575</v>
      </c>
      <c r="CF1678" t="s">
        <v>1364</v>
      </c>
      <c r="CG1678" t="s">
        <v>1365</v>
      </c>
      <c r="CH1678">
        <v>1980</v>
      </c>
    </row>
    <row r="1679" spans="1:86" hidden="1" x14ac:dyDescent="0.25">
      <c r="A1679">
        <v>330541</v>
      </c>
      <c r="B1679" t="s">
        <v>86</v>
      </c>
      <c r="C1679" t="s">
        <v>183</v>
      </c>
      <c r="D1679" t="s">
        <v>115</v>
      </c>
      <c r="E1679" t="s">
        <v>106</v>
      </c>
      <c r="F1679">
        <v>97</v>
      </c>
      <c r="K1679" t="s">
        <v>1360</v>
      </c>
      <c r="L1679" t="s">
        <v>1361</v>
      </c>
      <c r="M1679" t="s">
        <v>1362</v>
      </c>
      <c r="O1679" t="s">
        <v>106</v>
      </c>
      <c r="P1679">
        <v>1</v>
      </c>
      <c r="U1679" t="s">
        <v>1345</v>
      </c>
      <c r="V1679" t="s">
        <v>257</v>
      </c>
      <c r="W1679" t="s">
        <v>92</v>
      </c>
      <c r="X1679" t="s">
        <v>93</v>
      </c>
      <c r="Z1679" t="s">
        <v>94</v>
      </c>
      <c r="AB1679">
        <v>47</v>
      </c>
      <c r="AD1679">
        <v>40</v>
      </c>
      <c r="AF1679">
        <v>55</v>
      </c>
      <c r="AG1679" t="s">
        <v>95</v>
      </c>
      <c r="AX1679" t="s">
        <v>523</v>
      </c>
      <c r="AY1679" t="s">
        <v>523</v>
      </c>
      <c r="AZ1679" t="s">
        <v>475</v>
      </c>
      <c r="BC1679">
        <v>1</v>
      </c>
      <c r="BH1679" t="s">
        <v>99</v>
      </c>
      <c r="BO1679" t="s">
        <v>111</v>
      </c>
      <c r="CD1679" t="s">
        <v>1363</v>
      </c>
      <c r="CE1679">
        <v>575</v>
      </c>
      <c r="CF1679" t="s">
        <v>1364</v>
      </c>
      <c r="CG1679" t="s">
        <v>1365</v>
      </c>
      <c r="CH1679">
        <v>1980</v>
      </c>
    </row>
    <row r="1680" spans="1:86" hidden="1" x14ac:dyDescent="0.25">
      <c r="A1680">
        <v>330541</v>
      </c>
      <c r="B1680" t="s">
        <v>86</v>
      </c>
      <c r="D1680" t="s">
        <v>115</v>
      </c>
      <c r="K1680" t="s">
        <v>1366</v>
      </c>
      <c r="L1680" t="s">
        <v>1367</v>
      </c>
      <c r="M1680" t="s">
        <v>1368</v>
      </c>
      <c r="V1680" t="s">
        <v>91</v>
      </c>
      <c r="W1680" t="s">
        <v>92</v>
      </c>
      <c r="X1680" t="s">
        <v>93</v>
      </c>
      <c r="Y1680">
        <v>8</v>
      </c>
      <c r="Z1680" t="s">
        <v>137</v>
      </c>
      <c r="AB1680">
        <v>1.5E-3</v>
      </c>
      <c r="AD1680">
        <v>1.2999999999999999E-3</v>
      </c>
      <c r="AF1680">
        <v>1.6999999999999999E-3</v>
      </c>
      <c r="AG1680" t="s">
        <v>95</v>
      </c>
      <c r="AX1680" t="s">
        <v>108</v>
      </c>
      <c r="AY1680" t="s">
        <v>120</v>
      </c>
      <c r="AZ1680" t="s">
        <v>138</v>
      </c>
      <c r="BC1680">
        <v>3</v>
      </c>
      <c r="BH1680" t="s">
        <v>99</v>
      </c>
      <c r="BO1680" t="s">
        <v>111</v>
      </c>
      <c r="CD1680" t="s">
        <v>1369</v>
      </c>
      <c r="CE1680">
        <v>174511</v>
      </c>
      <c r="CF1680" t="s">
        <v>1370</v>
      </c>
      <c r="CG1680" t="s">
        <v>1371</v>
      </c>
      <c r="CH1680">
        <v>2017</v>
      </c>
    </row>
    <row r="1681" spans="1:86" hidden="1" x14ac:dyDescent="0.25">
      <c r="A1681">
        <v>330541</v>
      </c>
      <c r="B1681" t="s">
        <v>86</v>
      </c>
      <c r="D1681" t="s">
        <v>115</v>
      </c>
      <c r="K1681" t="s">
        <v>1366</v>
      </c>
      <c r="L1681" t="s">
        <v>1367</v>
      </c>
      <c r="M1681" t="s">
        <v>1368</v>
      </c>
      <c r="V1681" t="s">
        <v>91</v>
      </c>
      <c r="W1681" t="s">
        <v>92</v>
      </c>
      <c r="X1681" t="s">
        <v>93</v>
      </c>
      <c r="Y1681">
        <v>8</v>
      </c>
      <c r="Z1681" t="s">
        <v>137</v>
      </c>
      <c r="AB1681">
        <v>5.8999999999999999E-3</v>
      </c>
      <c r="AD1681">
        <v>2.7000000000000001E-3</v>
      </c>
      <c r="AF1681">
        <v>9.4999999999999998E-3</v>
      </c>
      <c r="AG1681" t="s">
        <v>95</v>
      </c>
      <c r="AX1681" t="s">
        <v>196</v>
      </c>
      <c r="AY1681" t="s">
        <v>817</v>
      </c>
      <c r="AZ1681" t="s">
        <v>138</v>
      </c>
      <c r="BA1681" t="s">
        <v>1372</v>
      </c>
      <c r="BC1681">
        <v>3</v>
      </c>
      <c r="BH1681" t="s">
        <v>99</v>
      </c>
      <c r="BO1681" t="s">
        <v>111</v>
      </c>
      <c r="CD1681" t="s">
        <v>1369</v>
      </c>
      <c r="CE1681">
        <v>174511</v>
      </c>
      <c r="CF1681" t="s">
        <v>1370</v>
      </c>
      <c r="CG1681" t="s">
        <v>1371</v>
      </c>
      <c r="CH1681">
        <v>2017</v>
      </c>
    </row>
    <row r="1682" spans="1:86" hidden="1" x14ac:dyDescent="0.25">
      <c r="A1682">
        <v>330541</v>
      </c>
      <c r="B1682" t="s">
        <v>86</v>
      </c>
      <c r="C1682" t="s">
        <v>158</v>
      </c>
      <c r="D1682" t="s">
        <v>115</v>
      </c>
      <c r="E1682" t="s">
        <v>106</v>
      </c>
      <c r="F1682">
        <v>95</v>
      </c>
      <c r="K1682" t="s">
        <v>1373</v>
      </c>
      <c r="L1682" t="s">
        <v>1374</v>
      </c>
      <c r="M1682" t="s">
        <v>1368</v>
      </c>
      <c r="V1682" t="s">
        <v>91</v>
      </c>
      <c r="W1682" t="s">
        <v>107</v>
      </c>
      <c r="X1682" t="s">
        <v>93</v>
      </c>
      <c r="Z1682" t="s">
        <v>94</v>
      </c>
      <c r="AB1682">
        <v>1.1999999999999999E-3</v>
      </c>
      <c r="AD1682">
        <v>1E-3</v>
      </c>
      <c r="AF1682">
        <v>1.5E-3</v>
      </c>
      <c r="AG1682" t="s">
        <v>95</v>
      </c>
      <c r="AX1682" t="s">
        <v>144</v>
      </c>
      <c r="AY1682" t="s">
        <v>109</v>
      </c>
      <c r="AZ1682" t="s">
        <v>138</v>
      </c>
      <c r="BC1682">
        <v>1</v>
      </c>
      <c r="BH1682" t="s">
        <v>99</v>
      </c>
      <c r="BO1682" t="s">
        <v>111</v>
      </c>
      <c r="CD1682" t="s">
        <v>1375</v>
      </c>
      <c r="CE1682">
        <v>173418</v>
      </c>
      <c r="CF1682" t="s">
        <v>1376</v>
      </c>
      <c r="CG1682" t="s">
        <v>1377</v>
      </c>
      <c r="CH1682">
        <v>2015</v>
      </c>
    </row>
    <row r="1683" spans="1:86" hidden="1" x14ac:dyDescent="0.25">
      <c r="A1683">
        <v>330541</v>
      </c>
      <c r="B1683" t="s">
        <v>86</v>
      </c>
      <c r="D1683" t="s">
        <v>115</v>
      </c>
      <c r="K1683" t="s">
        <v>1366</v>
      </c>
      <c r="L1683" t="s">
        <v>1367</v>
      </c>
      <c r="M1683" t="s">
        <v>1368</v>
      </c>
      <c r="V1683" t="s">
        <v>91</v>
      </c>
      <c r="W1683" t="s">
        <v>92</v>
      </c>
      <c r="X1683" t="s">
        <v>93</v>
      </c>
      <c r="Y1683">
        <v>8</v>
      </c>
      <c r="Z1683" t="s">
        <v>137</v>
      </c>
      <c r="AB1683">
        <v>1.0800000000000001E-2</v>
      </c>
      <c r="AD1683">
        <v>7.1000000000000004E-3</v>
      </c>
      <c r="AF1683">
        <v>1.29E-2</v>
      </c>
      <c r="AG1683" t="s">
        <v>95</v>
      </c>
      <c r="AX1683" t="s">
        <v>108</v>
      </c>
      <c r="AY1683" t="s">
        <v>160</v>
      </c>
      <c r="AZ1683" t="s">
        <v>138</v>
      </c>
      <c r="BC1683">
        <v>3</v>
      </c>
      <c r="BH1683" t="s">
        <v>99</v>
      </c>
      <c r="BO1683" t="s">
        <v>111</v>
      </c>
      <c r="CD1683" t="s">
        <v>1369</v>
      </c>
      <c r="CE1683">
        <v>174511</v>
      </c>
      <c r="CF1683" t="s">
        <v>1370</v>
      </c>
      <c r="CG1683" t="s">
        <v>1371</v>
      </c>
      <c r="CH1683">
        <v>2017</v>
      </c>
    </row>
    <row r="1684" spans="1:86" hidden="1" x14ac:dyDescent="0.25">
      <c r="A1684">
        <v>330541</v>
      </c>
      <c r="B1684" t="s">
        <v>86</v>
      </c>
      <c r="D1684" t="s">
        <v>115</v>
      </c>
      <c r="K1684" t="s">
        <v>1366</v>
      </c>
      <c r="L1684" t="s">
        <v>1367</v>
      </c>
      <c r="M1684" t="s">
        <v>1368</v>
      </c>
      <c r="V1684" t="s">
        <v>91</v>
      </c>
      <c r="W1684" t="s">
        <v>92</v>
      </c>
      <c r="X1684" t="s">
        <v>93</v>
      </c>
      <c r="Y1684">
        <v>8</v>
      </c>
      <c r="Z1684" t="s">
        <v>137</v>
      </c>
      <c r="AB1684">
        <v>1.2999999999999999E-3</v>
      </c>
      <c r="AD1684">
        <v>8.9999999999999998E-4</v>
      </c>
      <c r="AF1684">
        <v>2E-3</v>
      </c>
      <c r="AG1684" t="s">
        <v>95</v>
      </c>
      <c r="AX1684" t="s">
        <v>108</v>
      </c>
      <c r="AY1684" t="s">
        <v>120</v>
      </c>
      <c r="AZ1684" t="s">
        <v>138</v>
      </c>
      <c r="BC1684">
        <v>3</v>
      </c>
      <c r="BH1684" t="s">
        <v>99</v>
      </c>
      <c r="BO1684" t="s">
        <v>111</v>
      </c>
      <c r="CD1684" t="s">
        <v>1369</v>
      </c>
      <c r="CE1684">
        <v>174511</v>
      </c>
      <c r="CF1684" t="s">
        <v>1370</v>
      </c>
      <c r="CG1684" t="s">
        <v>1371</v>
      </c>
      <c r="CH1684">
        <v>2017</v>
      </c>
    </row>
    <row r="1685" spans="1:86" hidden="1" x14ac:dyDescent="0.25">
      <c r="A1685">
        <v>330541</v>
      </c>
      <c r="B1685" t="s">
        <v>86</v>
      </c>
      <c r="D1685" t="s">
        <v>115</v>
      </c>
      <c r="K1685" t="s">
        <v>1366</v>
      </c>
      <c r="L1685" t="s">
        <v>1367</v>
      </c>
      <c r="M1685" t="s">
        <v>1368</v>
      </c>
      <c r="V1685" t="s">
        <v>91</v>
      </c>
      <c r="W1685" t="s">
        <v>92</v>
      </c>
      <c r="X1685" t="s">
        <v>93</v>
      </c>
      <c r="Y1685">
        <v>8</v>
      </c>
      <c r="Z1685" t="s">
        <v>137</v>
      </c>
      <c r="AB1685">
        <v>1.5E-3</v>
      </c>
      <c r="AD1685">
        <v>1.1000000000000001E-3</v>
      </c>
      <c r="AF1685">
        <v>3.2000000000000002E-3</v>
      </c>
      <c r="AG1685" t="s">
        <v>95</v>
      </c>
      <c r="AX1685" t="s">
        <v>108</v>
      </c>
      <c r="AY1685" t="s">
        <v>438</v>
      </c>
      <c r="AZ1685" t="s">
        <v>138</v>
      </c>
      <c r="BC1685">
        <v>3</v>
      </c>
      <c r="BH1685" t="s">
        <v>99</v>
      </c>
      <c r="BO1685" t="s">
        <v>111</v>
      </c>
      <c r="CD1685" t="s">
        <v>1369</v>
      </c>
      <c r="CE1685">
        <v>174511</v>
      </c>
      <c r="CF1685" t="s">
        <v>1370</v>
      </c>
      <c r="CG1685" t="s">
        <v>1371</v>
      </c>
      <c r="CH1685">
        <v>2017</v>
      </c>
    </row>
    <row r="1686" spans="1:86" hidden="1" x14ac:dyDescent="0.25">
      <c r="A1686">
        <v>330541</v>
      </c>
      <c r="B1686" t="s">
        <v>86</v>
      </c>
      <c r="D1686" t="s">
        <v>115</v>
      </c>
      <c r="E1686" t="s">
        <v>106</v>
      </c>
      <c r="F1686">
        <v>98</v>
      </c>
      <c r="K1686" t="s">
        <v>1378</v>
      </c>
      <c r="L1686" t="s">
        <v>1379</v>
      </c>
      <c r="M1686" t="s">
        <v>1368</v>
      </c>
      <c r="V1686" t="s">
        <v>507</v>
      </c>
      <c r="W1686" t="s">
        <v>107</v>
      </c>
      <c r="X1686" t="s">
        <v>93</v>
      </c>
      <c r="Y1686">
        <v>7</v>
      </c>
      <c r="Z1686" t="s">
        <v>94</v>
      </c>
      <c r="AB1686">
        <v>6.4999999999999997E-4</v>
      </c>
      <c r="AG1686" t="s">
        <v>95</v>
      </c>
      <c r="AX1686" t="s">
        <v>144</v>
      </c>
      <c r="AY1686" t="s">
        <v>109</v>
      </c>
      <c r="AZ1686" t="s">
        <v>1267</v>
      </c>
      <c r="BC1686">
        <v>10</v>
      </c>
      <c r="BH1686" t="s">
        <v>99</v>
      </c>
      <c r="BO1686" t="s">
        <v>111</v>
      </c>
      <c r="CD1686" t="s">
        <v>1380</v>
      </c>
      <c r="CE1686">
        <v>73299</v>
      </c>
      <c r="CF1686" t="s">
        <v>1381</v>
      </c>
      <c r="CG1686" t="s">
        <v>1382</v>
      </c>
      <c r="CH1686">
        <v>2004</v>
      </c>
    </row>
    <row r="1687" spans="1:86" hidden="1" x14ac:dyDescent="0.25">
      <c r="A1687">
        <v>330541</v>
      </c>
      <c r="B1687" t="s">
        <v>86</v>
      </c>
      <c r="D1687" t="s">
        <v>115</v>
      </c>
      <c r="E1687" t="s">
        <v>106</v>
      </c>
      <c r="F1687">
        <v>99</v>
      </c>
      <c r="K1687" t="s">
        <v>1383</v>
      </c>
      <c r="L1687" t="s">
        <v>1384</v>
      </c>
      <c r="M1687" t="s">
        <v>1368</v>
      </c>
      <c r="V1687" t="s">
        <v>91</v>
      </c>
      <c r="W1687" t="s">
        <v>92</v>
      </c>
      <c r="X1687" t="s">
        <v>93</v>
      </c>
      <c r="Y1687">
        <v>5</v>
      </c>
      <c r="Z1687" t="s">
        <v>94</v>
      </c>
      <c r="AB1687">
        <v>2.6E-7</v>
      </c>
      <c r="AG1687" t="s">
        <v>95</v>
      </c>
      <c r="AX1687" t="s">
        <v>196</v>
      </c>
      <c r="AY1687" t="s">
        <v>318</v>
      </c>
      <c r="AZ1687" t="s">
        <v>214</v>
      </c>
      <c r="BA1687" t="s">
        <v>1372</v>
      </c>
      <c r="BC1687">
        <v>14</v>
      </c>
      <c r="BH1687" t="s">
        <v>99</v>
      </c>
      <c r="BO1687" t="s">
        <v>111</v>
      </c>
      <c r="CD1687" t="s">
        <v>319</v>
      </c>
      <c r="CE1687">
        <v>102064</v>
      </c>
      <c r="CF1687" t="s">
        <v>320</v>
      </c>
      <c r="CG1687" t="s">
        <v>321</v>
      </c>
      <c r="CH1687">
        <v>2006</v>
      </c>
    </row>
    <row r="1688" spans="1:86" hidden="1" x14ac:dyDescent="0.25">
      <c r="A1688">
        <v>330541</v>
      </c>
      <c r="B1688" t="s">
        <v>86</v>
      </c>
      <c r="C1688" t="s">
        <v>158</v>
      </c>
      <c r="D1688" t="s">
        <v>115</v>
      </c>
      <c r="E1688" t="s">
        <v>106</v>
      </c>
      <c r="F1688">
        <v>95</v>
      </c>
      <c r="K1688" t="s">
        <v>1373</v>
      </c>
      <c r="L1688" t="s">
        <v>1374</v>
      </c>
      <c r="M1688" t="s">
        <v>1368</v>
      </c>
      <c r="V1688" t="s">
        <v>91</v>
      </c>
      <c r="W1688" t="s">
        <v>107</v>
      </c>
      <c r="X1688" t="s">
        <v>93</v>
      </c>
      <c r="Z1688" t="s">
        <v>94</v>
      </c>
      <c r="AB1688">
        <v>4.3E-3</v>
      </c>
      <c r="AD1688">
        <v>3.8999999999999998E-3</v>
      </c>
      <c r="AF1688">
        <v>4.7000000000000002E-3</v>
      </c>
      <c r="AG1688" t="s">
        <v>95</v>
      </c>
      <c r="AX1688" t="s">
        <v>144</v>
      </c>
      <c r="AY1688" t="s">
        <v>109</v>
      </c>
      <c r="AZ1688" t="s">
        <v>214</v>
      </c>
      <c r="BC1688">
        <v>1</v>
      </c>
      <c r="BH1688" t="s">
        <v>99</v>
      </c>
      <c r="BO1688" t="s">
        <v>111</v>
      </c>
      <c r="CD1688" t="s">
        <v>1375</v>
      </c>
      <c r="CE1688">
        <v>173418</v>
      </c>
      <c r="CF1688" t="s">
        <v>1376</v>
      </c>
      <c r="CG1688" t="s">
        <v>1377</v>
      </c>
      <c r="CH1688">
        <v>2015</v>
      </c>
    </row>
    <row r="1689" spans="1:86" hidden="1" x14ac:dyDescent="0.25">
      <c r="A1689">
        <v>330541</v>
      </c>
      <c r="B1689" t="s">
        <v>86</v>
      </c>
      <c r="D1689" t="s">
        <v>115</v>
      </c>
      <c r="E1689" t="s">
        <v>106</v>
      </c>
      <c r="F1689">
        <v>98</v>
      </c>
      <c r="K1689" t="s">
        <v>1378</v>
      </c>
      <c r="L1689" t="s">
        <v>1379</v>
      </c>
      <c r="M1689" t="s">
        <v>1368</v>
      </c>
      <c r="V1689" t="s">
        <v>507</v>
      </c>
      <c r="W1689" t="s">
        <v>107</v>
      </c>
      <c r="X1689" t="s">
        <v>93</v>
      </c>
      <c r="Y1689">
        <v>7</v>
      </c>
      <c r="Z1689" t="s">
        <v>94</v>
      </c>
      <c r="AB1689">
        <v>3.2000000000000002E-3</v>
      </c>
      <c r="AG1689" t="s">
        <v>95</v>
      </c>
      <c r="AX1689" t="s">
        <v>144</v>
      </c>
      <c r="AY1689" t="s">
        <v>109</v>
      </c>
      <c r="AZ1689" t="s">
        <v>214</v>
      </c>
      <c r="BC1689">
        <v>10</v>
      </c>
      <c r="BH1689" t="s">
        <v>99</v>
      </c>
      <c r="BO1689" t="s">
        <v>111</v>
      </c>
      <c r="CD1689" t="s">
        <v>1380</v>
      </c>
      <c r="CE1689">
        <v>73299</v>
      </c>
      <c r="CF1689" t="s">
        <v>1381</v>
      </c>
      <c r="CG1689" t="s">
        <v>1382</v>
      </c>
      <c r="CH1689">
        <v>2004</v>
      </c>
    </row>
    <row r="1690" spans="1:86" hidden="1" x14ac:dyDescent="0.25">
      <c r="A1690">
        <v>330541</v>
      </c>
      <c r="B1690" t="s">
        <v>86</v>
      </c>
      <c r="D1690" t="s">
        <v>115</v>
      </c>
      <c r="E1690" t="s">
        <v>106</v>
      </c>
      <c r="F1690">
        <v>99</v>
      </c>
      <c r="K1690" t="s">
        <v>1383</v>
      </c>
      <c r="L1690" t="s">
        <v>1384</v>
      </c>
      <c r="M1690" t="s">
        <v>1368</v>
      </c>
      <c r="V1690" t="s">
        <v>91</v>
      </c>
      <c r="W1690" t="s">
        <v>92</v>
      </c>
      <c r="X1690" t="s">
        <v>93</v>
      </c>
      <c r="Y1690">
        <v>5</v>
      </c>
      <c r="Z1690" t="s">
        <v>94</v>
      </c>
      <c r="AB1690">
        <v>2.8080000000000002E-3</v>
      </c>
      <c r="AG1690" t="s">
        <v>95</v>
      </c>
      <c r="AX1690" t="s">
        <v>196</v>
      </c>
      <c r="AY1690" t="s">
        <v>318</v>
      </c>
      <c r="AZ1690" t="s">
        <v>214</v>
      </c>
      <c r="BC1690">
        <v>14</v>
      </c>
      <c r="BH1690" t="s">
        <v>99</v>
      </c>
      <c r="BO1690" t="s">
        <v>111</v>
      </c>
      <c r="CD1690" t="s">
        <v>319</v>
      </c>
      <c r="CE1690">
        <v>102064</v>
      </c>
      <c r="CF1690" t="s">
        <v>320</v>
      </c>
      <c r="CG1690" t="s">
        <v>321</v>
      </c>
      <c r="CH1690">
        <v>2006</v>
      </c>
    </row>
    <row r="1691" spans="1:86" hidden="1" x14ac:dyDescent="0.25">
      <c r="A1691">
        <v>330541</v>
      </c>
      <c r="B1691" t="s">
        <v>86</v>
      </c>
      <c r="D1691" t="s">
        <v>115</v>
      </c>
      <c r="K1691" t="s">
        <v>1366</v>
      </c>
      <c r="L1691" t="s">
        <v>1367</v>
      </c>
      <c r="M1691" t="s">
        <v>1368</v>
      </c>
      <c r="V1691" t="s">
        <v>91</v>
      </c>
      <c r="W1691" t="s">
        <v>92</v>
      </c>
      <c r="X1691" t="s">
        <v>93</v>
      </c>
      <c r="Y1691">
        <v>8</v>
      </c>
      <c r="Z1691" t="s">
        <v>137</v>
      </c>
      <c r="AB1691">
        <v>2.4299999999999999E-2</v>
      </c>
      <c r="AD1691">
        <v>2.2700000000000001E-2</v>
      </c>
      <c r="AF1691">
        <v>2.6800000000000001E-2</v>
      </c>
      <c r="AG1691" t="s">
        <v>95</v>
      </c>
      <c r="AX1691" t="s">
        <v>108</v>
      </c>
      <c r="AY1691" t="s">
        <v>160</v>
      </c>
      <c r="AZ1691" t="s">
        <v>214</v>
      </c>
      <c r="BC1691">
        <v>3</v>
      </c>
      <c r="BH1691" t="s">
        <v>99</v>
      </c>
      <c r="BO1691" t="s">
        <v>111</v>
      </c>
      <c r="CD1691" t="s">
        <v>1369</v>
      </c>
      <c r="CE1691">
        <v>174511</v>
      </c>
      <c r="CF1691" t="s">
        <v>1370</v>
      </c>
      <c r="CG1691" t="s">
        <v>1371</v>
      </c>
      <c r="CH1691">
        <v>2017</v>
      </c>
    </row>
    <row r="1692" spans="1:86" hidden="1" x14ac:dyDescent="0.25">
      <c r="A1692">
        <v>330541</v>
      </c>
      <c r="B1692" t="s">
        <v>86</v>
      </c>
      <c r="D1692" t="s">
        <v>115</v>
      </c>
      <c r="K1692" t="s">
        <v>1366</v>
      </c>
      <c r="L1692" t="s">
        <v>1367</v>
      </c>
      <c r="M1692" t="s">
        <v>1368</v>
      </c>
      <c r="V1692" t="s">
        <v>91</v>
      </c>
      <c r="W1692" t="s">
        <v>92</v>
      </c>
      <c r="X1692" t="s">
        <v>93</v>
      </c>
      <c r="Y1692">
        <v>8</v>
      </c>
      <c r="Z1692" t="s">
        <v>137</v>
      </c>
      <c r="AB1692">
        <v>7.7999999999999996E-3</v>
      </c>
      <c r="AD1692">
        <v>6.7999999999999996E-3</v>
      </c>
      <c r="AF1692">
        <v>8.6E-3</v>
      </c>
      <c r="AG1692" t="s">
        <v>95</v>
      </c>
      <c r="AX1692" t="s">
        <v>108</v>
      </c>
      <c r="AY1692" t="s">
        <v>120</v>
      </c>
      <c r="AZ1692" t="s">
        <v>214</v>
      </c>
      <c r="BC1692">
        <v>3</v>
      </c>
      <c r="BH1692" t="s">
        <v>99</v>
      </c>
      <c r="BO1692" t="s">
        <v>111</v>
      </c>
      <c r="CD1692" t="s">
        <v>1369</v>
      </c>
      <c r="CE1692">
        <v>174511</v>
      </c>
      <c r="CF1692" t="s">
        <v>1370</v>
      </c>
      <c r="CG1692" t="s">
        <v>1371</v>
      </c>
      <c r="CH1692">
        <v>2017</v>
      </c>
    </row>
    <row r="1693" spans="1:86" hidden="1" x14ac:dyDescent="0.25">
      <c r="A1693">
        <v>330541</v>
      </c>
      <c r="B1693" t="s">
        <v>86</v>
      </c>
      <c r="D1693" t="s">
        <v>115</v>
      </c>
      <c r="K1693" t="s">
        <v>1366</v>
      </c>
      <c r="L1693" t="s">
        <v>1367</v>
      </c>
      <c r="M1693" t="s">
        <v>1368</v>
      </c>
      <c r="V1693" t="s">
        <v>91</v>
      </c>
      <c r="W1693" t="s">
        <v>92</v>
      </c>
      <c r="X1693" t="s">
        <v>93</v>
      </c>
      <c r="Y1693">
        <v>8</v>
      </c>
      <c r="Z1693" t="s">
        <v>137</v>
      </c>
      <c r="AB1693">
        <v>7.6E-3</v>
      </c>
      <c r="AD1693">
        <v>5.5999999999999999E-3</v>
      </c>
      <c r="AF1693">
        <v>9.4999999999999998E-3</v>
      </c>
      <c r="AG1693" t="s">
        <v>95</v>
      </c>
      <c r="AX1693" t="s">
        <v>108</v>
      </c>
      <c r="AY1693" t="s">
        <v>438</v>
      </c>
      <c r="AZ1693" t="s">
        <v>214</v>
      </c>
      <c r="BC1693">
        <v>3</v>
      </c>
      <c r="BH1693" t="s">
        <v>99</v>
      </c>
      <c r="BO1693" t="s">
        <v>111</v>
      </c>
      <c r="CD1693" t="s">
        <v>1369</v>
      </c>
      <c r="CE1693">
        <v>174511</v>
      </c>
      <c r="CF1693" t="s">
        <v>1370</v>
      </c>
      <c r="CG1693" t="s">
        <v>1371</v>
      </c>
      <c r="CH1693">
        <v>2017</v>
      </c>
    </row>
    <row r="1694" spans="1:86" hidden="1" x14ac:dyDescent="0.25">
      <c r="A1694">
        <v>330541</v>
      </c>
      <c r="B1694" t="s">
        <v>86</v>
      </c>
      <c r="D1694" t="s">
        <v>115</v>
      </c>
      <c r="K1694" t="s">
        <v>1385</v>
      </c>
      <c r="L1694" t="s">
        <v>1386</v>
      </c>
      <c r="M1694" t="s">
        <v>1368</v>
      </c>
      <c r="N1694" t="s">
        <v>118</v>
      </c>
      <c r="V1694" t="s">
        <v>91</v>
      </c>
      <c r="W1694" t="s">
        <v>92</v>
      </c>
      <c r="X1694" t="s">
        <v>93</v>
      </c>
      <c r="Z1694" t="s">
        <v>137</v>
      </c>
      <c r="AB1694">
        <v>4.0792009999999997E-2</v>
      </c>
      <c r="AG1694" t="s">
        <v>95</v>
      </c>
      <c r="AX1694" t="s">
        <v>108</v>
      </c>
      <c r="AY1694" t="s">
        <v>308</v>
      </c>
      <c r="AZ1694" t="s">
        <v>214</v>
      </c>
      <c r="BC1694">
        <v>7</v>
      </c>
      <c r="BH1694" t="s">
        <v>99</v>
      </c>
      <c r="BO1694" t="s">
        <v>111</v>
      </c>
      <c r="CD1694" t="s">
        <v>1387</v>
      </c>
      <c r="CE1694">
        <v>8628</v>
      </c>
      <c r="CF1694" t="s">
        <v>1388</v>
      </c>
      <c r="CG1694" t="s">
        <v>1389</v>
      </c>
      <c r="CH1694">
        <v>1974</v>
      </c>
    </row>
    <row r="1695" spans="1:86" hidden="1" x14ac:dyDescent="0.25">
      <c r="A1695">
        <v>330541</v>
      </c>
      <c r="B1695" t="s">
        <v>86</v>
      </c>
      <c r="D1695" t="s">
        <v>115</v>
      </c>
      <c r="K1695" t="s">
        <v>1366</v>
      </c>
      <c r="L1695" t="s">
        <v>1367</v>
      </c>
      <c r="M1695" t="s">
        <v>1368</v>
      </c>
      <c r="V1695" t="s">
        <v>91</v>
      </c>
      <c r="W1695" t="s">
        <v>92</v>
      </c>
      <c r="X1695" t="s">
        <v>93</v>
      </c>
      <c r="Y1695">
        <v>8</v>
      </c>
      <c r="Z1695" t="s">
        <v>137</v>
      </c>
      <c r="AB1695">
        <v>8.3000000000000001E-3</v>
      </c>
      <c r="AD1695">
        <v>6.0000000000000001E-3</v>
      </c>
      <c r="AF1695">
        <v>1.0999999999999999E-2</v>
      </c>
      <c r="AG1695" t="s">
        <v>95</v>
      </c>
      <c r="AX1695" t="s">
        <v>108</v>
      </c>
      <c r="AY1695" t="s">
        <v>120</v>
      </c>
      <c r="AZ1695" t="s">
        <v>214</v>
      </c>
      <c r="BC1695">
        <v>3</v>
      </c>
      <c r="BH1695" t="s">
        <v>99</v>
      </c>
      <c r="BO1695" t="s">
        <v>111</v>
      </c>
      <c r="CD1695" t="s">
        <v>1369</v>
      </c>
      <c r="CE1695">
        <v>174511</v>
      </c>
      <c r="CF1695" t="s">
        <v>1370</v>
      </c>
      <c r="CG1695" t="s">
        <v>1371</v>
      </c>
      <c r="CH1695">
        <v>2017</v>
      </c>
    </row>
    <row r="1696" spans="1:86" hidden="1" x14ac:dyDescent="0.25">
      <c r="A1696">
        <v>330541</v>
      </c>
      <c r="B1696" t="s">
        <v>86</v>
      </c>
      <c r="D1696" t="s">
        <v>115</v>
      </c>
      <c r="K1696" t="s">
        <v>1366</v>
      </c>
      <c r="L1696" t="s">
        <v>1367</v>
      </c>
      <c r="M1696" t="s">
        <v>1368</v>
      </c>
      <c r="V1696" t="s">
        <v>91</v>
      </c>
      <c r="W1696" t="s">
        <v>92</v>
      </c>
      <c r="X1696" t="s">
        <v>93</v>
      </c>
      <c r="Y1696">
        <v>8</v>
      </c>
      <c r="Z1696" t="s">
        <v>137</v>
      </c>
      <c r="AB1696">
        <v>0.02</v>
      </c>
      <c r="AD1696">
        <v>1.9099999999999999E-2</v>
      </c>
      <c r="AF1696">
        <v>2.1000000000000001E-2</v>
      </c>
      <c r="AG1696" t="s">
        <v>95</v>
      </c>
      <c r="AX1696" t="s">
        <v>196</v>
      </c>
      <c r="AY1696" t="s">
        <v>817</v>
      </c>
      <c r="AZ1696" t="s">
        <v>214</v>
      </c>
      <c r="BA1696" t="s">
        <v>1372</v>
      </c>
      <c r="BC1696">
        <v>3</v>
      </c>
      <c r="BH1696" t="s">
        <v>99</v>
      </c>
      <c r="BO1696" t="s">
        <v>111</v>
      </c>
      <c r="CD1696" t="s">
        <v>1369</v>
      </c>
      <c r="CE1696">
        <v>174511</v>
      </c>
      <c r="CF1696" t="s">
        <v>1370</v>
      </c>
      <c r="CG1696" t="s">
        <v>1371</v>
      </c>
      <c r="CH1696">
        <v>2017</v>
      </c>
    </row>
    <row r="1697" spans="1:86" hidden="1" x14ac:dyDescent="0.25">
      <c r="A1697">
        <v>330541</v>
      </c>
      <c r="B1697" t="s">
        <v>86</v>
      </c>
      <c r="D1697" t="s">
        <v>115</v>
      </c>
      <c r="E1697" t="s">
        <v>106</v>
      </c>
      <c r="F1697">
        <v>99</v>
      </c>
      <c r="K1697" t="s">
        <v>1390</v>
      </c>
      <c r="L1697" t="s">
        <v>1391</v>
      </c>
      <c r="M1697" t="s">
        <v>1368</v>
      </c>
      <c r="V1697" t="s">
        <v>91</v>
      </c>
      <c r="W1697" t="s">
        <v>107</v>
      </c>
      <c r="X1697" t="s">
        <v>93</v>
      </c>
      <c r="Y1697">
        <v>4</v>
      </c>
      <c r="Z1697" t="s">
        <v>94</v>
      </c>
      <c r="AB1697">
        <v>7.9000000000000008E-3</v>
      </c>
      <c r="AG1697" t="s">
        <v>95</v>
      </c>
      <c r="AX1697" t="s">
        <v>144</v>
      </c>
      <c r="AY1697" t="s">
        <v>109</v>
      </c>
      <c r="AZ1697" t="s">
        <v>214</v>
      </c>
      <c r="BC1697">
        <v>3</v>
      </c>
      <c r="BH1697" t="s">
        <v>99</v>
      </c>
      <c r="BO1697" t="s">
        <v>111</v>
      </c>
      <c r="CD1697" t="s">
        <v>1392</v>
      </c>
      <c r="CE1697">
        <v>187697</v>
      </c>
      <c r="CF1697" t="s">
        <v>1393</v>
      </c>
      <c r="CG1697" t="s">
        <v>1394</v>
      </c>
      <c r="CH1697">
        <v>2012</v>
      </c>
    </row>
    <row r="1698" spans="1:86" hidden="1" x14ac:dyDescent="0.25">
      <c r="A1698">
        <v>330541</v>
      </c>
      <c r="B1698" t="s">
        <v>86</v>
      </c>
      <c r="D1698" t="s">
        <v>115</v>
      </c>
      <c r="E1698" t="s">
        <v>106</v>
      </c>
      <c r="F1698">
        <v>99</v>
      </c>
      <c r="K1698" t="s">
        <v>1390</v>
      </c>
      <c r="L1698" t="s">
        <v>1391</v>
      </c>
      <c r="M1698" t="s">
        <v>1368</v>
      </c>
      <c r="V1698" t="s">
        <v>91</v>
      </c>
      <c r="W1698" t="s">
        <v>107</v>
      </c>
      <c r="X1698" t="s">
        <v>93</v>
      </c>
      <c r="Y1698">
        <v>4</v>
      </c>
      <c r="Z1698" t="s">
        <v>94</v>
      </c>
      <c r="AB1698">
        <v>8.5000000000000006E-3</v>
      </c>
      <c r="AG1698" t="s">
        <v>95</v>
      </c>
      <c r="AX1698" t="s">
        <v>144</v>
      </c>
      <c r="AY1698" t="s">
        <v>109</v>
      </c>
      <c r="AZ1698" t="s">
        <v>214</v>
      </c>
      <c r="BC1698">
        <v>2</v>
      </c>
      <c r="BH1698" t="s">
        <v>99</v>
      </c>
      <c r="BO1698" t="s">
        <v>111</v>
      </c>
      <c r="CD1698" t="s">
        <v>1392</v>
      </c>
      <c r="CE1698">
        <v>187697</v>
      </c>
      <c r="CF1698" t="s">
        <v>1393</v>
      </c>
      <c r="CG1698" t="s">
        <v>1394</v>
      </c>
      <c r="CH1698">
        <v>2012</v>
      </c>
    </row>
    <row r="1699" spans="1:86" hidden="1" x14ac:dyDescent="0.25">
      <c r="A1699">
        <v>330541</v>
      </c>
      <c r="B1699" t="s">
        <v>86</v>
      </c>
      <c r="D1699" t="s">
        <v>115</v>
      </c>
      <c r="E1699" t="s">
        <v>106</v>
      </c>
      <c r="F1699">
        <v>99</v>
      </c>
      <c r="K1699" t="s">
        <v>1390</v>
      </c>
      <c r="L1699" t="s">
        <v>1391</v>
      </c>
      <c r="M1699" t="s">
        <v>1368</v>
      </c>
      <c r="V1699" t="s">
        <v>91</v>
      </c>
      <c r="W1699" t="s">
        <v>107</v>
      </c>
      <c r="X1699" t="s">
        <v>93</v>
      </c>
      <c r="Y1699">
        <v>4</v>
      </c>
      <c r="Z1699" t="s">
        <v>94</v>
      </c>
      <c r="AB1699">
        <v>1.26E-2</v>
      </c>
      <c r="AG1699" t="s">
        <v>95</v>
      </c>
      <c r="AX1699" t="s">
        <v>144</v>
      </c>
      <c r="AY1699" t="s">
        <v>109</v>
      </c>
      <c r="AZ1699" t="s">
        <v>214</v>
      </c>
      <c r="BC1699">
        <v>1</v>
      </c>
      <c r="BH1699" t="s">
        <v>99</v>
      </c>
      <c r="BO1699" t="s">
        <v>111</v>
      </c>
      <c r="CD1699" t="s">
        <v>1392</v>
      </c>
      <c r="CE1699">
        <v>187697</v>
      </c>
      <c r="CF1699" t="s">
        <v>1393</v>
      </c>
      <c r="CG1699" t="s">
        <v>1394</v>
      </c>
      <c r="CH1699">
        <v>2012</v>
      </c>
    </row>
    <row r="1700" spans="1:86" hidden="1" x14ac:dyDescent="0.25">
      <c r="A1700">
        <v>330541</v>
      </c>
      <c r="B1700" t="s">
        <v>86</v>
      </c>
      <c r="D1700" t="s">
        <v>115</v>
      </c>
      <c r="E1700" t="s">
        <v>106</v>
      </c>
      <c r="F1700">
        <v>99</v>
      </c>
      <c r="K1700" t="s">
        <v>1383</v>
      </c>
      <c r="L1700" t="s">
        <v>1384</v>
      </c>
      <c r="M1700" t="s">
        <v>1368</v>
      </c>
      <c r="V1700" t="s">
        <v>91</v>
      </c>
      <c r="W1700" t="s">
        <v>92</v>
      </c>
      <c r="X1700" t="s">
        <v>93</v>
      </c>
      <c r="Y1700">
        <v>5</v>
      </c>
      <c r="Z1700" t="s">
        <v>94</v>
      </c>
      <c r="AA1700" t="s">
        <v>106</v>
      </c>
      <c r="AB1700">
        <v>5.0000000000000001E-3</v>
      </c>
      <c r="AG1700" t="s">
        <v>95</v>
      </c>
      <c r="AX1700" t="s">
        <v>108</v>
      </c>
      <c r="AY1700" t="s">
        <v>311</v>
      </c>
      <c r="AZ1700" t="s">
        <v>214</v>
      </c>
      <c r="BC1700">
        <v>14</v>
      </c>
      <c r="BH1700" t="s">
        <v>99</v>
      </c>
      <c r="BO1700" t="s">
        <v>111</v>
      </c>
      <c r="CD1700" t="s">
        <v>319</v>
      </c>
      <c r="CE1700">
        <v>102064</v>
      </c>
      <c r="CF1700" t="s">
        <v>320</v>
      </c>
      <c r="CG1700" t="s">
        <v>321</v>
      </c>
      <c r="CH1700">
        <v>2006</v>
      </c>
    </row>
    <row r="1701" spans="1:86" hidden="1" x14ac:dyDescent="0.25">
      <c r="A1701">
        <v>330541</v>
      </c>
      <c r="B1701" t="s">
        <v>86</v>
      </c>
      <c r="D1701" t="s">
        <v>87</v>
      </c>
      <c r="E1701" t="s">
        <v>106</v>
      </c>
      <c r="F1701">
        <v>95</v>
      </c>
      <c r="K1701" t="s">
        <v>1395</v>
      </c>
      <c r="L1701" t="s">
        <v>1396</v>
      </c>
      <c r="M1701" t="s">
        <v>1368</v>
      </c>
      <c r="V1701" t="s">
        <v>507</v>
      </c>
      <c r="W1701" t="s">
        <v>107</v>
      </c>
      <c r="X1701" t="s">
        <v>93</v>
      </c>
      <c r="Y1701">
        <v>9</v>
      </c>
      <c r="Z1701" t="s">
        <v>94</v>
      </c>
      <c r="AB1701">
        <v>9.5E-4</v>
      </c>
      <c r="AD1701">
        <v>5.6999999999999998E-4</v>
      </c>
      <c r="AF1701">
        <v>1.48E-3</v>
      </c>
      <c r="AG1701" t="s">
        <v>95</v>
      </c>
      <c r="AX1701" t="s">
        <v>144</v>
      </c>
      <c r="AY1701" t="s">
        <v>438</v>
      </c>
      <c r="AZ1701" t="s">
        <v>387</v>
      </c>
      <c r="BC1701">
        <v>3</v>
      </c>
      <c r="BH1701" t="s">
        <v>99</v>
      </c>
      <c r="BO1701" t="s">
        <v>111</v>
      </c>
      <c r="CD1701" t="s">
        <v>1397</v>
      </c>
      <c r="CE1701">
        <v>167314</v>
      </c>
      <c r="CF1701" t="s">
        <v>1398</v>
      </c>
      <c r="CG1701" t="s">
        <v>1399</v>
      </c>
      <c r="CH1701">
        <v>2013</v>
      </c>
    </row>
    <row r="1702" spans="1:86" hidden="1" x14ac:dyDescent="0.25">
      <c r="A1702">
        <v>330541</v>
      </c>
      <c r="B1702" t="s">
        <v>86</v>
      </c>
      <c r="D1702" t="s">
        <v>87</v>
      </c>
      <c r="E1702" t="s">
        <v>106</v>
      </c>
      <c r="F1702">
        <v>95</v>
      </c>
      <c r="K1702" t="s">
        <v>1400</v>
      </c>
      <c r="L1702" t="s">
        <v>1401</v>
      </c>
      <c r="M1702" t="s">
        <v>1368</v>
      </c>
      <c r="V1702" t="s">
        <v>507</v>
      </c>
      <c r="W1702" t="s">
        <v>107</v>
      </c>
      <c r="X1702" t="s">
        <v>93</v>
      </c>
      <c r="Y1702">
        <v>9</v>
      </c>
      <c r="Z1702" t="s">
        <v>94</v>
      </c>
      <c r="AB1702">
        <v>6.9999999999999999E-4</v>
      </c>
      <c r="AD1702">
        <v>4.2000000000000002E-4</v>
      </c>
      <c r="AF1702">
        <v>1.09E-3</v>
      </c>
      <c r="AG1702" t="s">
        <v>95</v>
      </c>
      <c r="AX1702" t="s">
        <v>144</v>
      </c>
      <c r="AY1702" t="s">
        <v>438</v>
      </c>
      <c r="AZ1702" t="s">
        <v>387</v>
      </c>
      <c r="BC1702">
        <v>3</v>
      </c>
      <c r="BH1702" t="s">
        <v>99</v>
      </c>
      <c r="BO1702" t="s">
        <v>111</v>
      </c>
      <c r="CD1702" t="s">
        <v>1397</v>
      </c>
      <c r="CE1702">
        <v>167314</v>
      </c>
      <c r="CF1702" t="s">
        <v>1398</v>
      </c>
      <c r="CG1702" t="s">
        <v>1399</v>
      </c>
      <c r="CH1702">
        <v>2013</v>
      </c>
    </row>
    <row r="1703" spans="1:86" hidden="1" x14ac:dyDescent="0.25">
      <c r="A1703">
        <v>330541</v>
      </c>
      <c r="B1703" t="s">
        <v>86</v>
      </c>
      <c r="D1703" t="s">
        <v>87</v>
      </c>
      <c r="E1703" t="s">
        <v>106</v>
      </c>
      <c r="F1703">
        <v>95</v>
      </c>
      <c r="K1703" t="s">
        <v>1400</v>
      </c>
      <c r="L1703" t="s">
        <v>1401</v>
      </c>
      <c r="M1703" t="s">
        <v>1368</v>
      </c>
      <c r="V1703" t="s">
        <v>507</v>
      </c>
      <c r="W1703" t="s">
        <v>107</v>
      </c>
      <c r="X1703" t="s">
        <v>93</v>
      </c>
      <c r="Y1703">
        <v>9</v>
      </c>
      <c r="Z1703" t="s">
        <v>94</v>
      </c>
      <c r="AB1703">
        <v>1.17E-3</v>
      </c>
      <c r="AD1703">
        <v>7.2000000000000005E-4</v>
      </c>
      <c r="AF1703">
        <v>1.8400000000000001E-3</v>
      </c>
      <c r="AG1703" t="s">
        <v>95</v>
      </c>
      <c r="AX1703" t="s">
        <v>144</v>
      </c>
      <c r="AY1703" t="s">
        <v>438</v>
      </c>
      <c r="AZ1703" t="s">
        <v>387</v>
      </c>
      <c r="BC1703">
        <v>1</v>
      </c>
      <c r="BH1703" t="s">
        <v>99</v>
      </c>
      <c r="BO1703" t="s">
        <v>111</v>
      </c>
      <c r="CD1703" t="s">
        <v>1397</v>
      </c>
      <c r="CE1703">
        <v>167314</v>
      </c>
      <c r="CF1703" t="s">
        <v>1398</v>
      </c>
      <c r="CG1703" t="s">
        <v>1399</v>
      </c>
      <c r="CH1703">
        <v>2013</v>
      </c>
    </row>
    <row r="1704" spans="1:86" hidden="1" x14ac:dyDescent="0.25">
      <c r="A1704">
        <v>330541</v>
      </c>
      <c r="B1704" t="s">
        <v>86</v>
      </c>
      <c r="D1704" t="s">
        <v>87</v>
      </c>
      <c r="E1704" t="s">
        <v>106</v>
      </c>
      <c r="F1704">
        <v>95</v>
      </c>
      <c r="K1704" t="s">
        <v>1400</v>
      </c>
      <c r="L1704" t="s">
        <v>1401</v>
      </c>
      <c r="M1704" t="s">
        <v>1368</v>
      </c>
      <c r="V1704" t="s">
        <v>507</v>
      </c>
      <c r="W1704" t="s">
        <v>107</v>
      </c>
      <c r="X1704" t="s">
        <v>93</v>
      </c>
      <c r="Y1704">
        <v>9</v>
      </c>
      <c r="Z1704" t="s">
        <v>94</v>
      </c>
      <c r="AB1704">
        <v>4.6999999999999999E-4</v>
      </c>
      <c r="AD1704">
        <v>3.1E-4</v>
      </c>
      <c r="AF1704">
        <v>6.8000000000000005E-4</v>
      </c>
      <c r="AG1704" t="s">
        <v>95</v>
      </c>
      <c r="AX1704" t="s">
        <v>144</v>
      </c>
      <c r="AY1704" t="s">
        <v>438</v>
      </c>
      <c r="AZ1704" t="s">
        <v>387</v>
      </c>
      <c r="BC1704">
        <v>3</v>
      </c>
      <c r="BH1704" t="s">
        <v>99</v>
      </c>
      <c r="BO1704" t="s">
        <v>111</v>
      </c>
      <c r="CD1704" t="s">
        <v>1397</v>
      </c>
      <c r="CE1704">
        <v>167314</v>
      </c>
      <c r="CF1704" t="s">
        <v>1398</v>
      </c>
      <c r="CG1704" t="s">
        <v>1399</v>
      </c>
      <c r="CH1704">
        <v>2013</v>
      </c>
    </row>
    <row r="1705" spans="1:86" hidden="1" x14ac:dyDescent="0.25">
      <c r="A1705">
        <v>330541</v>
      </c>
      <c r="B1705" t="s">
        <v>86</v>
      </c>
      <c r="D1705" t="s">
        <v>87</v>
      </c>
      <c r="E1705" t="s">
        <v>106</v>
      </c>
      <c r="F1705">
        <v>95</v>
      </c>
      <c r="K1705" t="s">
        <v>1400</v>
      </c>
      <c r="L1705" t="s">
        <v>1401</v>
      </c>
      <c r="M1705" t="s">
        <v>1368</v>
      </c>
      <c r="V1705" t="s">
        <v>507</v>
      </c>
      <c r="W1705" t="s">
        <v>107</v>
      </c>
      <c r="X1705" t="s">
        <v>93</v>
      </c>
      <c r="Y1705">
        <v>9</v>
      </c>
      <c r="Z1705" t="s">
        <v>94</v>
      </c>
      <c r="AB1705">
        <v>3.8000000000000002E-4</v>
      </c>
      <c r="AD1705">
        <v>2.9E-4</v>
      </c>
      <c r="AF1705">
        <v>4.8999999999999998E-4</v>
      </c>
      <c r="AG1705" t="s">
        <v>95</v>
      </c>
      <c r="AX1705" t="s">
        <v>144</v>
      </c>
      <c r="AY1705" t="s">
        <v>438</v>
      </c>
      <c r="AZ1705" t="s">
        <v>387</v>
      </c>
      <c r="BC1705">
        <v>1</v>
      </c>
      <c r="BH1705" t="s">
        <v>99</v>
      </c>
      <c r="BO1705" t="s">
        <v>111</v>
      </c>
      <c r="CD1705" t="s">
        <v>1397</v>
      </c>
      <c r="CE1705">
        <v>167314</v>
      </c>
      <c r="CF1705" t="s">
        <v>1398</v>
      </c>
      <c r="CG1705" t="s">
        <v>1399</v>
      </c>
      <c r="CH1705">
        <v>2013</v>
      </c>
    </row>
    <row r="1706" spans="1:86" hidden="1" x14ac:dyDescent="0.25">
      <c r="A1706">
        <v>330541</v>
      </c>
      <c r="B1706" t="s">
        <v>86</v>
      </c>
      <c r="D1706" t="s">
        <v>87</v>
      </c>
      <c r="E1706" t="s">
        <v>106</v>
      </c>
      <c r="F1706">
        <v>95</v>
      </c>
      <c r="K1706" t="s">
        <v>1395</v>
      </c>
      <c r="L1706" t="s">
        <v>1396</v>
      </c>
      <c r="M1706" t="s">
        <v>1368</v>
      </c>
      <c r="V1706" t="s">
        <v>507</v>
      </c>
      <c r="W1706" t="s">
        <v>107</v>
      </c>
      <c r="X1706" t="s">
        <v>93</v>
      </c>
      <c r="Y1706">
        <v>9</v>
      </c>
      <c r="Z1706" t="s">
        <v>94</v>
      </c>
      <c r="AB1706">
        <v>7.6000000000000004E-4</v>
      </c>
      <c r="AD1706">
        <v>5.6999999999999998E-4</v>
      </c>
      <c r="AF1706">
        <v>1.01E-3</v>
      </c>
      <c r="AG1706" t="s">
        <v>95</v>
      </c>
      <c r="AX1706" t="s">
        <v>144</v>
      </c>
      <c r="AY1706" t="s">
        <v>438</v>
      </c>
      <c r="AZ1706" t="s">
        <v>387</v>
      </c>
      <c r="BC1706">
        <v>1</v>
      </c>
      <c r="BH1706" t="s">
        <v>99</v>
      </c>
      <c r="BO1706" t="s">
        <v>111</v>
      </c>
      <c r="CD1706" t="s">
        <v>1397</v>
      </c>
      <c r="CE1706">
        <v>167314</v>
      </c>
      <c r="CF1706" t="s">
        <v>1398</v>
      </c>
      <c r="CG1706" t="s">
        <v>1399</v>
      </c>
      <c r="CH1706">
        <v>2013</v>
      </c>
    </row>
    <row r="1707" spans="1:86" hidden="1" x14ac:dyDescent="0.25">
      <c r="A1707">
        <v>330541</v>
      </c>
      <c r="B1707" t="s">
        <v>86</v>
      </c>
      <c r="D1707" t="s">
        <v>87</v>
      </c>
      <c r="E1707" t="s">
        <v>106</v>
      </c>
      <c r="F1707">
        <v>95</v>
      </c>
      <c r="K1707" t="s">
        <v>1395</v>
      </c>
      <c r="L1707" t="s">
        <v>1396</v>
      </c>
      <c r="M1707" t="s">
        <v>1368</v>
      </c>
      <c r="V1707" t="s">
        <v>507</v>
      </c>
      <c r="W1707" t="s">
        <v>107</v>
      </c>
      <c r="X1707" t="s">
        <v>93</v>
      </c>
      <c r="Y1707">
        <v>9</v>
      </c>
      <c r="Z1707" t="s">
        <v>94</v>
      </c>
      <c r="AB1707">
        <v>8.3000000000000001E-4</v>
      </c>
      <c r="AD1707">
        <v>6.7000000000000002E-4</v>
      </c>
      <c r="AF1707">
        <v>9.8999999999999999E-4</v>
      </c>
      <c r="AG1707" t="s">
        <v>95</v>
      </c>
      <c r="AX1707" t="s">
        <v>144</v>
      </c>
      <c r="AY1707" t="s">
        <v>438</v>
      </c>
      <c r="AZ1707" t="s">
        <v>387</v>
      </c>
      <c r="BC1707">
        <v>1</v>
      </c>
      <c r="BH1707" t="s">
        <v>99</v>
      </c>
      <c r="BO1707" t="s">
        <v>111</v>
      </c>
      <c r="CD1707" t="s">
        <v>1397</v>
      </c>
      <c r="CE1707">
        <v>167314</v>
      </c>
      <c r="CF1707" t="s">
        <v>1398</v>
      </c>
      <c r="CG1707" t="s">
        <v>1399</v>
      </c>
      <c r="CH1707">
        <v>2013</v>
      </c>
    </row>
    <row r="1708" spans="1:86" hidden="1" x14ac:dyDescent="0.25">
      <c r="A1708">
        <v>330541</v>
      </c>
      <c r="B1708" t="s">
        <v>86</v>
      </c>
      <c r="D1708" t="s">
        <v>87</v>
      </c>
      <c r="E1708" t="s">
        <v>106</v>
      </c>
      <c r="F1708">
        <v>95</v>
      </c>
      <c r="K1708" t="s">
        <v>1395</v>
      </c>
      <c r="L1708" t="s">
        <v>1396</v>
      </c>
      <c r="M1708" t="s">
        <v>1368</v>
      </c>
      <c r="V1708" t="s">
        <v>507</v>
      </c>
      <c r="W1708" t="s">
        <v>107</v>
      </c>
      <c r="X1708" t="s">
        <v>93</v>
      </c>
      <c r="Y1708">
        <v>9</v>
      </c>
      <c r="Z1708" t="s">
        <v>94</v>
      </c>
      <c r="AB1708">
        <v>4.8999999999999998E-4</v>
      </c>
      <c r="AD1708">
        <v>2.5999999999999998E-4</v>
      </c>
      <c r="AF1708">
        <v>8.7000000000000001E-4</v>
      </c>
      <c r="AG1708" t="s">
        <v>95</v>
      </c>
      <c r="AX1708" t="s">
        <v>144</v>
      </c>
      <c r="AY1708" t="s">
        <v>438</v>
      </c>
      <c r="AZ1708" t="s">
        <v>387</v>
      </c>
      <c r="BC1708">
        <v>3</v>
      </c>
      <c r="BH1708" t="s">
        <v>99</v>
      </c>
      <c r="BO1708" t="s">
        <v>111</v>
      </c>
      <c r="CD1708" t="s">
        <v>1397</v>
      </c>
      <c r="CE1708">
        <v>167314</v>
      </c>
      <c r="CF1708" t="s">
        <v>1398</v>
      </c>
      <c r="CG1708" t="s">
        <v>1399</v>
      </c>
      <c r="CH1708">
        <v>2013</v>
      </c>
    </row>
    <row r="1709" spans="1:86" hidden="1" x14ac:dyDescent="0.25">
      <c r="A1709">
        <v>330541</v>
      </c>
      <c r="B1709" t="s">
        <v>86</v>
      </c>
      <c r="D1709" t="s">
        <v>87</v>
      </c>
      <c r="E1709" t="s">
        <v>106</v>
      </c>
      <c r="F1709">
        <v>95</v>
      </c>
      <c r="K1709" t="s">
        <v>1395</v>
      </c>
      <c r="L1709" t="s">
        <v>1396</v>
      </c>
      <c r="M1709" t="s">
        <v>1368</v>
      </c>
      <c r="V1709" t="s">
        <v>507</v>
      </c>
      <c r="W1709" t="s">
        <v>107</v>
      </c>
      <c r="X1709" t="s">
        <v>93</v>
      </c>
      <c r="Y1709">
        <v>9</v>
      </c>
      <c r="Z1709" t="s">
        <v>94</v>
      </c>
      <c r="AB1709">
        <v>2.0400000000000001E-3</v>
      </c>
      <c r="AD1709">
        <v>1.4400000000000001E-3</v>
      </c>
      <c r="AF1709">
        <v>2.7499999999999998E-3</v>
      </c>
      <c r="AG1709" t="s">
        <v>95</v>
      </c>
      <c r="AX1709" t="s">
        <v>144</v>
      </c>
      <c r="AY1709" t="s">
        <v>438</v>
      </c>
      <c r="AZ1709" t="s">
        <v>412</v>
      </c>
      <c r="BC1709">
        <v>3</v>
      </c>
      <c r="BH1709" t="s">
        <v>99</v>
      </c>
      <c r="BO1709" t="s">
        <v>111</v>
      </c>
      <c r="CD1709" t="s">
        <v>1397</v>
      </c>
      <c r="CE1709">
        <v>167314</v>
      </c>
      <c r="CF1709" t="s">
        <v>1398</v>
      </c>
      <c r="CG1709" t="s">
        <v>1399</v>
      </c>
      <c r="CH1709">
        <v>2013</v>
      </c>
    </row>
    <row r="1710" spans="1:86" hidden="1" x14ac:dyDescent="0.25">
      <c r="A1710">
        <v>330541</v>
      </c>
      <c r="B1710" t="s">
        <v>86</v>
      </c>
      <c r="D1710" t="s">
        <v>87</v>
      </c>
      <c r="E1710" t="s">
        <v>106</v>
      </c>
      <c r="F1710">
        <v>95</v>
      </c>
      <c r="K1710" t="s">
        <v>1400</v>
      </c>
      <c r="L1710" t="s">
        <v>1401</v>
      </c>
      <c r="M1710" t="s">
        <v>1368</v>
      </c>
      <c r="V1710" t="s">
        <v>507</v>
      </c>
      <c r="W1710" t="s">
        <v>107</v>
      </c>
      <c r="X1710" t="s">
        <v>93</v>
      </c>
      <c r="Y1710">
        <v>9</v>
      </c>
      <c r="Z1710" t="s">
        <v>94</v>
      </c>
      <c r="AB1710">
        <v>2.0899999999999998E-3</v>
      </c>
      <c r="AD1710">
        <v>1.4499999999999999E-3</v>
      </c>
      <c r="AF1710">
        <v>2.8500000000000001E-3</v>
      </c>
      <c r="AG1710" t="s">
        <v>95</v>
      </c>
      <c r="AX1710" t="s">
        <v>144</v>
      </c>
      <c r="AY1710" t="s">
        <v>438</v>
      </c>
      <c r="AZ1710" t="s">
        <v>412</v>
      </c>
      <c r="BC1710">
        <v>1</v>
      </c>
      <c r="BH1710" t="s">
        <v>99</v>
      </c>
      <c r="BO1710" t="s">
        <v>111</v>
      </c>
      <c r="CD1710" t="s">
        <v>1397</v>
      </c>
      <c r="CE1710">
        <v>167314</v>
      </c>
      <c r="CF1710" t="s">
        <v>1398</v>
      </c>
      <c r="CG1710" t="s">
        <v>1399</v>
      </c>
      <c r="CH1710">
        <v>2013</v>
      </c>
    </row>
    <row r="1711" spans="1:86" hidden="1" x14ac:dyDescent="0.25">
      <c r="A1711">
        <v>330541</v>
      </c>
      <c r="B1711" t="s">
        <v>86</v>
      </c>
      <c r="D1711" t="s">
        <v>87</v>
      </c>
      <c r="E1711" t="s">
        <v>106</v>
      </c>
      <c r="F1711">
        <v>95</v>
      </c>
      <c r="K1711" t="s">
        <v>1400</v>
      </c>
      <c r="L1711" t="s">
        <v>1401</v>
      </c>
      <c r="M1711" t="s">
        <v>1368</v>
      </c>
      <c r="V1711" t="s">
        <v>507</v>
      </c>
      <c r="W1711" t="s">
        <v>107</v>
      </c>
      <c r="X1711" t="s">
        <v>93</v>
      </c>
      <c r="Y1711">
        <v>9</v>
      </c>
      <c r="Z1711" t="s">
        <v>94</v>
      </c>
      <c r="AB1711">
        <v>1.5200000000000001E-3</v>
      </c>
      <c r="AD1711">
        <v>1.06E-3</v>
      </c>
      <c r="AF1711">
        <v>2.0200000000000001E-3</v>
      </c>
      <c r="AG1711" t="s">
        <v>95</v>
      </c>
      <c r="AX1711" t="s">
        <v>144</v>
      </c>
      <c r="AY1711" t="s">
        <v>438</v>
      </c>
      <c r="AZ1711" t="s">
        <v>412</v>
      </c>
      <c r="BC1711">
        <v>3</v>
      </c>
      <c r="BH1711" t="s">
        <v>99</v>
      </c>
      <c r="BO1711" t="s">
        <v>111</v>
      </c>
      <c r="CD1711" t="s">
        <v>1397</v>
      </c>
      <c r="CE1711">
        <v>167314</v>
      </c>
      <c r="CF1711" t="s">
        <v>1398</v>
      </c>
      <c r="CG1711" t="s">
        <v>1399</v>
      </c>
      <c r="CH1711">
        <v>2013</v>
      </c>
    </row>
    <row r="1712" spans="1:86" hidden="1" x14ac:dyDescent="0.25">
      <c r="A1712">
        <v>330541</v>
      </c>
      <c r="B1712" t="s">
        <v>86</v>
      </c>
      <c r="D1712" t="s">
        <v>87</v>
      </c>
      <c r="E1712" t="s">
        <v>106</v>
      </c>
      <c r="F1712">
        <v>95</v>
      </c>
      <c r="K1712" t="s">
        <v>1395</v>
      </c>
      <c r="L1712" t="s">
        <v>1396</v>
      </c>
      <c r="M1712" t="s">
        <v>1368</v>
      </c>
      <c r="V1712" t="s">
        <v>507</v>
      </c>
      <c r="W1712" t="s">
        <v>107</v>
      </c>
      <c r="X1712" t="s">
        <v>93</v>
      </c>
      <c r="Y1712">
        <v>9</v>
      </c>
      <c r="Z1712" t="s">
        <v>94</v>
      </c>
      <c r="AB1712">
        <v>2.0500000000000002E-3</v>
      </c>
      <c r="AD1712">
        <v>1.8E-3</v>
      </c>
      <c r="AF1712">
        <v>2.3400000000000001E-3</v>
      </c>
      <c r="AG1712" t="s">
        <v>95</v>
      </c>
      <c r="AX1712" t="s">
        <v>144</v>
      </c>
      <c r="AY1712" t="s">
        <v>438</v>
      </c>
      <c r="AZ1712" t="s">
        <v>412</v>
      </c>
      <c r="BC1712">
        <v>1</v>
      </c>
      <c r="BH1712" t="s">
        <v>99</v>
      </c>
      <c r="BO1712" t="s">
        <v>111</v>
      </c>
      <c r="CD1712" t="s">
        <v>1397</v>
      </c>
      <c r="CE1712">
        <v>167314</v>
      </c>
      <c r="CF1712" t="s">
        <v>1398</v>
      </c>
      <c r="CG1712" t="s">
        <v>1399</v>
      </c>
      <c r="CH1712">
        <v>2013</v>
      </c>
    </row>
    <row r="1713" spans="1:86" hidden="1" x14ac:dyDescent="0.25">
      <c r="A1713">
        <v>330541</v>
      </c>
      <c r="B1713" t="s">
        <v>86</v>
      </c>
      <c r="D1713" t="s">
        <v>87</v>
      </c>
      <c r="E1713" t="s">
        <v>106</v>
      </c>
      <c r="F1713">
        <v>95</v>
      </c>
      <c r="K1713" t="s">
        <v>1400</v>
      </c>
      <c r="L1713" t="s">
        <v>1401</v>
      </c>
      <c r="M1713" t="s">
        <v>1368</v>
      </c>
      <c r="V1713" t="s">
        <v>507</v>
      </c>
      <c r="W1713" t="s">
        <v>107</v>
      </c>
      <c r="X1713" t="s">
        <v>93</v>
      </c>
      <c r="Y1713">
        <v>9</v>
      </c>
      <c r="Z1713" t="s">
        <v>94</v>
      </c>
      <c r="AB1713">
        <v>8.5999999999999998E-4</v>
      </c>
      <c r="AD1713">
        <v>6.6E-4</v>
      </c>
      <c r="AF1713">
        <v>1.1000000000000001E-3</v>
      </c>
      <c r="AG1713" t="s">
        <v>95</v>
      </c>
      <c r="AX1713" t="s">
        <v>144</v>
      </c>
      <c r="AY1713" t="s">
        <v>438</v>
      </c>
      <c r="AZ1713" t="s">
        <v>412</v>
      </c>
      <c r="BC1713">
        <v>3</v>
      </c>
      <c r="BH1713" t="s">
        <v>99</v>
      </c>
      <c r="BO1713" t="s">
        <v>111</v>
      </c>
      <c r="CD1713" t="s">
        <v>1397</v>
      </c>
      <c r="CE1713">
        <v>167314</v>
      </c>
      <c r="CF1713" t="s">
        <v>1398</v>
      </c>
      <c r="CG1713" t="s">
        <v>1399</v>
      </c>
      <c r="CH1713">
        <v>2013</v>
      </c>
    </row>
    <row r="1714" spans="1:86" hidden="1" x14ac:dyDescent="0.25">
      <c r="A1714">
        <v>330541</v>
      </c>
      <c r="B1714" t="s">
        <v>86</v>
      </c>
      <c r="D1714" t="s">
        <v>87</v>
      </c>
      <c r="E1714" t="s">
        <v>106</v>
      </c>
      <c r="F1714">
        <v>95</v>
      </c>
      <c r="K1714" t="s">
        <v>1395</v>
      </c>
      <c r="L1714" t="s">
        <v>1396</v>
      </c>
      <c r="M1714" t="s">
        <v>1368</v>
      </c>
      <c r="V1714" t="s">
        <v>507</v>
      </c>
      <c r="W1714" t="s">
        <v>107</v>
      </c>
      <c r="X1714" t="s">
        <v>93</v>
      </c>
      <c r="Y1714">
        <v>9</v>
      </c>
      <c r="Z1714" t="s">
        <v>94</v>
      </c>
      <c r="AB1714">
        <v>1.15E-3</v>
      </c>
      <c r="AD1714">
        <v>9.1E-4</v>
      </c>
      <c r="AF1714">
        <v>1.39E-3</v>
      </c>
      <c r="AG1714" t="s">
        <v>95</v>
      </c>
      <c r="AX1714" t="s">
        <v>144</v>
      </c>
      <c r="AY1714" t="s">
        <v>438</v>
      </c>
      <c r="AZ1714" t="s">
        <v>412</v>
      </c>
      <c r="BC1714">
        <v>1</v>
      </c>
      <c r="BH1714" t="s">
        <v>99</v>
      </c>
      <c r="BO1714" t="s">
        <v>111</v>
      </c>
      <c r="CD1714" t="s">
        <v>1397</v>
      </c>
      <c r="CE1714">
        <v>167314</v>
      </c>
      <c r="CF1714" t="s">
        <v>1398</v>
      </c>
      <c r="CG1714" t="s">
        <v>1399</v>
      </c>
      <c r="CH1714">
        <v>2013</v>
      </c>
    </row>
    <row r="1715" spans="1:86" hidden="1" x14ac:dyDescent="0.25">
      <c r="A1715">
        <v>330541</v>
      </c>
      <c r="B1715" t="s">
        <v>86</v>
      </c>
      <c r="D1715" t="s">
        <v>87</v>
      </c>
      <c r="E1715" t="s">
        <v>106</v>
      </c>
      <c r="F1715">
        <v>95</v>
      </c>
      <c r="K1715" t="s">
        <v>1400</v>
      </c>
      <c r="L1715" t="s">
        <v>1401</v>
      </c>
      <c r="M1715" t="s">
        <v>1368</v>
      </c>
      <c r="V1715" t="s">
        <v>507</v>
      </c>
      <c r="W1715" t="s">
        <v>107</v>
      </c>
      <c r="X1715" t="s">
        <v>93</v>
      </c>
      <c r="Y1715">
        <v>9</v>
      </c>
      <c r="Z1715" t="s">
        <v>94</v>
      </c>
      <c r="AB1715">
        <v>7.5000000000000002E-4</v>
      </c>
      <c r="AD1715">
        <v>6.2E-4</v>
      </c>
      <c r="AF1715">
        <v>8.8000000000000003E-4</v>
      </c>
      <c r="AG1715" t="s">
        <v>95</v>
      </c>
      <c r="AX1715" t="s">
        <v>144</v>
      </c>
      <c r="AY1715" t="s">
        <v>438</v>
      </c>
      <c r="AZ1715" t="s">
        <v>412</v>
      </c>
      <c r="BC1715">
        <v>1</v>
      </c>
      <c r="BH1715" t="s">
        <v>99</v>
      </c>
      <c r="BO1715" t="s">
        <v>111</v>
      </c>
      <c r="CD1715" t="s">
        <v>1397</v>
      </c>
      <c r="CE1715">
        <v>167314</v>
      </c>
      <c r="CF1715" t="s">
        <v>1398</v>
      </c>
      <c r="CG1715" t="s">
        <v>1399</v>
      </c>
      <c r="CH1715">
        <v>2013</v>
      </c>
    </row>
    <row r="1716" spans="1:86" hidden="1" x14ac:dyDescent="0.25">
      <c r="A1716">
        <v>330541</v>
      </c>
      <c r="B1716" t="s">
        <v>86</v>
      </c>
      <c r="D1716" t="s">
        <v>87</v>
      </c>
      <c r="E1716" t="s">
        <v>106</v>
      </c>
      <c r="F1716">
        <v>95</v>
      </c>
      <c r="K1716" t="s">
        <v>1395</v>
      </c>
      <c r="L1716" t="s">
        <v>1396</v>
      </c>
      <c r="M1716" t="s">
        <v>1368</v>
      </c>
      <c r="V1716" t="s">
        <v>507</v>
      </c>
      <c r="W1716" t="s">
        <v>107</v>
      </c>
      <c r="X1716" t="s">
        <v>93</v>
      </c>
      <c r="Y1716">
        <v>9</v>
      </c>
      <c r="Z1716" t="s">
        <v>94</v>
      </c>
      <c r="AB1716">
        <v>8.8000000000000003E-4</v>
      </c>
      <c r="AD1716">
        <v>5.4000000000000001E-4</v>
      </c>
      <c r="AF1716">
        <v>1.23E-3</v>
      </c>
      <c r="AG1716" t="s">
        <v>95</v>
      </c>
      <c r="AX1716" t="s">
        <v>144</v>
      </c>
      <c r="AY1716" t="s">
        <v>438</v>
      </c>
      <c r="AZ1716" t="s">
        <v>412</v>
      </c>
      <c r="BC1716">
        <v>3</v>
      </c>
      <c r="BH1716" t="s">
        <v>99</v>
      </c>
      <c r="BO1716" t="s">
        <v>111</v>
      </c>
      <c r="CD1716" t="s">
        <v>1397</v>
      </c>
      <c r="CE1716">
        <v>167314</v>
      </c>
      <c r="CF1716" t="s">
        <v>1398</v>
      </c>
      <c r="CG1716" t="s">
        <v>1399</v>
      </c>
      <c r="CH1716">
        <v>2013</v>
      </c>
    </row>
    <row r="1717" spans="1:86" hidden="1" x14ac:dyDescent="0.25">
      <c r="A1717">
        <v>330541</v>
      </c>
      <c r="B1717" t="s">
        <v>86</v>
      </c>
      <c r="D1717" t="s">
        <v>87</v>
      </c>
      <c r="E1717" t="s">
        <v>106</v>
      </c>
      <c r="F1717">
        <v>95</v>
      </c>
      <c r="K1717" t="s">
        <v>1395</v>
      </c>
      <c r="L1717" t="s">
        <v>1396</v>
      </c>
      <c r="M1717" t="s">
        <v>1368</v>
      </c>
      <c r="V1717" t="s">
        <v>507</v>
      </c>
      <c r="W1717" t="s">
        <v>107</v>
      </c>
      <c r="X1717" t="s">
        <v>93</v>
      </c>
      <c r="Y1717">
        <v>9</v>
      </c>
      <c r="Z1717" t="s">
        <v>94</v>
      </c>
      <c r="AB1717">
        <v>8.3300000000000006E-3</v>
      </c>
      <c r="AD1717">
        <v>6.5799999999999999E-3</v>
      </c>
      <c r="AF1717">
        <v>1.0800000000000001E-2</v>
      </c>
      <c r="AG1717" t="s">
        <v>95</v>
      </c>
      <c r="AX1717" t="s">
        <v>144</v>
      </c>
      <c r="AY1717" t="s">
        <v>438</v>
      </c>
      <c r="AZ1717" t="s">
        <v>422</v>
      </c>
      <c r="BC1717">
        <v>3</v>
      </c>
      <c r="BH1717" t="s">
        <v>99</v>
      </c>
      <c r="BO1717" t="s">
        <v>111</v>
      </c>
      <c r="CD1717" t="s">
        <v>1397</v>
      </c>
      <c r="CE1717">
        <v>167314</v>
      </c>
      <c r="CF1717" t="s">
        <v>1398</v>
      </c>
      <c r="CG1717" t="s">
        <v>1399</v>
      </c>
      <c r="CH1717">
        <v>2013</v>
      </c>
    </row>
    <row r="1718" spans="1:86" hidden="1" x14ac:dyDescent="0.25">
      <c r="A1718">
        <v>330541</v>
      </c>
      <c r="B1718" t="s">
        <v>86</v>
      </c>
      <c r="D1718" t="s">
        <v>87</v>
      </c>
      <c r="E1718" t="s">
        <v>106</v>
      </c>
      <c r="F1718">
        <v>95</v>
      </c>
      <c r="K1718" t="s">
        <v>1400</v>
      </c>
      <c r="L1718" t="s">
        <v>1401</v>
      </c>
      <c r="M1718" t="s">
        <v>1368</v>
      </c>
      <c r="V1718" t="s">
        <v>507</v>
      </c>
      <c r="W1718" t="s">
        <v>107</v>
      </c>
      <c r="X1718" t="s">
        <v>93</v>
      </c>
      <c r="Y1718">
        <v>9</v>
      </c>
      <c r="Z1718" t="s">
        <v>94</v>
      </c>
      <c r="AB1718">
        <v>5.8900000000000003E-3</v>
      </c>
      <c r="AD1718">
        <v>4.6899999999999997E-3</v>
      </c>
      <c r="AF1718">
        <v>7.5199999999999998E-3</v>
      </c>
      <c r="AG1718" t="s">
        <v>95</v>
      </c>
      <c r="AX1718" t="s">
        <v>144</v>
      </c>
      <c r="AY1718" t="s">
        <v>438</v>
      </c>
      <c r="AZ1718" t="s">
        <v>422</v>
      </c>
      <c r="BC1718">
        <v>3</v>
      </c>
      <c r="BH1718" t="s">
        <v>99</v>
      </c>
      <c r="BO1718" t="s">
        <v>111</v>
      </c>
      <c r="CD1718" t="s">
        <v>1397</v>
      </c>
      <c r="CE1718">
        <v>167314</v>
      </c>
      <c r="CF1718" t="s">
        <v>1398</v>
      </c>
      <c r="CG1718" t="s">
        <v>1399</v>
      </c>
      <c r="CH1718">
        <v>2013</v>
      </c>
    </row>
    <row r="1719" spans="1:86" hidden="1" x14ac:dyDescent="0.25">
      <c r="A1719">
        <v>330541</v>
      </c>
      <c r="B1719" t="s">
        <v>86</v>
      </c>
      <c r="D1719" t="s">
        <v>87</v>
      </c>
      <c r="E1719" t="s">
        <v>106</v>
      </c>
      <c r="F1719">
        <v>95</v>
      </c>
      <c r="K1719" t="s">
        <v>1400</v>
      </c>
      <c r="L1719" t="s">
        <v>1401</v>
      </c>
      <c r="M1719" t="s">
        <v>1368</v>
      </c>
      <c r="V1719" t="s">
        <v>507</v>
      </c>
      <c r="W1719" t="s">
        <v>107</v>
      </c>
      <c r="X1719" t="s">
        <v>93</v>
      </c>
      <c r="Y1719">
        <v>9</v>
      </c>
      <c r="Z1719" t="s">
        <v>94</v>
      </c>
      <c r="AB1719">
        <v>2.4099999999999998E-3</v>
      </c>
      <c r="AD1719">
        <v>2.0400000000000001E-3</v>
      </c>
      <c r="AF1719">
        <v>2.8800000000000002E-3</v>
      </c>
      <c r="AG1719" t="s">
        <v>95</v>
      </c>
      <c r="AX1719" t="s">
        <v>144</v>
      </c>
      <c r="AY1719" t="s">
        <v>438</v>
      </c>
      <c r="AZ1719" t="s">
        <v>422</v>
      </c>
      <c r="BC1719">
        <v>3</v>
      </c>
      <c r="BH1719" t="s">
        <v>99</v>
      </c>
      <c r="BO1719" t="s">
        <v>111</v>
      </c>
      <c r="CD1719" t="s">
        <v>1397</v>
      </c>
      <c r="CE1719">
        <v>167314</v>
      </c>
      <c r="CF1719" t="s">
        <v>1398</v>
      </c>
      <c r="CG1719" t="s">
        <v>1399</v>
      </c>
      <c r="CH1719">
        <v>2013</v>
      </c>
    </row>
    <row r="1720" spans="1:86" hidden="1" x14ac:dyDescent="0.25">
      <c r="A1720">
        <v>330541</v>
      </c>
      <c r="B1720" t="s">
        <v>86</v>
      </c>
      <c r="D1720" t="s">
        <v>87</v>
      </c>
      <c r="E1720" t="s">
        <v>106</v>
      </c>
      <c r="F1720">
        <v>95</v>
      </c>
      <c r="K1720" t="s">
        <v>1400</v>
      </c>
      <c r="L1720" t="s">
        <v>1401</v>
      </c>
      <c r="M1720" t="s">
        <v>1368</v>
      </c>
      <c r="V1720" t="s">
        <v>507</v>
      </c>
      <c r="W1720" t="s">
        <v>107</v>
      </c>
      <c r="X1720" t="s">
        <v>93</v>
      </c>
      <c r="Y1720">
        <v>9</v>
      </c>
      <c r="Z1720" t="s">
        <v>94</v>
      </c>
      <c r="AB1720">
        <v>6.0299999999999998E-3</v>
      </c>
      <c r="AD1720">
        <v>4.6299999999999996E-3</v>
      </c>
      <c r="AF1720">
        <v>8.2400000000000008E-3</v>
      </c>
      <c r="AG1720" t="s">
        <v>95</v>
      </c>
      <c r="AX1720" t="s">
        <v>144</v>
      </c>
      <c r="AY1720" t="s">
        <v>438</v>
      </c>
      <c r="AZ1720" t="s">
        <v>422</v>
      </c>
      <c r="BC1720">
        <v>1</v>
      </c>
      <c r="BH1720" t="s">
        <v>99</v>
      </c>
      <c r="BO1720" t="s">
        <v>111</v>
      </c>
      <c r="CD1720" t="s">
        <v>1397</v>
      </c>
      <c r="CE1720">
        <v>167314</v>
      </c>
      <c r="CF1720" t="s">
        <v>1398</v>
      </c>
      <c r="CG1720" t="s">
        <v>1399</v>
      </c>
      <c r="CH1720">
        <v>2013</v>
      </c>
    </row>
    <row r="1721" spans="1:86" hidden="1" x14ac:dyDescent="0.25">
      <c r="A1721">
        <v>330541</v>
      </c>
      <c r="B1721" t="s">
        <v>86</v>
      </c>
      <c r="D1721" t="s">
        <v>87</v>
      </c>
      <c r="E1721" t="s">
        <v>106</v>
      </c>
      <c r="F1721">
        <v>95</v>
      </c>
      <c r="K1721" t="s">
        <v>1400</v>
      </c>
      <c r="L1721" t="s">
        <v>1401</v>
      </c>
      <c r="M1721" t="s">
        <v>1368</v>
      </c>
      <c r="V1721" t="s">
        <v>507</v>
      </c>
      <c r="W1721" t="s">
        <v>107</v>
      </c>
      <c r="X1721" t="s">
        <v>93</v>
      </c>
      <c r="Y1721">
        <v>9</v>
      </c>
      <c r="Z1721" t="s">
        <v>94</v>
      </c>
      <c r="AB1721">
        <v>2.3500000000000001E-3</v>
      </c>
      <c r="AD1721">
        <v>2.0699999999999998E-3</v>
      </c>
      <c r="AF1721">
        <v>2.66E-3</v>
      </c>
      <c r="AG1721" t="s">
        <v>95</v>
      </c>
      <c r="AX1721" t="s">
        <v>144</v>
      </c>
      <c r="AY1721" t="s">
        <v>438</v>
      </c>
      <c r="AZ1721" t="s">
        <v>422</v>
      </c>
      <c r="BC1721">
        <v>1</v>
      </c>
      <c r="BH1721" t="s">
        <v>99</v>
      </c>
      <c r="BO1721" t="s">
        <v>111</v>
      </c>
      <c r="CD1721" t="s">
        <v>1397</v>
      </c>
      <c r="CE1721">
        <v>167314</v>
      </c>
      <c r="CF1721" t="s">
        <v>1398</v>
      </c>
      <c r="CG1721" t="s">
        <v>1399</v>
      </c>
      <c r="CH1721">
        <v>2013</v>
      </c>
    </row>
    <row r="1722" spans="1:86" hidden="1" x14ac:dyDescent="0.25">
      <c r="A1722">
        <v>330541</v>
      </c>
      <c r="B1722" t="s">
        <v>86</v>
      </c>
      <c r="D1722" t="s">
        <v>87</v>
      </c>
      <c r="E1722" t="s">
        <v>106</v>
      </c>
      <c r="F1722">
        <v>95</v>
      </c>
      <c r="K1722" t="s">
        <v>1395</v>
      </c>
      <c r="L1722" t="s">
        <v>1396</v>
      </c>
      <c r="M1722" t="s">
        <v>1368</v>
      </c>
      <c r="V1722" t="s">
        <v>507</v>
      </c>
      <c r="W1722" t="s">
        <v>107</v>
      </c>
      <c r="X1722" t="s">
        <v>93</v>
      </c>
      <c r="Y1722">
        <v>9</v>
      </c>
      <c r="Z1722" t="s">
        <v>94</v>
      </c>
      <c r="AB1722">
        <v>9.8600000000000007E-3</v>
      </c>
      <c r="AD1722">
        <v>9.0399999999999994E-3</v>
      </c>
      <c r="AF1722">
        <v>1.09E-2</v>
      </c>
      <c r="AG1722" t="s">
        <v>95</v>
      </c>
      <c r="AX1722" t="s">
        <v>144</v>
      </c>
      <c r="AY1722" t="s">
        <v>438</v>
      </c>
      <c r="AZ1722" t="s">
        <v>422</v>
      </c>
      <c r="BC1722">
        <v>1</v>
      </c>
      <c r="BH1722" t="s">
        <v>99</v>
      </c>
      <c r="BO1722" t="s">
        <v>111</v>
      </c>
      <c r="CD1722" t="s">
        <v>1397</v>
      </c>
      <c r="CE1722">
        <v>167314</v>
      </c>
      <c r="CF1722" t="s">
        <v>1398</v>
      </c>
      <c r="CG1722" t="s">
        <v>1399</v>
      </c>
      <c r="CH1722">
        <v>2013</v>
      </c>
    </row>
    <row r="1723" spans="1:86" hidden="1" x14ac:dyDescent="0.25">
      <c r="A1723">
        <v>330541</v>
      </c>
      <c r="B1723" t="s">
        <v>86</v>
      </c>
      <c r="D1723" t="s">
        <v>87</v>
      </c>
      <c r="E1723" t="s">
        <v>106</v>
      </c>
      <c r="F1723">
        <v>95</v>
      </c>
      <c r="K1723" t="s">
        <v>1395</v>
      </c>
      <c r="L1723" t="s">
        <v>1396</v>
      </c>
      <c r="M1723" t="s">
        <v>1368</v>
      </c>
      <c r="V1723" t="s">
        <v>507</v>
      </c>
      <c r="W1723" t="s">
        <v>107</v>
      </c>
      <c r="X1723" t="s">
        <v>93</v>
      </c>
      <c r="Y1723">
        <v>9</v>
      </c>
      <c r="Z1723" t="s">
        <v>94</v>
      </c>
      <c r="AB1723">
        <v>2.47E-3</v>
      </c>
      <c r="AD1723">
        <v>1.9599999999999999E-3</v>
      </c>
      <c r="AF1723">
        <v>3.2299999999999998E-3</v>
      </c>
      <c r="AG1723" t="s">
        <v>95</v>
      </c>
      <c r="AX1723" t="s">
        <v>144</v>
      </c>
      <c r="AY1723" t="s">
        <v>438</v>
      </c>
      <c r="AZ1723" t="s">
        <v>422</v>
      </c>
      <c r="BC1723">
        <v>3</v>
      </c>
      <c r="BH1723" t="s">
        <v>99</v>
      </c>
      <c r="BO1723" t="s">
        <v>111</v>
      </c>
      <c r="CD1723" t="s">
        <v>1397</v>
      </c>
      <c r="CE1723">
        <v>167314</v>
      </c>
      <c r="CF1723" t="s">
        <v>1398</v>
      </c>
      <c r="CG1723" t="s">
        <v>1399</v>
      </c>
      <c r="CH1723">
        <v>2013</v>
      </c>
    </row>
    <row r="1724" spans="1:86" hidden="1" x14ac:dyDescent="0.25">
      <c r="A1724">
        <v>330541</v>
      </c>
      <c r="B1724" t="s">
        <v>86</v>
      </c>
      <c r="D1724" t="s">
        <v>87</v>
      </c>
      <c r="E1724" t="s">
        <v>106</v>
      </c>
      <c r="F1724">
        <v>95</v>
      </c>
      <c r="K1724" t="s">
        <v>1395</v>
      </c>
      <c r="L1724" t="s">
        <v>1396</v>
      </c>
      <c r="M1724" t="s">
        <v>1368</v>
      </c>
      <c r="V1724" t="s">
        <v>507</v>
      </c>
      <c r="W1724" t="s">
        <v>107</v>
      </c>
      <c r="X1724" t="s">
        <v>93</v>
      </c>
      <c r="Y1724">
        <v>9</v>
      </c>
      <c r="Z1724" t="s">
        <v>94</v>
      </c>
      <c r="AB1724">
        <v>2.4199999999999998E-3</v>
      </c>
      <c r="AD1724">
        <v>2.0999999999999999E-3</v>
      </c>
      <c r="AF1724">
        <v>2.82E-3</v>
      </c>
      <c r="AG1724" t="s">
        <v>95</v>
      </c>
      <c r="AX1724" t="s">
        <v>144</v>
      </c>
      <c r="AY1724" t="s">
        <v>438</v>
      </c>
      <c r="AZ1724" t="s">
        <v>422</v>
      </c>
      <c r="BC1724">
        <v>1</v>
      </c>
      <c r="BH1724" t="s">
        <v>99</v>
      </c>
      <c r="BO1724" t="s">
        <v>111</v>
      </c>
      <c r="CD1724" t="s">
        <v>1397</v>
      </c>
      <c r="CE1724">
        <v>167314</v>
      </c>
      <c r="CF1724" t="s">
        <v>1398</v>
      </c>
      <c r="CG1724" t="s">
        <v>1399</v>
      </c>
      <c r="CH1724">
        <v>2013</v>
      </c>
    </row>
    <row r="1725" spans="1:86" hidden="1" x14ac:dyDescent="0.25">
      <c r="A1725">
        <v>330541</v>
      </c>
      <c r="B1725" t="s">
        <v>86</v>
      </c>
      <c r="D1725" t="s">
        <v>115</v>
      </c>
      <c r="K1725" t="s">
        <v>1366</v>
      </c>
      <c r="L1725" t="s">
        <v>1367</v>
      </c>
      <c r="M1725" t="s">
        <v>1368</v>
      </c>
      <c r="V1725" t="s">
        <v>91</v>
      </c>
      <c r="W1725" t="s">
        <v>92</v>
      </c>
      <c r="X1725" t="s">
        <v>93</v>
      </c>
      <c r="Z1725" t="s">
        <v>137</v>
      </c>
      <c r="AB1725">
        <v>1.0955568400000001E-2</v>
      </c>
      <c r="AG1725" t="s">
        <v>95</v>
      </c>
      <c r="AX1725" t="s">
        <v>108</v>
      </c>
      <c r="AY1725" t="s">
        <v>150</v>
      </c>
      <c r="AZ1725" t="s">
        <v>422</v>
      </c>
      <c r="BC1725">
        <v>8</v>
      </c>
      <c r="BH1725" t="s">
        <v>99</v>
      </c>
      <c r="BO1725" t="s">
        <v>111</v>
      </c>
      <c r="CD1725" t="s">
        <v>865</v>
      </c>
      <c r="CE1725">
        <v>78497</v>
      </c>
      <c r="CF1725" t="s">
        <v>866</v>
      </c>
      <c r="CG1725" t="s">
        <v>867</v>
      </c>
      <c r="CH1725">
        <v>1992</v>
      </c>
    </row>
    <row r="1726" spans="1:86" hidden="1" x14ac:dyDescent="0.25">
      <c r="A1726">
        <v>330541</v>
      </c>
      <c r="B1726" t="s">
        <v>86</v>
      </c>
      <c r="D1726" t="s">
        <v>115</v>
      </c>
      <c r="E1726" t="s">
        <v>106</v>
      </c>
      <c r="F1726">
        <v>99</v>
      </c>
      <c r="K1726" t="s">
        <v>1390</v>
      </c>
      <c r="L1726" t="s">
        <v>1391</v>
      </c>
      <c r="M1726" t="s">
        <v>1368</v>
      </c>
      <c r="V1726" t="s">
        <v>91</v>
      </c>
      <c r="W1726" t="s">
        <v>107</v>
      </c>
      <c r="X1726" t="s">
        <v>93</v>
      </c>
      <c r="Y1726">
        <v>4</v>
      </c>
      <c r="Z1726" t="s">
        <v>94</v>
      </c>
      <c r="AB1726">
        <v>1E-3</v>
      </c>
      <c r="AG1726" t="s">
        <v>95</v>
      </c>
      <c r="AX1726" t="s">
        <v>144</v>
      </c>
      <c r="AY1726" t="s">
        <v>438</v>
      </c>
      <c r="AZ1726" t="s">
        <v>486</v>
      </c>
      <c r="BE1726">
        <v>8.3299999999999999E-2</v>
      </c>
      <c r="BG1726">
        <v>3</v>
      </c>
      <c r="BH1726" t="s">
        <v>99</v>
      </c>
      <c r="BO1726" t="s">
        <v>111</v>
      </c>
      <c r="CD1726" t="s">
        <v>1392</v>
      </c>
      <c r="CE1726">
        <v>187697</v>
      </c>
      <c r="CF1726" t="s">
        <v>1393</v>
      </c>
      <c r="CG1726" t="s">
        <v>1394</v>
      </c>
      <c r="CH1726">
        <v>2012</v>
      </c>
    </row>
    <row r="1727" spans="1:86" hidden="1" x14ac:dyDescent="0.25">
      <c r="A1727">
        <v>330541</v>
      </c>
      <c r="B1727" t="s">
        <v>86</v>
      </c>
      <c r="D1727" t="s">
        <v>115</v>
      </c>
      <c r="K1727" t="s">
        <v>1402</v>
      </c>
      <c r="L1727" t="s">
        <v>1403</v>
      </c>
      <c r="M1727" t="s">
        <v>1368</v>
      </c>
      <c r="V1727" t="s">
        <v>91</v>
      </c>
      <c r="W1727" t="s">
        <v>92</v>
      </c>
      <c r="X1727" t="s">
        <v>93</v>
      </c>
      <c r="Y1727">
        <v>2</v>
      </c>
      <c r="Z1727" t="s">
        <v>137</v>
      </c>
      <c r="AB1727">
        <v>70</v>
      </c>
      <c r="AG1727" t="s">
        <v>95</v>
      </c>
      <c r="AX1727" t="s">
        <v>144</v>
      </c>
      <c r="AY1727" t="s">
        <v>109</v>
      </c>
      <c r="AZ1727" t="s">
        <v>486</v>
      </c>
      <c r="BC1727">
        <v>1.3899999999999999E-2</v>
      </c>
      <c r="BH1727" t="s">
        <v>99</v>
      </c>
      <c r="BO1727" t="s">
        <v>111</v>
      </c>
      <c r="CD1727" t="s">
        <v>1404</v>
      </c>
      <c r="CE1727">
        <v>152296</v>
      </c>
      <c r="CF1727" t="s">
        <v>1405</v>
      </c>
      <c r="CG1727" t="s">
        <v>1406</v>
      </c>
      <c r="CH1727">
        <v>2010</v>
      </c>
    </row>
    <row r="1728" spans="1:86" hidden="1" x14ac:dyDescent="0.25">
      <c r="A1728">
        <v>330541</v>
      </c>
      <c r="B1728" t="s">
        <v>86</v>
      </c>
      <c r="D1728" t="s">
        <v>87</v>
      </c>
      <c r="E1728" t="s">
        <v>106</v>
      </c>
      <c r="F1728">
        <v>95</v>
      </c>
      <c r="K1728" t="s">
        <v>1400</v>
      </c>
      <c r="L1728" t="s">
        <v>1401</v>
      </c>
      <c r="M1728" t="s">
        <v>1368</v>
      </c>
      <c r="V1728" t="s">
        <v>507</v>
      </c>
      <c r="W1728" t="s">
        <v>107</v>
      </c>
      <c r="X1728" t="s">
        <v>93</v>
      </c>
      <c r="Y1728">
        <v>9</v>
      </c>
      <c r="Z1728" t="s">
        <v>94</v>
      </c>
      <c r="AB1728"/>
      <c r="AD1728">
        <v>1.09E-3</v>
      </c>
      <c r="AF1728">
        <v>1.15E-3</v>
      </c>
      <c r="AG1728" t="s">
        <v>95</v>
      </c>
      <c r="AX1728" t="s">
        <v>144</v>
      </c>
      <c r="AY1728" t="s">
        <v>438</v>
      </c>
      <c r="AZ1728" t="s">
        <v>486</v>
      </c>
      <c r="BC1728">
        <v>3</v>
      </c>
      <c r="BH1728" t="s">
        <v>99</v>
      </c>
      <c r="BO1728" t="s">
        <v>111</v>
      </c>
      <c r="CD1728" t="s">
        <v>1397</v>
      </c>
      <c r="CE1728">
        <v>167314</v>
      </c>
      <c r="CF1728" t="s">
        <v>1398</v>
      </c>
      <c r="CG1728" t="s">
        <v>1399</v>
      </c>
      <c r="CH1728">
        <v>2013</v>
      </c>
    </row>
    <row r="1729" spans="1:86" hidden="1" x14ac:dyDescent="0.25">
      <c r="A1729">
        <v>330541</v>
      </c>
      <c r="B1729" t="s">
        <v>86</v>
      </c>
      <c r="D1729" t="s">
        <v>115</v>
      </c>
      <c r="F1729">
        <v>98.4</v>
      </c>
      <c r="K1729" t="s">
        <v>1407</v>
      </c>
      <c r="L1729" t="s">
        <v>1408</v>
      </c>
      <c r="M1729" t="s">
        <v>1368</v>
      </c>
      <c r="V1729" t="s">
        <v>491</v>
      </c>
      <c r="W1729" t="s">
        <v>92</v>
      </c>
      <c r="X1729" t="s">
        <v>492</v>
      </c>
      <c r="Y1729">
        <v>2</v>
      </c>
      <c r="Z1729" t="s">
        <v>94</v>
      </c>
      <c r="AB1729">
        <v>5.0000000000000001E-3</v>
      </c>
      <c r="AG1729" t="s">
        <v>95</v>
      </c>
      <c r="AX1729" t="s">
        <v>144</v>
      </c>
      <c r="AY1729" t="s">
        <v>109</v>
      </c>
      <c r="AZ1729" t="s">
        <v>486</v>
      </c>
      <c r="BC1729">
        <v>5</v>
      </c>
      <c r="BH1729" t="s">
        <v>99</v>
      </c>
      <c r="BO1729" t="s">
        <v>111</v>
      </c>
      <c r="CD1729" t="s">
        <v>493</v>
      </c>
      <c r="CE1729">
        <v>165274</v>
      </c>
      <c r="CF1729" t="s">
        <v>494</v>
      </c>
      <c r="CG1729" t="s">
        <v>495</v>
      </c>
      <c r="CH1729">
        <v>2012</v>
      </c>
    </row>
    <row r="1730" spans="1:86" hidden="1" x14ac:dyDescent="0.25">
      <c r="A1730">
        <v>330541</v>
      </c>
      <c r="B1730" t="s">
        <v>86</v>
      </c>
      <c r="D1730" t="s">
        <v>115</v>
      </c>
      <c r="F1730">
        <v>98.4</v>
      </c>
      <c r="K1730" t="s">
        <v>1407</v>
      </c>
      <c r="L1730" t="s">
        <v>1408</v>
      </c>
      <c r="M1730" t="s">
        <v>1368</v>
      </c>
      <c r="V1730" t="s">
        <v>491</v>
      </c>
      <c r="W1730" t="s">
        <v>92</v>
      </c>
      <c r="X1730" t="s">
        <v>492</v>
      </c>
      <c r="Y1730">
        <v>2</v>
      </c>
      <c r="Z1730" t="s">
        <v>94</v>
      </c>
      <c r="AB1730">
        <v>5.0000000000000001E-3</v>
      </c>
      <c r="AG1730" t="s">
        <v>95</v>
      </c>
      <c r="AX1730" t="s">
        <v>144</v>
      </c>
      <c r="AY1730" t="s">
        <v>109</v>
      </c>
      <c r="AZ1730" t="s">
        <v>486</v>
      </c>
      <c r="BC1730">
        <v>12</v>
      </c>
      <c r="BH1730" t="s">
        <v>99</v>
      </c>
      <c r="BO1730" t="s">
        <v>111</v>
      </c>
      <c r="CD1730" t="s">
        <v>493</v>
      </c>
      <c r="CE1730">
        <v>165274</v>
      </c>
      <c r="CF1730" t="s">
        <v>494</v>
      </c>
      <c r="CG1730" t="s">
        <v>495</v>
      </c>
      <c r="CH1730">
        <v>2012</v>
      </c>
    </row>
    <row r="1731" spans="1:86" hidden="1" x14ac:dyDescent="0.25">
      <c r="A1731">
        <v>330541</v>
      </c>
      <c r="B1731" t="s">
        <v>86</v>
      </c>
      <c r="D1731" t="s">
        <v>115</v>
      </c>
      <c r="F1731">
        <v>98.4</v>
      </c>
      <c r="K1731" t="s">
        <v>1407</v>
      </c>
      <c r="L1731" t="s">
        <v>1408</v>
      </c>
      <c r="M1731" t="s">
        <v>1368</v>
      </c>
      <c r="V1731" t="s">
        <v>491</v>
      </c>
      <c r="W1731" t="s">
        <v>92</v>
      </c>
      <c r="X1731" t="s">
        <v>492</v>
      </c>
      <c r="Y1731">
        <v>2</v>
      </c>
      <c r="Z1731" t="s">
        <v>94</v>
      </c>
      <c r="AB1731">
        <v>5.0000000000000001E-3</v>
      </c>
      <c r="AG1731" t="s">
        <v>95</v>
      </c>
      <c r="AX1731" t="s">
        <v>144</v>
      </c>
      <c r="AY1731" t="s">
        <v>109</v>
      </c>
      <c r="AZ1731" t="s">
        <v>486</v>
      </c>
      <c r="BC1731">
        <v>2</v>
      </c>
      <c r="BH1731" t="s">
        <v>99</v>
      </c>
      <c r="BO1731" t="s">
        <v>111</v>
      </c>
      <c r="CD1731" t="s">
        <v>493</v>
      </c>
      <c r="CE1731">
        <v>165274</v>
      </c>
      <c r="CF1731" t="s">
        <v>494</v>
      </c>
      <c r="CG1731" t="s">
        <v>495</v>
      </c>
      <c r="CH1731">
        <v>2012</v>
      </c>
    </row>
    <row r="1732" spans="1:86" hidden="1" x14ac:dyDescent="0.25">
      <c r="A1732">
        <v>330541</v>
      </c>
      <c r="B1732" t="s">
        <v>86</v>
      </c>
      <c r="D1732" t="s">
        <v>87</v>
      </c>
      <c r="E1732" t="s">
        <v>106</v>
      </c>
      <c r="F1732">
        <v>95</v>
      </c>
      <c r="K1732" t="s">
        <v>1395</v>
      </c>
      <c r="L1732" t="s">
        <v>1396</v>
      </c>
      <c r="M1732" t="s">
        <v>1368</v>
      </c>
      <c r="V1732" t="s">
        <v>507</v>
      </c>
      <c r="W1732" t="s">
        <v>107</v>
      </c>
      <c r="X1732" t="s">
        <v>93</v>
      </c>
      <c r="Y1732">
        <v>9</v>
      </c>
      <c r="Z1732" t="s">
        <v>94</v>
      </c>
      <c r="AB1732"/>
      <c r="AD1732">
        <v>1.09E-3</v>
      </c>
      <c r="AF1732">
        <v>1.15E-3</v>
      </c>
      <c r="AG1732" t="s">
        <v>95</v>
      </c>
      <c r="AX1732" t="s">
        <v>144</v>
      </c>
      <c r="AY1732" t="s">
        <v>438</v>
      </c>
      <c r="AZ1732" t="s">
        <v>486</v>
      </c>
      <c r="BC1732">
        <v>3</v>
      </c>
      <c r="BH1732" t="s">
        <v>99</v>
      </c>
      <c r="BO1732" t="s">
        <v>111</v>
      </c>
      <c r="CD1732" t="s">
        <v>1397</v>
      </c>
      <c r="CE1732">
        <v>167314</v>
      </c>
      <c r="CF1732" t="s">
        <v>1398</v>
      </c>
      <c r="CG1732" t="s">
        <v>1399</v>
      </c>
      <c r="CH1732">
        <v>2013</v>
      </c>
    </row>
    <row r="1733" spans="1:86" hidden="1" x14ac:dyDescent="0.25">
      <c r="A1733">
        <v>330541</v>
      </c>
      <c r="B1733" t="s">
        <v>86</v>
      </c>
      <c r="D1733" t="s">
        <v>87</v>
      </c>
      <c r="E1733" t="s">
        <v>106</v>
      </c>
      <c r="F1733">
        <v>95</v>
      </c>
      <c r="K1733" t="s">
        <v>1400</v>
      </c>
      <c r="L1733" t="s">
        <v>1401</v>
      </c>
      <c r="M1733" t="s">
        <v>1368</v>
      </c>
      <c r="V1733" t="s">
        <v>507</v>
      </c>
      <c r="W1733" t="s">
        <v>107</v>
      </c>
      <c r="X1733" t="s">
        <v>93</v>
      </c>
      <c r="Y1733">
        <v>9</v>
      </c>
      <c r="Z1733" t="s">
        <v>94</v>
      </c>
      <c r="AB1733"/>
      <c r="AD1733">
        <v>1.09E-3</v>
      </c>
      <c r="AF1733">
        <v>1.15E-3</v>
      </c>
      <c r="AG1733" t="s">
        <v>95</v>
      </c>
      <c r="AX1733" t="s">
        <v>144</v>
      </c>
      <c r="AY1733" t="s">
        <v>438</v>
      </c>
      <c r="AZ1733" t="s">
        <v>486</v>
      </c>
      <c r="BC1733">
        <v>3</v>
      </c>
      <c r="BH1733" t="s">
        <v>99</v>
      </c>
      <c r="BO1733" t="s">
        <v>111</v>
      </c>
      <c r="CD1733" t="s">
        <v>1397</v>
      </c>
      <c r="CE1733">
        <v>167314</v>
      </c>
      <c r="CF1733" t="s">
        <v>1398</v>
      </c>
      <c r="CG1733" t="s">
        <v>1399</v>
      </c>
      <c r="CH1733">
        <v>2013</v>
      </c>
    </row>
    <row r="1734" spans="1:86" hidden="1" x14ac:dyDescent="0.25">
      <c r="A1734">
        <v>330541</v>
      </c>
      <c r="B1734" t="s">
        <v>86</v>
      </c>
      <c r="D1734" t="s">
        <v>115</v>
      </c>
      <c r="E1734" t="s">
        <v>106</v>
      </c>
      <c r="F1734">
        <v>99</v>
      </c>
      <c r="K1734" t="s">
        <v>1383</v>
      </c>
      <c r="L1734" t="s">
        <v>1384</v>
      </c>
      <c r="M1734" t="s">
        <v>1368</v>
      </c>
      <c r="V1734" t="s">
        <v>91</v>
      </c>
      <c r="W1734" t="s">
        <v>92</v>
      </c>
      <c r="X1734" t="s">
        <v>93</v>
      </c>
      <c r="Y1734">
        <v>5</v>
      </c>
      <c r="Z1734" t="s">
        <v>94</v>
      </c>
      <c r="AB1734">
        <v>5.0000000000000001E-4</v>
      </c>
      <c r="AG1734" t="s">
        <v>95</v>
      </c>
      <c r="AX1734" t="s">
        <v>196</v>
      </c>
      <c r="AY1734" t="s">
        <v>318</v>
      </c>
      <c r="AZ1734" t="s">
        <v>486</v>
      </c>
      <c r="BC1734">
        <v>14</v>
      </c>
      <c r="BH1734" t="s">
        <v>99</v>
      </c>
      <c r="BO1734" t="s">
        <v>111</v>
      </c>
      <c r="CD1734" t="s">
        <v>319</v>
      </c>
      <c r="CE1734">
        <v>102064</v>
      </c>
      <c r="CF1734" t="s">
        <v>320</v>
      </c>
      <c r="CG1734" t="s">
        <v>321</v>
      </c>
      <c r="CH1734">
        <v>2006</v>
      </c>
    </row>
    <row r="1735" spans="1:86" hidden="1" x14ac:dyDescent="0.25">
      <c r="A1735">
        <v>330541</v>
      </c>
      <c r="B1735" t="s">
        <v>86</v>
      </c>
      <c r="D1735" t="s">
        <v>87</v>
      </c>
      <c r="E1735" t="s">
        <v>106</v>
      </c>
      <c r="F1735">
        <v>95</v>
      </c>
      <c r="K1735" t="s">
        <v>1395</v>
      </c>
      <c r="L1735" t="s">
        <v>1396</v>
      </c>
      <c r="M1735" t="s">
        <v>1368</v>
      </c>
      <c r="V1735" t="s">
        <v>507</v>
      </c>
      <c r="W1735" t="s">
        <v>107</v>
      </c>
      <c r="X1735" t="s">
        <v>93</v>
      </c>
      <c r="Y1735">
        <v>9</v>
      </c>
      <c r="Z1735" t="s">
        <v>94</v>
      </c>
      <c r="AB1735"/>
      <c r="AD1735">
        <v>1.09E-3</v>
      </c>
      <c r="AF1735">
        <v>1.15E-3</v>
      </c>
      <c r="AG1735" t="s">
        <v>95</v>
      </c>
      <c r="AX1735" t="s">
        <v>144</v>
      </c>
      <c r="AY1735" t="s">
        <v>438</v>
      </c>
      <c r="AZ1735" t="s">
        <v>486</v>
      </c>
      <c r="BC1735">
        <v>3</v>
      </c>
      <c r="BH1735" t="s">
        <v>99</v>
      </c>
      <c r="BO1735" t="s">
        <v>111</v>
      </c>
      <c r="CD1735" t="s">
        <v>1397</v>
      </c>
      <c r="CE1735">
        <v>167314</v>
      </c>
      <c r="CF1735" t="s">
        <v>1398</v>
      </c>
      <c r="CG1735" t="s">
        <v>1399</v>
      </c>
      <c r="CH1735">
        <v>2013</v>
      </c>
    </row>
    <row r="1736" spans="1:86" hidden="1" x14ac:dyDescent="0.25">
      <c r="A1736">
        <v>330541</v>
      </c>
      <c r="B1736" t="s">
        <v>86</v>
      </c>
      <c r="D1736" t="s">
        <v>115</v>
      </c>
      <c r="E1736" t="s">
        <v>106</v>
      </c>
      <c r="F1736">
        <v>99</v>
      </c>
      <c r="K1736" t="s">
        <v>1390</v>
      </c>
      <c r="L1736" t="s">
        <v>1391</v>
      </c>
      <c r="M1736" t="s">
        <v>1368</v>
      </c>
      <c r="V1736" t="s">
        <v>91</v>
      </c>
      <c r="W1736" t="s">
        <v>107</v>
      </c>
      <c r="X1736" t="s">
        <v>93</v>
      </c>
      <c r="Y1736">
        <v>4</v>
      </c>
      <c r="Z1736" t="s">
        <v>94</v>
      </c>
      <c r="AB1736">
        <v>1E-3</v>
      </c>
      <c r="AG1736" t="s">
        <v>95</v>
      </c>
      <c r="AX1736" t="s">
        <v>144</v>
      </c>
      <c r="AY1736" t="s">
        <v>109</v>
      </c>
      <c r="AZ1736" t="s">
        <v>486</v>
      </c>
      <c r="BC1736">
        <v>8.3299999999999999E-2</v>
      </c>
      <c r="BH1736" t="s">
        <v>99</v>
      </c>
      <c r="BO1736" t="s">
        <v>111</v>
      </c>
      <c r="CD1736" t="s">
        <v>1392</v>
      </c>
      <c r="CE1736">
        <v>187697</v>
      </c>
      <c r="CF1736" t="s">
        <v>1393</v>
      </c>
      <c r="CG1736" t="s">
        <v>1394</v>
      </c>
      <c r="CH1736">
        <v>2012</v>
      </c>
    </row>
    <row r="1737" spans="1:86" hidden="1" x14ac:dyDescent="0.25">
      <c r="A1737">
        <v>330541</v>
      </c>
      <c r="B1737" t="s">
        <v>86</v>
      </c>
      <c r="D1737" t="s">
        <v>115</v>
      </c>
      <c r="E1737" t="s">
        <v>106</v>
      </c>
      <c r="F1737">
        <v>99</v>
      </c>
      <c r="K1737" t="s">
        <v>1383</v>
      </c>
      <c r="L1737" t="s">
        <v>1384</v>
      </c>
      <c r="M1737" t="s">
        <v>1368</v>
      </c>
      <c r="V1737" t="s">
        <v>91</v>
      </c>
      <c r="W1737" t="s">
        <v>92</v>
      </c>
      <c r="X1737" t="s">
        <v>93</v>
      </c>
      <c r="Y1737">
        <v>5</v>
      </c>
      <c r="Z1737" t="s">
        <v>94</v>
      </c>
      <c r="AB1737">
        <v>4.9999999999999998E-7</v>
      </c>
      <c r="AG1737" t="s">
        <v>95</v>
      </c>
      <c r="AX1737" t="s">
        <v>196</v>
      </c>
      <c r="AY1737" t="s">
        <v>318</v>
      </c>
      <c r="AZ1737" t="s">
        <v>486</v>
      </c>
      <c r="BA1737" t="s">
        <v>1372</v>
      </c>
      <c r="BC1737">
        <v>14</v>
      </c>
      <c r="BH1737" t="s">
        <v>99</v>
      </c>
      <c r="BO1737" t="s">
        <v>111</v>
      </c>
      <c r="CD1737" t="s">
        <v>319</v>
      </c>
      <c r="CE1737">
        <v>102064</v>
      </c>
      <c r="CF1737" t="s">
        <v>320</v>
      </c>
      <c r="CG1737" t="s">
        <v>321</v>
      </c>
      <c r="CH1737">
        <v>2006</v>
      </c>
    </row>
    <row r="1738" spans="1:86" hidden="1" x14ac:dyDescent="0.25">
      <c r="A1738">
        <v>330541</v>
      </c>
      <c r="B1738" t="s">
        <v>86</v>
      </c>
      <c r="D1738" t="s">
        <v>115</v>
      </c>
      <c r="K1738" t="s">
        <v>1409</v>
      </c>
      <c r="L1738" t="s">
        <v>1379</v>
      </c>
      <c r="M1738" t="s">
        <v>1368</v>
      </c>
      <c r="V1738" t="s">
        <v>91</v>
      </c>
      <c r="W1738" t="s">
        <v>107</v>
      </c>
      <c r="X1738" t="s">
        <v>93</v>
      </c>
      <c r="Y1738">
        <v>3</v>
      </c>
      <c r="Z1738" t="s">
        <v>137</v>
      </c>
      <c r="AB1738">
        <v>0.01</v>
      </c>
      <c r="AG1738" t="s">
        <v>95</v>
      </c>
      <c r="AX1738" t="s">
        <v>201</v>
      </c>
      <c r="AY1738" t="s">
        <v>202</v>
      </c>
      <c r="AZ1738" t="s">
        <v>555</v>
      </c>
      <c r="BA1738" t="s">
        <v>1410</v>
      </c>
      <c r="BC1738">
        <v>8.3299999999999999E-2</v>
      </c>
      <c r="BH1738" t="s">
        <v>99</v>
      </c>
      <c r="BO1738" t="s">
        <v>111</v>
      </c>
      <c r="CD1738" t="s">
        <v>1411</v>
      </c>
      <c r="CE1738">
        <v>72996</v>
      </c>
      <c r="CF1738" t="s">
        <v>1412</v>
      </c>
      <c r="CG1738" t="s">
        <v>1413</v>
      </c>
      <c r="CH1738">
        <v>2003</v>
      </c>
    </row>
    <row r="1739" spans="1:86" hidden="1" x14ac:dyDescent="0.25">
      <c r="A1739">
        <v>330541</v>
      </c>
      <c r="B1739" t="s">
        <v>86</v>
      </c>
      <c r="C1739" t="s">
        <v>183</v>
      </c>
      <c r="D1739" t="s">
        <v>87</v>
      </c>
      <c r="F1739">
        <v>98</v>
      </c>
      <c r="K1739" t="s">
        <v>1373</v>
      </c>
      <c r="L1739" t="s">
        <v>1374</v>
      </c>
      <c r="M1739" t="s">
        <v>1368</v>
      </c>
      <c r="V1739" t="s">
        <v>91</v>
      </c>
      <c r="W1739" t="s">
        <v>107</v>
      </c>
      <c r="X1739" t="s">
        <v>93</v>
      </c>
      <c r="Y1739">
        <v>5</v>
      </c>
      <c r="Z1739" t="s">
        <v>94</v>
      </c>
      <c r="AB1739"/>
      <c r="AD1739">
        <v>1E-4</v>
      </c>
      <c r="AF1739">
        <v>2.0000000000000001E-4</v>
      </c>
      <c r="AG1739" t="s">
        <v>95</v>
      </c>
      <c r="AX1739" t="s">
        <v>108</v>
      </c>
      <c r="AY1739" t="s">
        <v>109</v>
      </c>
      <c r="AZ1739" t="s">
        <v>555</v>
      </c>
      <c r="BC1739">
        <v>5</v>
      </c>
      <c r="BH1739" t="s">
        <v>99</v>
      </c>
      <c r="BO1739" t="s">
        <v>111</v>
      </c>
      <c r="CD1739" t="s">
        <v>1414</v>
      </c>
      <c r="CE1739">
        <v>56599</v>
      </c>
      <c r="CF1739" t="s">
        <v>1415</v>
      </c>
      <c r="CG1739" t="s">
        <v>1416</v>
      </c>
      <c r="CH1739">
        <v>2000</v>
      </c>
    </row>
    <row r="1740" spans="1:86" hidden="1" x14ac:dyDescent="0.25">
      <c r="A1740">
        <v>330541</v>
      </c>
      <c r="B1740" t="s">
        <v>86</v>
      </c>
      <c r="C1740" t="s">
        <v>183</v>
      </c>
      <c r="D1740" t="s">
        <v>87</v>
      </c>
      <c r="F1740">
        <v>98</v>
      </c>
      <c r="K1740" t="s">
        <v>1417</v>
      </c>
      <c r="L1740" t="s">
        <v>1418</v>
      </c>
      <c r="M1740" t="s">
        <v>1368</v>
      </c>
      <c r="V1740" t="s">
        <v>91</v>
      </c>
      <c r="W1740" t="s">
        <v>107</v>
      </c>
      <c r="X1740" t="s">
        <v>93</v>
      </c>
      <c r="Y1740">
        <v>5</v>
      </c>
      <c r="Z1740" t="s">
        <v>94</v>
      </c>
      <c r="AB1740"/>
      <c r="AD1740">
        <v>7.1999999999999998E-3</v>
      </c>
      <c r="AF1740">
        <v>8.3999999999999995E-3</v>
      </c>
      <c r="AG1740" t="s">
        <v>95</v>
      </c>
      <c r="AX1740" t="s">
        <v>108</v>
      </c>
      <c r="AY1740" t="s">
        <v>109</v>
      </c>
      <c r="AZ1740" t="s">
        <v>555</v>
      </c>
      <c r="BC1740">
        <v>5</v>
      </c>
      <c r="BH1740" t="s">
        <v>99</v>
      </c>
      <c r="BO1740" t="s">
        <v>111</v>
      </c>
      <c r="CD1740" t="s">
        <v>1414</v>
      </c>
      <c r="CE1740">
        <v>56599</v>
      </c>
      <c r="CF1740" t="s">
        <v>1415</v>
      </c>
      <c r="CG1740" t="s">
        <v>1416</v>
      </c>
      <c r="CH1740">
        <v>2000</v>
      </c>
    </row>
    <row r="1741" spans="1:86" hidden="1" x14ac:dyDescent="0.25">
      <c r="A1741">
        <v>330541</v>
      </c>
      <c r="B1741" t="s">
        <v>86</v>
      </c>
      <c r="D1741" t="s">
        <v>87</v>
      </c>
      <c r="F1741">
        <v>98.4</v>
      </c>
      <c r="K1741" t="s">
        <v>1407</v>
      </c>
      <c r="L1741" t="s">
        <v>1408</v>
      </c>
      <c r="M1741" t="s">
        <v>1368</v>
      </c>
      <c r="V1741" t="s">
        <v>491</v>
      </c>
      <c r="W1741" t="s">
        <v>92</v>
      </c>
      <c r="X1741" t="s">
        <v>559</v>
      </c>
      <c r="Y1741">
        <v>2</v>
      </c>
      <c r="Z1741" t="s">
        <v>94</v>
      </c>
      <c r="AB1741">
        <v>4.8999999999999998E-3</v>
      </c>
      <c r="AG1741" t="s">
        <v>95</v>
      </c>
      <c r="AX1741" t="s">
        <v>144</v>
      </c>
      <c r="AY1741" t="s">
        <v>438</v>
      </c>
      <c r="AZ1741" t="s">
        <v>555</v>
      </c>
      <c r="BA1741" t="s">
        <v>1410</v>
      </c>
      <c r="BC1741">
        <v>5</v>
      </c>
      <c r="BH1741" t="s">
        <v>99</v>
      </c>
      <c r="BO1741" t="s">
        <v>111</v>
      </c>
      <c r="CD1741" t="s">
        <v>1419</v>
      </c>
      <c r="CE1741">
        <v>151496</v>
      </c>
      <c r="CF1741" t="s">
        <v>1420</v>
      </c>
      <c r="CG1741" t="s">
        <v>1421</v>
      </c>
      <c r="CH1741">
        <v>2010</v>
      </c>
    </row>
    <row r="1742" spans="1:86" hidden="1" x14ac:dyDescent="0.25">
      <c r="A1742">
        <v>330541</v>
      </c>
      <c r="B1742" t="s">
        <v>86</v>
      </c>
      <c r="D1742" t="s">
        <v>87</v>
      </c>
      <c r="F1742">
        <v>98.4</v>
      </c>
      <c r="K1742" t="s">
        <v>1402</v>
      </c>
      <c r="L1742" t="s">
        <v>1403</v>
      </c>
      <c r="M1742" t="s">
        <v>1368</v>
      </c>
      <c r="V1742" t="s">
        <v>491</v>
      </c>
      <c r="W1742" t="s">
        <v>92</v>
      </c>
      <c r="X1742" t="s">
        <v>559</v>
      </c>
      <c r="Y1742">
        <v>2</v>
      </c>
      <c r="Z1742" t="s">
        <v>94</v>
      </c>
      <c r="AB1742"/>
      <c r="AC1742" t="s">
        <v>434</v>
      </c>
      <c r="AD1742">
        <v>5.0000000000000001E-4</v>
      </c>
      <c r="AE1742" t="s">
        <v>434</v>
      </c>
      <c r="AF1742">
        <v>5.4999999999999997E-3</v>
      </c>
      <c r="AG1742" t="s">
        <v>95</v>
      </c>
      <c r="AX1742" t="s">
        <v>108</v>
      </c>
      <c r="AY1742" t="s">
        <v>524</v>
      </c>
      <c r="AZ1742" t="s">
        <v>555</v>
      </c>
      <c r="BC1742">
        <v>12</v>
      </c>
      <c r="BH1742" t="s">
        <v>99</v>
      </c>
      <c r="BO1742" t="s">
        <v>111</v>
      </c>
      <c r="CD1742" t="s">
        <v>1422</v>
      </c>
      <c r="CE1742">
        <v>118321</v>
      </c>
      <c r="CF1742" t="s">
        <v>1423</v>
      </c>
      <c r="CG1742" t="s">
        <v>1424</v>
      </c>
      <c r="CH1742">
        <v>2009</v>
      </c>
    </row>
    <row r="1743" spans="1:86" hidden="1" x14ac:dyDescent="0.25">
      <c r="A1743">
        <v>330541</v>
      </c>
      <c r="B1743" t="s">
        <v>86</v>
      </c>
      <c r="C1743" t="s">
        <v>183</v>
      </c>
      <c r="D1743" t="s">
        <v>115</v>
      </c>
      <c r="F1743">
        <v>98</v>
      </c>
      <c r="K1743" t="s">
        <v>1402</v>
      </c>
      <c r="L1743" t="s">
        <v>1403</v>
      </c>
      <c r="M1743" t="s">
        <v>1368</v>
      </c>
      <c r="V1743" t="s">
        <v>91</v>
      </c>
      <c r="W1743" t="s">
        <v>107</v>
      </c>
      <c r="X1743" t="s">
        <v>93</v>
      </c>
      <c r="Y1743">
        <v>5</v>
      </c>
      <c r="Z1743" t="s">
        <v>94</v>
      </c>
      <c r="AB1743">
        <v>0.01</v>
      </c>
      <c r="AG1743" t="s">
        <v>95</v>
      </c>
      <c r="AX1743" t="s">
        <v>144</v>
      </c>
      <c r="AY1743" t="s">
        <v>438</v>
      </c>
      <c r="AZ1743" t="s">
        <v>555</v>
      </c>
      <c r="BC1743">
        <v>1.04E-2</v>
      </c>
      <c r="BH1743" t="s">
        <v>99</v>
      </c>
      <c r="BO1743" t="s">
        <v>111</v>
      </c>
      <c r="CD1743" t="s">
        <v>1425</v>
      </c>
      <c r="CE1743">
        <v>89249</v>
      </c>
      <c r="CF1743" t="s">
        <v>1426</v>
      </c>
      <c r="CG1743" t="s">
        <v>1427</v>
      </c>
      <c r="CH1743">
        <v>2006</v>
      </c>
    </row>
    <row r="1744" spans="1:86" hidden="1" x14ac:dyDescent="0.25">
      <c r="A1744">
        <v>330541</v>
      </c>
      <c r="B1744" t="s">
        <v>86</v>
      </c>
      <c r="D1744" t="s">
        <v>115</v>
      </c>
      <c r="E1744" t="s">
        <v>106</v>
      </c>
      <c r="F1744">
        <v>98</v>
      </c>
      <c r="K1744" t="s">
        <v>1378</v>
      </c>
      <c r="L1744" t="s">
        <v>1379</v>
      </c>
      <c r="M1744" t="s">
        <v>1368</v>
      </c>
      <c r="V1744" t="s">
        <v>507</v>
      </c>
      <c r="W1744" t="s">
        <v>107</v>
      </c>
      <c r="X1744" t="s">
        <v>93</v>
      </c>
      <c r="Y1744">
        <v>7</v>
      </c>
      <c r="Z1744" t="s">
        <v>94</v>
      </c>
      <c r="AB1744">
        <v>5.0000000000000001E-3</v>
      </c>
      <c r="AG1744" t="s">
        <v>95</v>
      </c>
      <c r="AX1744" t="s">
        <v>196</v>
      </c>
      <c r="AY1744" t="s">
        <v>174</v>
      </c>
      <c r="AZ1744" t="s">
        <v>555</v>
      </c>
      <c r="BC1744">
        <v>10</v>
      </c>
      <c r="BH1744" t="s">
        <v>99</v>
      </c>
      <c r="BO1744" t="s">
        <v>111</v>
      </c>
      <c r="CD1744" t="s">
        <v>1380</v>
      </c>
      <c r="CE1744">
        <v>73299</v>
      </c>
      <c r="CF1744" t="s">
        <v>1381</v>
      </c>
      <c r="CG1744" t="s">
        <v>1382</v>
      </c>
      <c r="CH1744">
        <v>2004</v>
      </c>
    </row>
    <row r="1745" spans="1:86" hidden="1" x14ac:dyDescent="0.25">
      <c r="A1745">
        <v>330541</v>
      </c>
      <c r="B1745" t="s">
        <v>86</v>
      </c>
      <c r="D1745" t="s">
        <v>115</v>
      </c>
      <c r="E1745" t="s">
        <v>106</v>
      </c>
      <c r="F1745">
        <v>98</v>
      </c>
      <c r="K1745" t="s">
        <v>1378</v>
      </c>
      <c r="L1745" t="s">
        <v>1379</v>
      </c>
      <c r="M1745" t="s">
        <v>1368</v>
      </c>
      <c r="V1745" t="s">
        <v>507</v>
      </c>
      <c r="W1745" t="s">
        <v>107</v>
      </c>
      <c r="X1745" t="s">
        <v>93</v>
      </c>
      <c r="Y1745">
        <v>7</v>
      </c>
      <c r="Z1745" t="s">
        <v>94</v>
      </c>
      <c r="AB1745">
        <v>1E-3</v>
      </c>
      <c r="AG1745" t="s">
        <v>95</v>
      </c>
      <c r="AX1745" t="s">
        <v>144</v>
      </c>
      <c r="AY1745" t="s">
        <v>109</v>
      </c>
      <c r="AZ1745" t="s">
        <v>555</v>
      </c>
      <c r="BC1745">
        <v>10</v>
      </c>
      <c r="BH1745" t="s">
        <v>99</v>
      </c>
      <c r="BO1745" t="s">
        <v>111</v>
      </c>
      <c r="CD1745" t="s">
        <v>1380</v>
      </c>
      <c r="CE1745">
        <v>73299</v>
      </c>
      <c r="CF1745" t="s">
        <v>1381</v>
      </c>
      <c r="CG1745" t="s">
        <v>1382</v>
      </c>
      <c r="CH1745">
        <v>2004</v>
      </c>
    </row>
    <row r="1746" spans="1:86" hidden="1" x14ac:dyDescent="0.25">
      <c r="A1746">
        <v>330541</v>
      </c>
      <c r="B1746" t="s">
        <v>86</v>
      </c>
      <c r="D1746" t="s">
        <v>115</v>
      </c>
      <c r="K1746" t="s">
        <v>1409</v>
      </c>
      <c r="L1746" t="s">
        <v>1379</v>
      </c>
      <c r="M1746" t="s">
        <v>1368</v>
      </c>
      <c r="V1746" t="s">
        <v>491</v>
      </c>
      <c r="W1746" t="s">
        <v>107</v>
      </c>
      <c r="X1746" t="s">
        <v>492</v>
      </c>
      <c r="Y1746">
        <v>3</v>
      </c>
      <c r="Z1746" t="s">
        <v>137</v>
      </c>
      <c r="AB1746">
        <v>0.01</v>
      </c>
      <c r="AG1746" t="s">
        <v>95</v>
      </c>
      <c r="AX1746" t="s">
        <v>201</v>
      </c>
      <c r="AY1746" t="s">
        <v>202</v>
      </c>
      <c r="AZ1746" t="s">
        <v>555</v>
      </c>
      <c r="BA1746" t="s">
        <v>1410</v>
      </c>
      <c r="BC1746">
        <v>8.3299999999999999E-2</v>
      </c>
      <c r="BH1746" t="s">
        <v>99</v>
      </c>
      <c r="BO1746" t="s">
        <v>111</v>
      </c>
      <c r="CD1746" t="s">
        <v>1411</v>
      </c>
      <c r="CE1746">
        <v>72996</v>
      </c>
      <c r="CF1746" t="s">
        <v>1412</v>
      </c>
      <c r="CG1746" t="s">
        <v>1413</v>
      </c>
      <c r="CH1746">
        <v>2003</v>
      </c>
    </row>
    <row r="1747" spans="1:86" hidden="1" x14ac:dyDescent="0.25">
      <c r="A1747">
        <v>330541</v>
      </c>
      <c r="B1747" t="s">
        <v>86</v>
      </c>
      <c r="D1747" t="s">
        <v>115</v>
      </c>
      <c r="K1747" t="s">
        <v>1409</v>
      </c>
      <c r="L1747" t="s">
        <v>1379</v>
      </c>
      <c r="M1747" t="s">
        <v>1368</v>
      </c>
      <c r="V1747" t="s">
        <v>91</v>
      </c>
      <c r="W1747" t="s">
        <v>107</v>
      </c>
      <c r="X1747" t="s">
        <v>93</v>
      </c>
      <c r="Y1747">
        <v>3</v>
      </c>
      <c r="Z1747" t="s">
        <v>137</v>
      </c>
      <c r="AB1747">
        <v>0.01</v>
      </c>
      <c r="AG1747" t="s">
        <v>95</v>
      </c>
      <c r="AX1747" t="s">
        <v>201</v>
      </c>
      <c r="AY1747" t="s">
        <v>202</v>
      </c>
      <c r="AZ1747" t="s">
        <v>555</v>
      </c>
      <c r="BA1747" t="s">
        <v>1410</v>
      </c>
      <c r="BC1747">
        <v>8.3299999999999999E-2</v>
      </c>
      <c r="BH1747" t="s">
        <v>99</v>
      </c>
      <c r="BO1747" t="s">
        <v>111</v>
      </c>
      <c r="CD1747" t="s">
        <v>1411</v>
      </c>
      <c r="CE1747">
        <v>72996</v>
      </c>
      <c r="CF1747" t="s">
        <v>1412</v>
      </c>
      <c r="CG1747" t="s">
        <v>1413</v>
      </c>
      <c r="CH1747">
        <v>2003</v>
      </c>
    </row>
    <row r="1748" spans="1:86" hidden="1" x14ac:dyDescent="0.25">
      <c r="A1748">
        <v>330541</v>
      </c>
      <c r="B1748" t="s">
        <v>86</v>
      </c>
      <c r="C1748" t="s">
        <v>183</v>
      </c>
      <c r="D1748" t="s">
        <v>87</v>
      </c>
      <c r="F1748">
        <v>98</v>
      </c>
      <c r="K1748" t="s">
        <v>1409</v>
      </c>
      <c r="L1748" t="s">
        <v>1379</v>
      </c>
      <c r="M1748" t="s">
        <v>1368</v>
      </c>
      <c r="V1748" t="s">
        <v>91</v>
      </c>
      <c r="W1748" t="s">
        <v>107</v>
      </c>
      <c r="X1748" t="s">
        <v>93</v>
      </c>
      <c r="Y1748">
        <v>5</v>
      </c>
      <c r="Z1748" t="s">
        <v>94</v>
      </c>
      <c r="AB1748"/>
      <c r="AD1748">
        <v>1E-4</v>
      </c>
      <c r="AF1748">
        <v>2.0000000000000001E-4</v>
      </c>
      <c r="AG1748" t="s">
        <v>95</v>
      </c>
      <c r="AX1748" t="s">
        <v>108</v>
      </c>
      <c r="AY1748" t="s">
        <v>109</v>
      </c>
      <c r="AZ1748" t="s">
        <v>555</v>
      </c>
      <c r="BC1748">
        <v>5</v>
      </c>
      <c r="BH1748" t="s">
        <v>99</v>
      </c>
      <c r="BO1748" t="s">
        <v>111</v>
      </c>
      <c r="CD1748" t="s">
        <v>1414</v>
      </c>
      <c r="CE1748">
        <v>56599</v>
      </c>
      <c r="CF1748" t="s">
        <v>1415</v>
      </c>
      <c r="CG1748" t="s">
        <v>1416</v>
      </c>
      <c r="CH1748">
        <v>2000</v>
      </c>
    </row>
    <row r="1749" spans="1:86" hidden="1" x14ac:dyDescent="0.25">
      <c r="A1749">
        <v>330541</v>
      </c>
      <c r="B1749" t="s">
        <v>86</v>
      </c>
      <c r="D1749" t="s">
        <v>87</v>
      </c>
      <c r="E1749" t="s">
        <v>106</v>
      </c>
      <c r="F1749">
        <v>95</v>
      </c>
      <c r="K1749" t="s">
        <v>1400</v>
      </c>
      <c r="L1749" t="s">
        <v>1401</v>
      </c>
      <c r="M1749" t="s">
        <v>1368</v>
      </c>
      <c r="V1749" t="s">
        <v>507</v>
      </c>
      <c r="W1749" t="s">
        <v>107</v>
      </c>
      <c r="X1749" t="s">
        <v>93</v>
      </c>
      <c r="Y1749">
        <v>9</v>
      </c>
      <c r="Z1749" t="s">
        <v>94</v>
      </c>
      <c r="AB1749">
        <v>3.4000000000000002E-4</v>
      </c>
      <c r="AG1749" t="s">
        <v>95</v>
      </c>
      <c r="AX1749" t="s">
        <v>144</v>
      </c>
      <c r="AY1749" t="s">
        <v>438</v>
      </c>
      <c r="AZ1749" t="s">
        <v>586</v>
      </c>
      <c r="BC1749">
        <v>3</v>
      </c>
      <c r="BH1749" t="s">
        <v>99</v>
      </c>
      <c r="BO1749" t="s">
        <v>111</v>
      </c>
      <c r="CD1749" t="s">
        <v>1397</v>
      </c>
      <c r="CE1749">
        <v>167314</v>
      </c>
      <c r="CF1749" t="s">
        <v>1398</v>
      </c>
      <c r="CG1749" t="s">
        <v>1399</v>
      </c>
      <c r="CH1749">
        <v>2013</v>
      </c>
    </row>
    <row r="1750" spans="1:86" hidden="1" x14ac:dyDescent="0.25">
      <c r="A1750">
        <v>330541</v>
      </c>
      <c r="B1750" t="s">
        <v>86</v>
      </c>
      <c r="D1750" t="s">
        <v>115</v>
      </c>
      <c r="E1750" t="s">
        <v>106</v>
      </c>
      <c r="F1750">
        <v>99</v>
      </c>
      <c r="K1750" t="s">
        <v>1383</v>
      </c>
      <c r="L1750" t="s">
        <v>1384</v>
      </c>
      <c r="M1750" t="s">
        <v>1368</v>
      </c>
      <c r="V1750" t="s">
        <v>91</v>
      </c>
      <c r="W1750" t="s">
        <v>92</v>
      </c>
      <c r="X1750" t="s">
        <v>93</v>
      </c>
      <c r="Y1750">
        <v>5</v>
      </c>
      <c r="Z1750" t="s">
        <v>94</v>
      </c>
      <c r="AB1750">
        <v>5.0000000000000002E-5</v>
      </c>
      <c r="AG1750" t="s">
        <v>95</v>
      </c>
      <c r="AX1750" t="s">
        <v>196</v>
      </c>
      <c r="AY1750" t="s">
        <v>318</v>
      </c>
      <c r="AZ1750" t="s">
        <v>586</v>
      </c>
      <c r="BC1750">
        <v>14</v>
      </c>
      <c r="BH1750" t="s">
        <v>99</v>
      </c>
      <c r="BO1750" t="s">
        <v>111</v>
      </c>
      <c r="CD1750" t="s">
        <v>319</v>
      </c>
      <c r="CE1750">
        <v>102064</v>
      </c>
      <c r="CF1750" t="s">
        <v>320</v>
      </c>
      <c r="CG1750" t="s">
        <v>321</v>
      </c>
      <c r="CH1750">
        <v>2006</v>
      </c>
    </row>
    <row r="1751" spans="1:86" hidden="1" x14ac:dyDescent="0.25">
      <c r="A1751">
        <v>330541</v>
      </c>
      <c r="B1751" t="s">
        <v>86</v>
      </c>
      <c r="D1751" t="s">
        <v>87</v>
      </c>
      <c r="E1751" t="s">
        <v>106</v>
      </c>
      <c r="F1751">
        <v>95</v>
      </c>
      <c r="K1751" t="s">
        <v>1395</v>
      </c>
      <c r="L1751" t="s">
        <v>1396</v>
      </c>
      <c r="M1751" t="s">
        <v>1368</v>
      </c>
      <c r="V1751" t="s">
        <v>507</v>
      </c>
      <c r="W1751" t="s">
        <v>107</v>
      </c>
      <c r="X1751" t="s">
        <v>93</v>
      </c>
      <c r="Y1751">
        <v>9</v>
      </c>
      <c r="Z1751" t="s">
        <v>94</v>
      </c>
      <c r="AB1751">
        <v>3.4000000000000002E-4</v>
      </c>
      <c r="AG1751" t="s">
        <v>95</v>
      </c>
      <c r="AX1751" t="s">
        <v>144</v>
      </c>
      <c r="AY1751" t="s">
        <v>438</v>
      </c>
      <c r="AZ1751" t="s">
        <v>586</v>
      </c>
      <c r="BC1751">
        <v>3</v>
      </c>
      <c r="BH1751" t="s">
        <v>99</v>
      </c>
      <c r="BO1751" t="s">
        <v>111</v>
      </c>
      <c r="CD1751" t="s">
        <v>1397</v>
      </c>
      <c r="CE1751">
        <v>167314</v>
      </c>
      <c r="CF1751" t="s">
        <v>1398</v>
      </c>
      <c r="CG1751" t="s">
        <v>1399</v>
      </c>
      <c r="CH1751">
        <v>2013</v>
      </c>
    </row>
    <row r="1752" spans="1:86" hidden="1" x14ac:dyDescent="0.25">
      <c r="A1752">
        <v>330541</v>
      </c>
      <c r="B1752" t="s">
        <v>86</v>
      </c>
      <c r="D1752" t="s">
        <v>87</v>
      </c>
      <c r="E1752" t="s">
        <v>106</v>
      </c>
      <c r="F1752">
        <v>95</v>
      </c>
      <c r="K1752" t="s">
        <v>1395</v>
      </c>
      <c r="L1752" t="s">
        <v>1396</v>
      </c>
      <c r="M1752" t="s">
        <v>1368</v>
      </c>
      <c r="V1752" t="s">
        <v>507</v>
      </c>
      <c r="W1752" t="s">
        <v>107</v>
      </c>
      <c r="X1752" t="s">
        <v>93</v>
      </c>
      <c r="Y1752">
        <v>9</v>
      </c>
      <c r="Z1752" t="s">
        <v>94</v>
      </c>
      <c r="AB1752">
        <v>3.4000000000000002E-4</v>
      </c>
      <c r="AG1752" t="s">
        <v>95</v>
      </c>
      <c r="AX1752" t="s">
        <v>144</v>
      </c>
      <c r="AY1752" t="s">
        <v>438</v>
      </c>
      <c r="AZ1752" t="s">
        <v>586</v>
      </c>
      <c r="BC1752">
        <v>3</v>
      </c>
      <c r="BH1752" t="s">
        <v>99</v>
      </c>
      <c r="BO1752" t="s">
        <v>111</v>
      </c>
      <c r="CD1752" t="s">
        <v>1397</v>
      </c>
      <c r="CE1752">
        <v>167314</v>
      </c>
      <c r="CF1752" t="s">
        <v>1398</v>
      </c>
      <c r="CG1752" t="s">
        <v>1399</v>
      </c>
      <c r="CH1752">
        <v>2013</v>
      </c>
    </row>
    <row r="1753" spans="1:86" hidden="1" x14ac:dyDescent="0.25">
      <c r="A1753">
        <v>330541</v>
      </c>
      <c r="B1753" t="s">
        <v>86</v>
      </c>
      <c r="D1753" t="s">
        <v>115</v>
      </c>
      <c r="E1753" t="s">
        <v>106</v>
      </c>
      <c r="F1753">
        <v>99</v>
      </c>
      <c r="K1753" t="s">
        <v>1390</v>
      </c>
      <c r="L1753" t="s">
        <v>1391</v>
      </c>
      <c r="M1753" t="s">
        <v>1368</v>
      </c>
      <c r="V1753" t="s">
        <v>91</v>
      </c>
      <c r="W1753" t="s">
        <v>107</v>
      </c>
      <c r="X1753" t="s">
        <v>93</v>
      </c>
      <c r="Y1753">
        <v>4</v>
      </c>
      <c r="Z1753" t="s">
        <v>94</v>
      </c>
      <c r="AB1753">
        <v>7.9000000000000001E-4</v>
      </c>
      <c r="AG1753" t="s">
        <v>95</v>
      </c>
      <c r="AX1753" t="s">
        <v>144</v>
      </c>
      <c r="AY1753" t="s">
        <v>109</v>
      </c>
      <c r="AZ1753" t="s">
        <v>586</v>
      </c>
      <c r="BC1753">
        <v>1</v>
      </c>
      <c r="BH1753" t="s">
        <v>99</v>
      </c>
      <c r="BO1753" t="s">
        <v>111</v>
      </c>
      <c r="CD1753" t="s">
        <v>1392</v>
      </c>
      <c r="CE1753">
        <v>187697</v>
      </c>
      <c r="CF1753" t="s">
        <v>1393</v>
      </c>
      <c r="CG1753" t="s">
        <v>1394</v>
      </c>
      <c r="CH1753">
        <v>2012</v>
      </c>
    </row>
    <row r="1754" spans="1:86" hidden="1" x14ac:dyDescent="0.25">
      <c r="A1754">
        <v>330541</v>
      </c>
      <c r="B1754" t="s">
        <v>86</v>
      </c>
      <c r="D1754" t="s">
        <v>115</v>
      </c>
      <c r="E1754" t="s">
        <v>106</v>
      </c>
      <c r="F1754">
        <v>99</v>
      </c>
      <c r="K1754" t="s">
        <v>1390</v>
      </c>
      <c r="L1754" t="s">
        <v>1391</v>
      </c>
      <c r="M1754" t="s">
        <v>1368</v>
      </c>
      <c r="V1754" t="s">
        <v>91</v>
      </c>
      <c r="W1754" t="s">
        <v>107</v>
      </c>
      <c r="X1754" t="s">
        <v>93</v>
      </c>
      <c r="Y1754">
        <v>4</v>
      </c>
      <c r="Z1754" t="s">
        <v>94</v>
      </c>
      <c r="AB1754">
        <v>5.5999999999999995E-4</v>
      </c>
      <c r="AG1754" t="s">
        <v>95</v>
      </c>
      <c r="AX1754" t="s">
        <v>144</v>
      </c>
      <c r="AY1754" t="s">
        <v>109</v>
      </c>
      <c r="AZ1754" t="s">
        <v>586</v>
      </c>
      <c r="BC1754">
        <v>2</v>
      </c>
      <c r="BH1754" t="s">
        <v>99</v>
      </c>
      <c r="BO1754" t="s">
        <v>111</v>
      </c>
      <c r="CD1754" t="s">
        <v>1392</v>
      </c>
      <c r="CE1754">
        <v>187697</v>
      </c>
      <c r="CF1754" t="s">
        <v>1393</v>
      </c>
      <c r="CG1754" t="s">
        <v>1394</v>
      </c>
      <c r="CH1754">
        <v>2012</v>
      </c>
    </row>
    <row r="1755" spans="1:86" hidden="1" x14ac:dyDescent="0.25">
      <c r="A1755">
        <v>330541</v>
      </c>
      <c r="B1755" t="s">
        <v>86</v>
      </c>
      <c r="D1755" t="s">
        <v>115</v>
      </c>
      <c r="E1755" t="s">
        <v>106</v>
      </c>
      <c r="F1755">
        <v>99</v>
      </c>
      <c r="K1755" t="s">
        <v>1390</v>
      </c>
      <c r="L1755" t="s">
        <v>1391</v>
      </c>
      <c r="M1755" t="s">
        <v>1368</v>
      </c>
      <c r="V1755" t="s">
        <v>91</v>
      </c>
      <c r="W1755" t="s">
        <v>107</v>
      </c>
      <c r="X1755" t="s">
        <v>93</v>
      </c>
      <c r="Y1755">
        <v>4</v>
      </c>
      <c r="Z1755" t="s">
        <v>94</v>
      </c>
      <c r="AB1755">
        <v>4.7999999999999996E-3</v>
      </c>
      <c r="AG1755" t="s">
        <v>95</v>
      </c>
      <c r="AX1755" t="s">
        <v>144</v>
      </c>
      <c r="AY1755" t="s">
        <v>109</v>
      </c>
      <c r="AZ1755" t="s">
        <v>586</v>
      </c>
      <c r="BC1755">
        <v>3</v>
      </c>
      <c r="BH1755" t="s">
        <v>99</v>
      </c>
      <c r="BO1755" t="s">
        <v>111</v>
      </c>
      <c r="CD1755" t="s">
        <v>1392</v>
      </c>
      <c r="CE1755">
        <v>187697</v>
      </c>
      <c r="CF1755" t="s">
        <v>1393</v>
      </c>
      <c r="CG1755" t="s">
        <v>1394</v>
      </c>
      <c r="CH1755">
        <v>2012</v>
      </c>
    </row>
    <row r="1756" spans="1:86" hidden="1" x14ac:dyDescent="0.25">
      <c r="A1756">
        <v>330541</v>
      </c>
      <c r="B1756" t="s">
        <v>86</v>
      </c>
      <c r="D1756" t="s">
        <v>115</v>
      </c>
      <c r="E1756" t="s">
        <v>106</v>
      </c>
      <c r="F1756">
        <v>99</v>
      </c>
      <c r="K1756" t="s">
        <v>1383</v>
      </c>
      <c r="L1756" t="s">
        <v>1384</v>
      </c>
      <c r="M1756" t="s">
        <v>1368</v>
      </c>
      <c r="V1756" t="s">
        <v>91</v>
      </c>
      <c r="W1756" t="s">
        <v>92</v>
      </c>
      <c r="X1756" t="s">
        <v>93</v>
      </c>
      <c r="Y1756">
        <v>5</v>
      </c>
      <c r="Z1756" t="s">
        <v>94</v>
      </c>
      <c r="AB1756">
        <v>5.0000000000000001E-3</v>
      </c>
      <c r="AG1756" t="s">
        <v>95</v>
      </c>
      <c r="AX1756" t="s">
        <v>108</v>
      </c>
      <c r="AY1756" t="s">
        <v>311</v>
      </c>
      <c r="AZ1756" t="s">
        <v>586</v>
      </c>
      <c r="BC1756">
        <v>14</v>
      </c>
      <c r="BH1756" t="s">
        <v>99</v>
      </c>
      <c r="BO1756" t="s">
        <v>111</v>
      </c>
      <c r="CD1756" t="s">
        <v>319</v>
      </c>
      <c r="CE1756">
        <v>102064</v>
      </c>
      <c r="CF1756" t="s">
        <v>320</v>
      </c>
      <c r="CG1756" t="s">
        <v>321</v>
      </c>
      <c r="CH1756">
        <v>2006</v>
      </c>
    </row>
    <row r="1757" spans="1:86" hidden="1" x14ac:dyDescent="0.25">
      <c r="A1757">
        <v>330541</v>
      </c>
      <c r="B1757" t="s">
        <v>86</v>
      </c>
      <c r="D1757" t="s">
        <v>115</v>
      </c>
      <c r="F1757">
        <v>98.4</v>
      </c>
      <c r="K1757" t="s">
        <v>1407</v>
      </c>
      <c r="L1757" t="s">
        <v>1408</v>
      </c>
      <c r="M1757" t="s">
        <v>1368</v>
      </c>
      <c r="V1757" t="s">
        <v>491</v>
      </c>
      <c r="W1757" t="s">
        <v>92</v>
      </c>
      <c r="X1757" t="s">
        <v>492</v>
      </c>
      <c r="Y1757">
        <v>2</v>
      </c>
      <c r="Z1757" t="s">
        <v>94</v>
      </c>
      <c r="AB1757">
        <v>5.0000000000000001E-3</v>
      </c>
      <c r="AG1757" t="s">
        <v>95</v>
      </c>
      <c r="AX1757" t="s">
        <v>144</v>
      </c>
      <c r="AY1757" t="s">
        <v>109</v>
      </c>
      <c r="AZ1757" t="s">
        <v>586</v>
      </c>
      <c r="BC1757">
        <v>26</v>
      </c>
      <c r="BH1757" t="s">
        <v>99</v>
      </c>
      <c r="BO1757" t="s">
        <v>111</v>
      </c>
      <c r="CD1757" t="s">
        <v>493</v>
      </c>
      <c r="CE1757">
        <v>165274</v>
      </c>
      <c r="CF1757" t="s">
        <v>494</v>
      </c>
      <c r="CG1757" t="s">
        <v>495</v>
      </c>
      <c r="CH1757">
        <v>2012</v>
      </c>
    </row>
    <row r="1758" spans="1:86" hidden="1" x14ac:dyDescent="0.25">
      <c r="A1758">
        <v>330541</v>
      </c>
      <c r="B1758" t="s">
        <v>86</v>
      </c>
      <c r="D1758" t="s">
        <v>115</v>
      </c>
      <c r="F1758">
        <v>98.4</v>
      </c>
      <c r="K1758" t="s">
        <v>1407</v>
      </c>
      <c r="L1758" t="s">
        <v>1408</v>
      </c>
      <c r="M1758" t="s">
        <v>1368</v>
      </c>
      <c r="V1758" t="s">
        <v>491</v>
      </c>
      <c r="W1758" t="s">
        <v>92</v>
      </c>
      <c r="X1758" t="s">
        <v>492</v>
      </c>
      <c r="Y1758">
        <v>2</v>
      </c>
      <c r="Z1758" t="s">
        <v>94</v>
      </c>
      <c r="AB1758">
        <v>5.0000000000000001E-3</v>
      </c>
      <c r="AG1758" t="s">
        <v>95</v>
      </c>
      <c r="AX1758" t="s">
        <v>144</v>
      </c>
      <c r="AY1758" t="s">
        <v>109</v>
      </c>
      <c r="AZ1758" t="s">
        <v>586</v>
      </c>
      <c r="BC1758">
        <v>34</v>
      </c>
      <c r="BH1758" t="s">
        <v>99</v>
      </c>
      <c r="BO1758" t="s">
        <v>111</v>
      </c>
      <c r="CD1758" t="s">
        <v>493</v>
      </c>
      <c r="CE1758">
        <v>165274</v>
      </c>
      <c r="CF1758" t="s">
        <v>494</v>
      </c>
      <c r="CG1758" t="s">
        <v>495</v>
      </c>
      <c r="CH1758">
        <v>2012</v>
      </c>
    </row>
    <row r="1759" spans="1:86" hidden="1" x14ac:dyDescent="0.25">
      <c r="A1759">
        <v>330541</v>
      </c>
      <c r="B1759" t="s">
        <v>86</v>
      </c>
      <c r="D1759" t="s">
        <v>115</v>
      </c>
      <c r="F1759">
        <v>98.4</v>
      </c>
      <c r="K1759" t="s">
        <v>1407</v>
      </c>
      <c r="L1759" t="s">
        <v>1408</v>
      </c>
      <c r="M1759" t="s">
        <v>1368</v>
      </c>
      <c r="V1759" t="s">
        <v>491</v>
      </c>
      <c r="W1759" t="s">
        <v>92</v>
      </c>
      <c r="X1759" t="s">
        <v>492</v>
      </c>
      <c r="Y1759">
        <v>2</v>
      </c>
      <c r="Z1759" t="s">
        <v>94</v>
      </c>
      <c r="AB1759">
        <v>5.0000000000000001E-3</v>
      </c>
      <c r="AG1759" t="s">
        <v>95</v>
      </c>
      <c r="AX1759" t="s">
        <v>144</v>
      </c>
      <c r="AY1759" t="s">
        <v>109</v>
      </c>
      <c r="AZ1759" t="s">
        <v>586</v>
      </c>
      <c r="BC1759">
        <v>19</v>
      </c>
      <c r="BH1759" t="s">
        <v>99</v>
      </c>
      <c r="BO1759" t="s">
        <v>111</v>
      </c>
      <c r="CD1759" t="s">
        <v>493</v>
      </c>
      <c r="CE1759">
        <v>165274</v>
      </c>
      <c r="CF1759" t="s">
        <v>494</v>
      </c>
      <c r="CG1759" t="s">
        <v>495</v>
      </c>
      <c r="CH1759">
        <v>2012</v>
      </c>
    </row>
    <row r="1760" spans="1:86" hidden="1" x14ac:dyDescent="0.25">
      <c r="A1760">
        <v>330541</v>
      </c>
      <c r="B1760" t="s">
        <v>86</v>
      </c>
      <c r="D1760" t="s">
        <v>87</v>
      </c>
      <c r="E1760" t="s">
        <v>106</v>
      </c>
      <c r="F1760">
        <v>95</v>
      </c>
      <c r="K1760" t="s">
        <v>1400</v>
      </c>
      <c r="L1760" t="s">
        <v>1401</v>
      </c>
      <c r="M1760" t="s">
        <v>1368</v>
      </c>
      <c r="V1760" t="s">
        <v>507</v>
      </c>
      <c r="W1760" t="s">
        <v>107</v>
      </c>
      <c r="X1760" t="s">
        <v>93</v>
      </c>
      <c r="Y1760">
        <v>9</v>
      </c>
      <c r="Z1760" t="s">
        <v>94</v>
      </c>
      <c r="AB1760">
        <v>3.4000000000000002E-4</v>
      </c>
      <c r="AG1760" t="s">
        <v>95</v>
      </c>
      <c r="AX1760" t="s">
        <v>144</v>
      </c>
      <c r="AY1760" t="s">
        <v>438</v>
      </c>
      <c r="AZ1760" t="s">
        <v>586</v>
      </c>
      <c r="BC1760">
        <v>3</v>
      </c>
      <c r="BH1760" t="s">
        <v>99</v>
      </c>
      <c r="BO1760" t="s">
        <v>111</v>
      </c>
      <c r="CD1760" t="s">
        <v>1397</v>
      </c>
      <c r="CE1760">
        <v>167314</v>
      </c>
      <c r="CF1760" t="s">
        <v>1398</v>
      </c>
      <c r="CG1760" t="s">
        <v>1399</v>
      </c>
      <c r="CH1760">
        <v>2013</v>
      </c>
    </row>
    <row r="1761" spans="1:86" hidden="1" x14ac:dyDescent="0.25">
      <c r="A1761">
        <v>330541</v>
      </c>
      <c r="B1761" t="s">
        <v>86</v>
      </c>
      <c r="D1761" t="s">
        <v>115</v>
      </c>
      <c r="E1761" t="s">
        <v>106</v>
      </c>
      <c r="F1761">
        <v>99</v>
      </c>
      <c r="K1761" t="s">
        <v>1383</v>
      </c>
      <c r="L1761" t="s">
        <v>1384</v>
      </c>
      <c r="M1761" t="s">
        <v>1368</v>
      </c>
      <c r="V1761" t="s">
        <v>91</v>
      </c>
      <c r="W1761" t="s">
        <v>92</v>
      </c>
      <c r="X1761" t="s">
        <v>93</v>
      </c>
      <c r="Y1761">
        <v>5</v>
      </c>
      <c r="Z1761" t="s">
        <v>94</v>
      </c>
      <c r="AA1761" t="s">
        <v>234</v>
      </c>
      <c r="AB1761">
        <v>4.9999999999999998E-7</v>
      </c>
      <c r="AG1761" t="s">
        <v>95</v>
      </c>
      <c r="AX1761" t="s">
        <v>196</v>
      </c>
      <c r="AY1761" t="s">
        <v>318</v>
      </c>
      <c r="AZ1761" t="s">
        <v>586</v>
      </c>
      <c r="BA1761" t="s">
        <v>1372</v>
      </c>
      <c r="BC1761">
        <v>14</v>
      </c>
      <c r="BH1761" t="s">
        <v>99</v>
      </c>
      <c r="BO1761" t="s">
        <v>111</v>
      </c>
      <c r="CD1761" t="s">
        <v>319</v>
      </c>
      <c r="CE1761">
        <v>102064</v>
      </c>
      <c r="CF1761" t="s">
        <v>320</v>
      </c>
      <c r="CG1761" t="s">
        <v>321</v>
      </c>
      <c r="CH1761">
        <v>2006</v>
      </c>
    </row>
    <row r="1762" spans="1:86" hidden="1" x14ac:dyDescent="0.25">
      <c r="A1762">
        <v>330541</v>
      </c>
      <c r="B1762" t="s">
        <v>86</v>
      </c>
      <c r="C1762" t="s">
        <v>183</v>
      </c>
      <c r="D1762" t="s">
        <v>115</v>
      </c>
      <c r="F1762">
        <v>98</v>
      </c>
      <c r="K1762" t="s">
        <v>1402</v>
      </c>
      <c r="L1762" t="s">
        <v>1403</v>
      </c>
      <c r="M1762" t="s">
        <v>1368</v>
      </c>
      <c r="V1762" t="s">
        <v>91</v>
      </c>
      <c r="W1762" t="s">
        <v>107</v>
      </c>
      <c r="X1762" t="s">
        <v>93</v>
      </c>
      <c r="Y1762">
        <v>5</v>
      </c>
      <c r="Z1762" t="s">
        <v>94</v>
      </c>
      <c r="AB1762">
        <v>1E-4</v>
      </c>
      <c r="AG1762" t="s">
        <v>95</v>
      </c>
      <c r="AX1762" t="s">
        <v>144</v>
      </c>
      <c r="AY1762" t="s">
        <v>438</v>
      </c>
      <c r="AZ1762" t="s">
        <v>609</v>
      </c>
      <c r="BC1762">
        <v>1.04E-2</v>
      </c>
      <c r="BH1762" t="s">
        <v>99</v>
      </c>
      <c r="BO1762" t="s">
        <v>111</v>
      </c>
      <c r="CD1762" t="s">
        <v>1425</v>
      </c>
      <c r="CE1762">
        <v>89249</v>
      </c>
      <c r="CF1762" t="s">
        <v>1426</v>
      </c>
      <c r="CG1762" t="s">
        <v>1427</v>
      </c>
      <c r="CH1762">
        <v>2006</v>
      </c>
    </row>
    <row r="1763" spans="1:86" hidden="1" x14ac:dyDescent="0.25">
      <c r="A1763">
        <v>330541</v>
      </c>
      <c r="B1763" t="s">
        <v>86</v>
      </c>
      <c r="C1763" t="s">
        <v>183</v>
      </c>
      <c r="D1763" t="s">
        <v>87</v>
      </c>
      <c r="F1763">
        <v>98</v>
      </c>
      <c r="K1763" t="s">
        <v>1417</v>
      </c>
      <c r="L1763" t="s">
        <v>1418</v>
      </c>
      <c r="M1763" t="s">
        <v>1368</v>
      </c>
      <c r="V1763" t="s">
        <v>91</v>
      </c>
      <c r="W1763" t="s">
        <v>107</v>
      </c>
      <c r="X1763" t="s">
        <v>93</v>
      </c>
      <c r="Y1763">
        <v>5</v>
      </c>
      <c r="Z1763" t="s">
        <v>94</v>
      </c>
      <c r="AB1763"/>
      <c r="AD1763">
        <v>8.0000000000000004E-4</v>
      </c>
      <c r="AF1763">
        <v>1E-3</v>
      </c>
      <c r="AG1763" t="s">
        <v>95</v>
      </c>
      <c r="AX1763" t="s">
        <v>108</v>
      </c>
      <c r="AY1763" t="s">
        <v>109</v>
      </c>
      <c r="AZ1763" t="s">
        <v>609</v>
      </c>
      <c r="BC1763">
        <v>5</v>
      </c>
      <c r="BH1763" t="s">
        <v>99</v>
      </c>
      <c r="BO1763" t="s">
        <v>111</v>
      </c>
      <c r="CD1763" t="s">
        <v>1414</v>
      </c>
      <c r="CE1763">
        <v>56599</v>
      </c>
      <c r="CF1763" t="s">
        <v>1415</v>
      </c>
      <c r="CG1763" t="s">
        <v>1416</v>
      </c>
      <c r="CH1763">
        <v>2000</v>
      </c>
    </row>
    <row r="1764" spans="1:86" hidden="1" x14ac:dyDescent="0.25">
      <c r="A1764">
        <v>330541</v>
      </c>
      <c r="B1764" t="s">
        <v>86</v>
      </c>
      <c r="D1764" t="s">
        <v>115</v>
      </c>
      <c r="E1764" t="s">
        <v>106</v>
      </c>
      <c r="F1764">
        <v>98</v>
      </c>
      <c r="K1764" t="s">
        <v>1378</v>
      </c>
      <c r="L1764" t="s">
        <v>1379</v>
      </c>
      <c r="M1764" t="s">
        <v>1368</v>
      </c>
      <c r="V1764" t="s">
        <v>507</v>
      </c>
      <c r="W1764" t="s">
        <v>107</v>
      </c>
      <c r="X1764" t="s">
        <v>93</v>
      </c>
      <c r="Y1764">
        <v>7</v>
      </c>
      <c r="Z1764" t="s">
        <v>94</v>
      </c>
      <c r="AB1764">
        <v>5.0000000000000001E-4</v>
      </c>
      <c r="AG1764" t="s">
        <v>95</v>
      </c>
      <c r="AX1764" t="s">
        <v>144</v>
      </c>
      <c r="AY1764" t="s">
        <v>109</v>
      </c>
      <c r="AZ1764" t="s">
        <v>609</v>
      </c>
      <c r="BC1764">
        <v>10</v>
      </c>
      <c r="BH1764" t="s">
        <v>99</v>
      </c>
      <c r="BO1764" t="s">
        <v>111</v>
      </c>
      <c r="CD1764" t="s">
        <v>1380</v>
      </c>
      <c r="CE1764">
        <v>73299</v>
      </c>
      <c r="CF1764" t="s">
        <v>1381</v>
      </c>
      <c r="CG1764" t="s">
        <v>1382</v>
      </c>
      <c r="CH1764">
        <v>2004</v>
      </c>
    </row>
    <row r="1765" spans="1:86" hidden="1" x14ac:dyDescent="0.25">
      <c r="A1765">
        <v>330541</v>
      </c>
      <c r="B1765" t="s">
        <v>86</v>
      </c>
      <c r="D1765" t="s">
        <v>115</v>
      </c>
      <c r="E1765" t="s">
        <v>106</v>
      </c>
      <c r="F1765">
        <v>98</v>
      </c>
      <c r="K1765" t="s">
        <v>1378</v>
      </c>
      <c r="L1765" t="s">
        <v>1379</v>
      </c>
      <c r="M1765" t="s">
        <v>1368</v>
      </c>
      <c r="V1765" t="s">
        <v>507</v>
      </c>
      <c r="W1765" t="s">
        <v>107</v>
      </c>
      <c r="X1765" t="s">
        <v>93</v>
      </c>
      <c r="Y1765">
        <v>7</v>
      </c>
      <c r="Z1765" t="s">
        <v>94</v>
      </c>
      <c r="AB1765">
        <v>2.5000000000000001E-3</v>
      </c>
      <c r="AG1765" t="s">
        <v>95</v>
      </c>
      <c r="AX1765" t="s">
        <v>196</v>
      </c>
      <c r="AY1765" t="s">
        <v>174</v>
      </c>
      <c r="AZ1765" t="s">
        <v>609</v>
      </c>
      <c r="BC1765">
        <v>10</v>
      </c>
      <c r="BH1765" t="s">
        <v>99</v>
      </c>
      <c r="BO1765" t="s">
        <v>111</v>
      </c>
      <c r="CD1765" t="s">
        <v>1380</v>
      </c>
      <c r="CE1765">
        <v>73299</v>
      </c>
      <c r="CF1765" t="s">
        <v>1381</v>
      </c>
      <c r="CG1765" t="s">
        <v>1382</v>
      </c>
      <c r="CH1765">
        <v>2004</v>
      </c>
    </row>
    <row r="1766" spans="1:86" hidden="1" x14ac:dyDescent="0.25">
      <c r="A1766">
        <v>330541</v>
      </c>
      <c r="B1766" t="s">
        <v>86</v>
      </c>
      <c r="D1766" t="s">
        <v>115</v>
      </c>
      <c r="F1766">
        <v>98</v>
      </c>
      <c r="K1766" t="s">
        <v>1373</v>
      </c>
      <c r="L1766" t="s">
        <v>1374</v>
      </c>
      <c r="M1766" t="s">
        <v>1368</v>
      </c>
      <c r="V1766" t="s">
        <v>91</v>
      </c>
      <c r="W1766" t="s">
        <v>107</v>
      </c>
      <c r="X1766" t="s">
        <v>93</v>
      </c>
      <c r="Z1766" t="s">
        <v>94</v>
      </c>
      <c r="AB1766"/>
      <c r="AD1766">
        <v>0.01</v>
      </c>
      <c r="AF1766">
        <v>1</v>
      </c>
      <c r="AG1766" t="s">
        <v>95</v>
      </c>
      <c r="AX1766" t="s">
        <v>201</v>
      </c>
      <c r="AY1766" t="s">
        <v>892</v>
      </c>
      <c r="BC1766">
        <v>0.20830000000000001</v>
      </c>
      <c r="BH1766" t="s">
        <v>99</v>
      </c>
      <c r="BO1766" t="s">
        <v>111</v>
      </c>
      <c r="CD1766" t="s">
        <v>1428</v>
      </c>
      <c r="CE1766">
        <v>61925</v>
      </c>
      <c r="CF1766" t="s">
        <v>1429</v>
      </c>
      <c r="CG1766" t="s">
        <v>1430</v>
      </c>
      <c r="CH1766">
        <v>2000</v>
      </c>
    </row>
    <row r="1767" spans="1:86" hidden="1" x14ac:dyDescent="0.25">
      <c r="A1767">
        <v>330541</v>
      </c>
      <c r="B1767" t="s">
        <v>86</v>
      </c>
      <c r="D1767" t="s">
        <v>115</v>
      </c>
      <c r="F1767">
        <v>98</v>
      </c>
      <c r="K1767" t="s">
        <v>1373</v>
      </c>
      <c r="L1767" t="s">
        <v>1374</v>
      </c>
      <c r="M1767" t="s">
        <v>1368</v>
      </c>
      <c r="V1767" t="s">
        <v>91</v>
      </c>
      <c r="W1767" t="s">
        <v>107</v>
      </c>
      <c r="X1767" t="s">
        <v>93</v>
      </c>
      <c r="Z1767" t="s">
        <v>94</v>
      </c>
      <c r="AB1767">
        <v>0.1</v>
      </c>
      <c r="AG1767" t="s">
        <v>95</v>
      </c>
      <c r="AX1767" t="s">
        <v>201</v>
      </c>
      <c r="AY1767" t="s">
        <v>120</v>
      </c>
      <c r="BC1767">
        <v>0.20830000000000001</v>
      </c>
      <c r="BH1767" t="s">
        <v>99</v>
      </c>
      <c r="BO1767" t="s">
        <v>111</v>
      </c>
      <c r="CD1767" t="s">
        <v>1428</v>
      </c>
      <c r="CE1767">
        <v>61925</v>
      </c>
      <c r="CF1767" t="s">
        <v>1429</v>
      </c>
      <c r="CG1767" t="s">
        <v>1430</v>
      </c>
      <c r="CH1767">
        <v>2000</v>
      </c>
    </row>
    <row r="1768" spans="1:86" hidden="1" x14ac:dyDescent="0.25">
      <c r="A1768">
        <v>330541</v>
      </c>
      <c r="B1768" t="s">
        <v>86</v>
      </c>
      <c r="D1768" t="s">
        <v>115</v>
      </c>
      <c r="F1768">
        <v>98</v>
      </c>
      <c r="K1768" t="s">
        <v>1373</v>
      </c>
      <c r="L1768" t="s">
        <v>1374</v>
      </c>
      <c r="M1768" t="s">
        <v>1368</v>
      </c>
      <c r="V1768" t="s">
        <v>91</v>
      </c>
      <c r="W1768" t="s">
        <v>107</v>
      </c>
      <c r="X1768" t="s">
        <v>93</v>
      </c>
      <c r="Z1768" t="s">
        <v>94</v>
      </c>
      <c r="AB1768">
        <v>0.1</v>
      </c>
      <c r="AG1768" t="s">
        <v>95</v>
      </c>
      <c r="AX1768" t="s">
        <v>201</v>
      </c>
      <c r="AY1768" t="s">
        <v>532</v>
      </c>
      <c r="BC1768">
        <v>0.20830000000000001</v>
      </c>
      <c r="BH1768" t="s">
        <v>99</v>
      </c>
      <c r="BO1768" t="s">
        <v>111</v>
      </c>
      <c r="CD1768" t="s">
        <v>1428</v>
      </c>
      <c r="CE1768">
        <v>61925</v>
      </c>
      <c r="CF1768" t="s">
        <v>1429</v>
      </c>
      <c r="CG1768" t="s">
        <v>1430</v>
      </c>
      <c r="CH1768">
        <v>2000</v>
      </c>
    </row>
    <row r="1769" spans="1:86" hidden="1" x14ac:dyDescent="0.25">
      <c r="A1769">
        <v>330541</v>
      </c>
      <c r="B1769" t="s">
        <v>86</v>
      </c>
      <c r="D1769" t="s">
        <v>115</v>
      </c>
      <c r="F1769">
        <v>98</v>
      </c>
      <c r="K1769" t="s">
        <v>1373</v>
      </c>
      <c r="L1769" t="s">
        <v>1374</v>
      </c>
      <c r="M1769" t="s">
        <v>1368</v>
      </c>
      <c r="V1769" t="s">
        <v>91</v>
      </c>
      <c r="W1769" t="s">
        <v>107</v>
      </c>
      <c r="X1769" t="s">
        <v>93</v>
      </c>
      <c r="Z1769" t="s">
        <v>94</v>
      </c>
      <c r="AB1769">
        <v>1</v>
      </c>
      <c r="AG1769" t="s">
        <v>95</v>
      </c>
      <c r="AX1769" t="s">
        <v>201</v>
      </c>
      <c r="AY1769" t="s">
        <v>532</v>
      </c>
      <c r="BC1769">
        <v>0.20830000000000001</v>
      </c>
      <c r="BH1769" t="s">
        <v>99</v>
      </c>
      <c r="BO1769" t="s">
        <v>111</v>
      </c>
      <c r="CD1769" t="s">
        <v>1428</v>
      </c>
      <c r="CE1769">
        <v>61925</v>
      </c>
      <c r="CF1769" t="s">
        <v>1429</v>
      </c>
      <c r="CG1769" t="s">
        <v>1430</v>
      </c>
      <c r="CH1769">
        <v>2000</v>
      </c>
    </row>
    <row r="1770" spans="1:86" hidden="1" x14ac:dyDescent="0.25">
      <c r="A1770">
        <v>330541</v>
      </c>
      <c r="B1770" t="s">
        <v>86</v>
      </c>
      <c r="D1770" t="s">
        <v>115</v>
      </c>
      <c r="F1770">
        <v>98</v>
      </c>
      <c r="K1770" t="s">
        <v>1373</v>
      </c>
      <c r="L1770" t="s">
        <v>1374</v>
      </c>
      <c r="M1770" t="s">
        <v>1368</v>
      </c>
      <c r="V1770" t="s">
        <v>91</v>
      </c>
      <c r="W1770" t="s">
        <v>107</v>
      </c>
      <c r="X1770" t="s">
        <v>93</v>
      </c>
      <c r="Z1770" t="s">
        <v>94</v>
      </c>
      <c r="AB1770"/>
      <c r="AD1770">
        <v>0.01</v>
      </c>
      <c r="AF1770">
        <v>1</v>
      </c>
      <c r="AG1770" t="s">
        <v>95</v>
      </c>
      <c r="AX1770" t="s">
        <v>201</v>
      </c>
      <c r="AY1770" t="s">
        <v>202</v>
      </c>
      <c r="BE1770">
        <v>0</v>
      </c>
      <c r="BG1770">
        <v>4</v>
      </c>
      <c r="BH1770" t="s">
        <v>99</v>
      </c>
      <c r="BO1770" t="s">
        <v>111</v>
      </c>
      <c r="CD1770" t="s">
        <v>1428</v>
      </c>
      <c r="CE1770">
        <v>61925</v>
      </c>
      <c r="CF1770" t="s">
        <v>1429</v>
      </c>
      <c r="CG1770" t="s">
        <v>1430</v>
      </c>
      <c r="CH1770">
        <v>2000</v>
      </c>
    </row>
    <row r="1771" spans="1:86" hidden="1" x14ac:dyDescent="0.25">
      <c r="A1771">
        <v>330541</v>
      </c>
      <c r="B1771" t="s">
        <v>86</v>
      </c>
      <c r="D1771" t="s">
        <v>115</v>
      </c>
      <c r="F1771">
        <v>98</v>
      </c>
      <c r="K1771" t="s">
        <v>1373</v>
      </c>
      <c r="L1771" t="s">
        <v>1374</v>
      </c>
      <c r="M1771" t="s">
        <v>1368</v>
      </c>
      <c r="V1771" t="s">
        <v>91</v>
      </c>
      <c r="W1771" t="s">
        <v>107</v>
      </c>
      <c r="X1771" t="s">
        <v>93</v>
      </c>
      <c r="Z1771" t="s">
        <v>94</v>
      </c>
      <c r="AB1771">
        <v>1</v>
      </c>
      <c r="AG1771" t="s">
        <v>95</v>
      </c>
      <c r="AX1771" t="s">
        <v>201</v>
      </c>
      <c r="AY1771" t="s">
        <v>120</v>
      </c>
      <c r="BC1771">
        <v>0.20830000000000001</v>
      </c>
      <c r="BH1771" t="s">
        <v>99</v>
      </c>
      <c r="BO1771" t="s">
        <v>111</v>
      </c>
      <c r="CD1771" t="s">
        <v>1428</v>
      </c>
      <c r="CE1771">
        <v>61925</v>
      </c>
      <c r="CF1771" t="s">
        <v>1429</v>
      </c>
      <c r="CG1771" t="s">
        <v>1430</v>
      </c>
      <c r="CH1771">
        <v>2000</v>
      </c>
    </row>
    <row r="1772" spans="1:86" hidden="1" x14ac:dyDescent="0.25">
      <c r="A1772">
        <v>330541</v>
      </c>
      <c r="B1772" t="s">
        <v>86</v>
      </c>
      <c r="K1772" t="s">
        <v>1431</v>
      </c>
      <c r="L1772" t="s">
        <v>1432</v>
      </c>
      <c r="M1772" t="s">
        <v>1368</v>
      </c>
      <c r="V1772" t="s">
        <v>1433</v>
      </c>
      <c r="W1772" t="s">
        <v>92</v>
      </c>
      <c r="X1772" t="s">
        <v>93</v>
      </c>
      <c r="Z1772" t="s">
        <v>137</v>
      </c>
      <c r="AB1772"/>
      <c r="AD1772">
        <v>10</v>
      </c>
      <c r="AF1772">
        <v>100</v>
      </c>
      <c r="AG1772" t="s">
        <v>95</v>
      </c>
      <c r="AX1772" t="s">
        <v>196</v>
      </c>
      <c r="AY1772" t="s">
        <v>197</v>
      </c>
      <c r="BA1772" t="s">
        <v>703</v>
      </c>
      <c r="BE1772">
        <v>1</v>
      </c>
      <c r="BG1772">
        <v>3</v>
      </c>
      <c r="BH1772" t="s">
        <v>99</v>
      </c>
      <c r="BO1772" t="s">
        <v>111</v>
      </c>
      <c r="CD1772" t="s">
        <v>704</v>
      </c>
      <c r="CE1772">
        <v>14181</v>
      </c>
      <c r="CF1772" t="s">
        <v>705</v>
      </c>
      <c r="CG1772" t="s">
        <v>706</v>
      </c>
      <c r="CH1772">
        <v>1987</v>
      </c>
    </row>
    <row r="1773" spans="1:86" hidden="1" x14ac:dyDescent="0.25">
      <c r="A1773">
        <v>330541</v>
      </c>
      <c r="B1773" t="s">
        <v>86</v>
      </c>
      <c r="D1773" t="s">
        <v>115</v>
      </c>
      <c r="F1773">
        <v>98</v>
      </c>
      <c r="K1773" t="s">
        <v>1373</v>
      </c>
      <c r="L1773" t="s">
        <v>1374</v>
      </c>
      <c r="M1773" t="s">
        <v>1368</v>
      </c>
      <c r="V1773" t="s">
        <v>91</v>
      </c>
      <c r="W1773" t="s">
        <v>107</v>
      </c>
      <c r="X1773" t="s">
        <v>93</v>
      </c>
      <c r="Z1773" t="s">
        <v>94</v>
      </c>
      <c r="AB1773"/>
      <c r="AD1773">
        <v>0.01</v>
      </c>
      <c r="AF1773">
        <v>1</v>
      </c>
      <c r="AG1773" t="s">
        <v>95</v>
      </c>
      <c r="AX1773" t="s">
        <v>201</v>
      </c>
      <c r="AY1773" t="s">
        <v>202</v>
      </c>
      <c r="BE1773">
        <v>0</v>
      </c>
      <c r="BG1773">
        <v>4</v>
      </c>
      <c r="BH1773" t="s">
        <v>99</v>
      </c>
      <c r="BO1773" t="s">
        <v>111</v>
      </c>
      <c r="CD1773" t="s">
        <v>1428</v>
      </c>
      <c r="CE1773">
        <v>61925</v>
      </c>
      <c r="CF1773" t="s">
        <v>1429</v>
      </c>
      <c r="CG1773" t="s">
        <v>1430</v>
      </c>
      <c r="CH1773">
        <v>2000</v>
      </c>
    </row>
    <row r="1774" spans="1:86" hidden="1" x14ac:dyDescent="0.25">
      <c r="A1774">
        <v>330541</v>
      </c>
      <c r="B1774" t="s">
        <v>86</v>
      </c>
      <c r="D1774" t="s">
        <v>115</v>
      </c>
      <c r="F1774">
        <v>98</v>
      </c>
      <c r="K1774" t="s">
        <v>1373</v>
      </c>
      <c r="L1774" t="s">
        <v>1374</v>
      </c>
      <c r="M1774" t="s">
        <v>1368</v>
      </c>
      <c r="V1774" t="s">
        <v>91</v>
      </c>
      <c r="W1774" t="s">
        <v>107</v>
      </c>
      <c r="X1774" t="s">
        <v>93</v>
      </c>
      <c r="Z1774" t="s">
        <v>94</v>
      </c>
      <c r="AB1774"/>
      <c r="AD1774">
        <v>0.01</v>
      </c>
      <c r="AF1774">
        <v>1</v>
      </c>
      <c r="AG1774" t="s">
        <v>95</v>
      </c>
      <c r="AX1774" t="s">
        <v>201</v>
      </c>
      <c r="AY1774" t="s">
        <v>202</v>
      </c>
      <c r="BE1774">
        <v>0</v>
      </c>
      <c r="BG1774">
        <v>4</v>
      </c>
      <c r="BH1774" t="s">
        <v>99</v>
      </c>
      <c r="BO1774" t="s">
        <v>111</v>
      </c>
      <c r="CD1774" t="s">
        <v>1428</v>
      </c>
      <c r="CE1774">
        <v>61925</v>
      </c>
      <c r="CF1774" t="s">
        <v>1429</v>
      </c>
      <c r="CG1774" t="s">
        <v>1430</v>
      </c>
      <c r="CH1774">
        <v>2000</v>
      </c>
    </row>
    <row r="1775" spans="1:86" hidden="1" x14ac:dyDescent="0.25">
      <c r="A1775">
        <v>330541</v>
      </c>
      <c r="B1775" t="s">
        <v>86</v>
      </c>
      <c r="D1775" t="s">
        <v>115</v>
      </c>
      <c r="F1775">
        <v>98</v>
      </c>
      <c r="K1775" t="s">
        <v>1373</v>
      </c>
      <c r="L1775" t="s">
        <v>1374</v>
      </c>
      <c r="M1775" t="s">
        <v>1368</v>
      </c>
      <c r="V1775" t="s">
        <v>91</v>
      </c>
      <c r="W1775" t="s">
        <v>107</v>
      </c>
      <c r="X1775" t="s">
        <v>93</v>
      </c>
      <c r="Z1775" t="s">
        <v>94</v>
      </c>
      <c r="AB1775"/>
      <c r="AD1775">
        <v>0.01</v>
      </c>
      <c r="AF1775">
        <v>1</v>
      </c>
      <c r="AG1775" t="s">
        <v>95</v>
      </c>
      <c r="AX1775" t="s">
        <v>201</v>
      </c>
      <c r="AY1775" t="s">
        <v>1434</v>
      </c>
      <c r="BC1775">
        <v>0.20830000000000001</v>
      </c>
      <c r="BH1775" t="s">
        <v>99</v>
      </c>
      <c r="BO1775" t="s">
        <v>111</v>
      </c>
      <c r="CD1775" t="s">
        <v>1428</v>
      </c>
      <c r="CE1775">
        <v>61925</v>
      </c>
      <c r="CF1775" t="s">
        <v>1429</v>
      </c>
      <c r="CG1775" t="s">
        <v>1430</v>
      </c>
      <c r="CH1775">
        <v>2000</v>
      </c>
    </row>
    <row r="1776" spans="1:86" hidden="1" x14ac:dyDescent="0.25">
      <c r="A1776">
        <v>330541</v>
      </c>
      <c r="B1776" t="s">
        <v>86</v>
      </c>
      <c r="D1776" t="s">
        <v>115</v>
      </c>
      <c r="F1776">
        <v>98</v>
      </c>
      <c r="K1776" t="s">
        <v>1373</v>
      </c>
      <c r="L1776" t="s">
        <v>1374</v>
      </c>
      <c r="M1776" t="s">
        <v>1368</v>
      </c>
      <c r="V1776" t="s">
        <v>91</v>
      </c>
      <c r="W1776" t="s">
        <v>107</v>
      </c>
      <c r="X1776" t="s">
        <v>93</v>
      </c>
      <c r="Z1776" t="s">
        <v>94</v>
      </c>
      <c r="AB1776">
        <v>0.1</v>
      </c>
      <c r="AG1776" t="s">
        <v>95</v>
      </c>
      <c r="AX1776" t="s">
        <v>201</v>
      </c>
      <c r="AY1776" t="s">
        <v>617</v>
      </c>
      <c r="BC1776">
        <v>0.20830000000000001</v>
      </c>
      <c r="BH1776" t="s">
        <v>99</v>
      </c>
      <c r="BO1776" t="s">
        <v>111</v>
      </c>
      <c r="CD1776" t="s">
        <v>1428</v>
      </c>
      <c r="CE1776">
        <v>61925</v>
      </c>
      <c r="CF1776" t="s">
        <v>1429</v>
      </c>
      <c r="CG1776" t="s">
        <v>1430</v>
      </c>
      <c r="CH1776">
        <v>2000</v>
      </c>
    </row>
    <row r="1777" spans="1:86" hidden="1" x14ac:dyDescent="0.25">
      <c r="A1777">
        <v>330541</v>
      </c>
      <c r="B1777" t="s">
        <v>86</v>
      </c>
      <c r="D1777" t="s">
        <v>115</v>
      </c>
      <c r="F1777">
        <v>98</v>
      </c>
      <c r="K1777" t="s">
        <v>1373</v>
      </c>
      <c r="L1777" t="s">
        <v>1374</v>
      </c>
      <c r="M1777" t="s">
        <v>1368</v>
      </c>
      <c r="V1777" t="s">
        <v>91</v>
      </c>
      <c r="W1777" t="s">
        <v>107</v>
      </c>
      <c r="X1777" t="s">
        <v>93</v>
      </c>
      <c r="Z1777" t="s">
        <v>94</v>
      </c>
      <c r="AB1777">
        <v>0.01</v>
      </c>
      <c r="AG1777" t="s">
        <v>95</v>
      </c>
      <c r="AX1777" t="s">
        <v>201</v>
      </c>
      <c r="AY1777" t="s">
        <v>617</v>
      </c>
      <c r="BC1777">
        <v>0.20830000000000001</v>
      </c>
      <c r="BH1777" t="s">
        <v>99</v>
      </c>
      <c r="BO1777" t="s">
        <v>111</v>
      </c>
      <c r="CD1777" t="s">
        <v>1428</v>
      </c>
      <c r="CE1777">
        <v>61925</v>
      </c>
      <c r="CF1777" t="s">
        <v>1429</v>
      </c>
      <c r="CG1777" t="s">
        <v>1430</v>
      </c>
      <c r="CH1777">
        <v>2000</v>
      </c>
    </row>
    <row r="1778" spans="1:86" hidden="1" x14ac:dyDescent="0.25">
      <c r="A1778">
        <v>330541</v>
      </c>
      <c r="B1778" t="s">
        <v>86</v>
      </c>
      <c r="D1778" t="s">
        <v>115</v>
      </c>
      <c r="F1778">
        <v>98</v>
      </c>
      <c r="K1778" t="s">
        <v>1373</v>
      </c>
      <c r="L1778" t="s">
        <v>1374</v>
      </c>
      <c r="M1778" t="s">
        <v>1368</v>
      </c>
      <c r="V1778" t="s">
        <v>91</v>
      </c>
      <c r="W1778" t="s">
        <v>107</v>
      </c>
      <c r="X1778" t="s">
        <v>93</v>
      </c>
      <c r="Z1778" t="s">
        <v>94</v>
      </c>
      <c r="AB1778"/>
      <c r="AD1778">
        <v>0.01</v>
      </c>
      <c r="AF1778">
        <v>1</v>
      </c>
      <c r="AG1778" t="s">
        <v>95</v>
      </c>
      <c r="AX1778" t="s">
        <v>201</v>
      </c>
      <c r="AY1778" t="s">
        <v>202</v>
      </c>
      <c r="BE1778">
        <v>0</v>
      </c>
      <c r="BG1778">
        <v>4</v>
      </c>
      <c r="BH1778" t="s">
        <v>99</v>
      </c>
      <c r="BO1778" t="s">
        <v>111</v>
      </c>
      <c r="CD1778" t="s">
        <v>1428</v>
      </c>
      <c r="CE1778">
        <v>61925</v>
      </c>
      <c r="CF1778" t="s">
        <v>1429</v>
      </c>
      <c r="CG1778" t="s">
        <v>1430</v>
      </c>
      <c r="CH1778">
        <v>2000</v>
      </c>
    </row>
    <row r="1779" spans="1:86" hidden="1" x14ac:dyDescent="0.25">
      <c r="A1779">
        <v>330541</v>
      </c>
      <c r="B1779" t="s">
        <v>86</v>
      </c>
      <c r="D1779" t="s">
        <v>115</v>
      </c>
      <c r="K1779" t="s">
        <v>1435</v>
      </c>
      <c r="L1779" t="s">
        <v>1436</v>
      </c>
      <c r="M1779" t="s">
        <v>1437</v>
      </c>
      <c r="V1779" t="s">
        <v>91</v>
      </c>
      <c r="W1779" t="s">
        <v>92</v>
      </c>
      <c r="X1779" t="s">
        <v>93</v>
      </c>
      <c r="Y1779">
        <v>8</v>
      </c>
      <c r="Z1779" t="s">
        <v>137</v>
      </c>
      <c r="AB1779">
        <v>1.5E-3</v>
      </c>
      <c r="AD1779">
        <v>1.1999999999999999E-3</v>
      </c>
      <c r="AF1779">
        <v>1.9E-3</v>
      </c>
      <c r="AG1779" t="s">
        <v>95</v>
      </c>
      <c r="AX1779" t="s">
        <v>108</v>
      </c>
      <c r="AY1779" t="s">
        <v>120</v>
      </c>
      <c r="AZ1779" t="s">
        <v>138</v>
      </c>
      <c r="BC1779">
        <v>3</v>
      </c>
      <c r="BH1779" t="s">
        <v>99</v>
      </c>
      <c r="BO1779" t="s">
        <v>111</v>
      </c>
      <c r="CD1779" t="s">
        <v>1369</v>
      </c>
      <c r="CE1779">
        <v>174511</v>
      </c>
      <c r="CF1779" t="s">
        <v>1370</v>
      </c>
      <c r="CG1779" t="s">
        <v>1371</v>
      </c>
      <c r="CH1779">
        <v>2017</v>
      </c>
    </row>
    <row r="1780" spans="1:86" hidden="1" x14ac:dyDescent="0.25">
      <c r="A1780">
        <v>330541</v>
      </c>
      <c r="B1780" t="s">
        <v>86</v>
      </c>
      <c r="D1780" t="s">
        <v>115</v>
      </c>
      <c r="K1780" t="s">
        <v>1435</v>
      </c>
      <c r="L1780" t="s">
        <v>1436</v>
      </c>
      <c r="M1780" t="s">
        <v>1437</v>
      </c>
      <c r="V1780" t="s">
        <v>91</v>
      </c>
      <c r="W1780" t="s">
        <v>92</v>
      </c>
      <c r="X1780" t="s">
        <v>93</v>
      </c>
      <c r="Y1780">
        <v>8</v>
      </c>
      <c r="Z1780" t="s">
        <v>137</v>
      </c>
      <c r="AB1780">
        <v>7.7999999999999996E-3</v>
      </c>
      <c r="AD1780">
        <v>3.8E-3</v>
      </c>
      <c r="AF1780">
        <v>1.1900000000000001E-2</v>
      </c>
      <c r="AG1780" t="s">
        <v>95</v>
      </c>
      <c r="AX1780" t="s">
        <v>108</v>
      </c>
      <c r="AY1780" t="s">
        <v>160</v>
      </c>
      <c r="AZ1780" t="s">
        <v>138</v>
      </c>
      <c r="BC1780">
        <v>3</v>
      </c>
      <c r="BH1780" t="s">
        <v>99</v>
      </c>
      <c r="BO1780" t="s">
        <v>111</v>
      </c>
      <c r="CD1780" t="s">
        <v>1369</v>
      </c>
      <c r="CE1780">
        <v>174511</v>
      </c>
      <c r="CF1780" t="s">
        <v>1370</v>
      </c>
      <c r="CG1780" t="s">
        <v>1371</v>
      </c>
      <c r="CH1780">
        <v>2017</v>
      </c>
    </row>
    <row r="1781" spans="1:86" hidden="1" x14ac:dyDescent="0.25">
      <c r="A1781">
        <v>330541</v>
      </c>
      <c r="B1781" t="s">
        <v>86</v>
      </c>
      <c r="D1781" t="s">
        <v>115</v>
      </c>
      <c r="K1781" t="s">
        <v>1435</v>
      </c>
      <c r="L1781" t="s">
        <v>1436</v>
      </c>
      <c r="M1781" t="s">
        <v>1437</v>
      </c>
      <c r="V1781" t="s">
        <v>91</v>
      </c>
      <c r="W1781" t="s">
        <v>92</v>
      </c>
      <c r="X1781" t="s">
        <v>93</v>
      </c>
      <c r="Y1781">
        <v>8</v>
      </c>
      <c r="Z1781" t="s">
        <v>137</v>
      </c>
      <c r="AB1781">
        <v>4.1999999999999997E-3</v>
      </c>
      <c r="AD1781">
        <v>1.6999999999999999E-3</v>
      </c>
      <c r="AF1781">
        <v>6.7000000000000002E-3</v>
      </c>
      <c r="AG1781" t="s">
        <v>95</v>
      </c>
      <c r="AX1781" t="s">
        <v>196</v>
      </c>
      <c r="AY1781" t="s">
        <v>817</v>
      </c>
      <c r="AZ1781" t="s">
        <v>138</v>
      </c>
      <c r="BA1781" t="s">
        <v>1372</v>
      </c>
      <c r="BC1781">
        <v>3</v>
      </c>
      <c r="BH1781" t="s">
        <v>99</v>
      </c>
      <c r="BO1781" t="s">
        <v>111</v>
      </c>
      <c r="CD1781" t="s">
        <v>1369</v>
      </c>
      <c r="CE1781">
        <v>174511</v>
      </c>
      <c r="CF1781" t="s">
        <v>1370</v>
      </c>
      <c r="CG1781" t="s">
        <v>1371</v>
      </c>
      <c r="CH1781">
        <v>2017</v>
      </c>
    </row>
    <row r="1782" spans="1:86" hidden="1" x14ac:dyDescent="0.25">
      <c r="A1782">
        <v>330541</v>
      </c>
      <c r="B1782" t="s">
        <v>86</v>
      </c>
      <c r="D1782" t="s">
        <v>115</v>
      </c>
      <c r="K1782" t="s">
        <v>1435</v>
      </c>
      <c r="L1782" t="s">
        <v>1436</v>
      </c>
      <c r="M1782" t="s">
        <v>1437</v>
      </c>
      <c r="V1782" t="s">
        <v>91</v>
      </c>
      <c r="W1782" t="s">
        <v>92</v>
      </c>
      <c r="X1782" t="s">
        <v>93</v>
      </c>
      <c r="Y1782">
        <v>8</v>
      </c>
      <c r="Z1782" t="s">
        <v>137</v>
      </c>
      <c r="AB1782">
        <v>1.0800000000000001E-2</v>
      </c>
      <c r="AD1782">
        <v>6.7000000000000002E-3</v>
      </c>
      <c r="AF1782">
        <v>1.49E-2</v>
      </c>
      <c r="AG1782" t="s">
        <v>95</v>
      </c>
      <c r="AX1782" t="s">
        <v>108</v>
      </c>
      <c r="AY1782" t="s">
        <v>120</v>
      </c>
      <c r="AZ1782" t="s">
        <v>138</v>
      </c>
      <c r="BC1782">
        <v>3</v>
      </c>
      <c r="BH1782" t="s">
        <v>99</v>
      </c>
      <c r="BO1782" t="s">
        <v>111</v>
      </c>
      <c r="CD1782" t="s">
        <v>1369</v>
      </c>
      <c r="CE1782">
        <v>174511</v>
      </c>
      <c r="CF1782" t="s">
        <v>1370</v>
      </c>
      <c r="CG1782" t="s">
        <v>1371</v>
      </c>
      <c r="CH1782">
        <v>2017</v>
      </c>
    </row>
    <row r="1783" spans="1:86" hidden="1" x14ac:dyDescent="0.25">
      <c r="A1783">
        <v>330541</v>
      </c>
      <c r="B1783" t="s">
        <v>86</v>
      </c>
      <c r="D1783" t="s">
        <v>115</v>
      </c>
      <c r="K1783" t="s">
        <v>1435</v>
      </c>
      <c r="L1783" t="s">
        <v>1436</v>
      </c>
      <c r="M1783" t="s">
        <v>1437</v>
      </c>
      <c r="V1783" t="s">
        <v>91</v>
      </c>
      <c r="W1783" t="s">
        <v>92</v>
      </c>
      <c r="X1783" t="s">
        <v>93</v>
      </c>
      <c r="Y1783">
        <v>8</v>
      </c>
      <c r="Z1783" t="s">
        <v>137</v>
      </c>
      <c r="AB1783">
        <v>2.7000000000000001E-3</v>
      </c>
      <c r="AD1783">
        <v>1.4E-3</v>
      </c>
      <c r="AF1783">
        <v>4.5999999999999999E-3</v>
      </c>
      <c r="AG1783" t="s">
        <v>95</v>
      </c>
      <c r="AX1783" t="s">
        <v>108</v>
      </c>
      <c r="AY1783" t="s">
        <v>438</v>
      </c>
      <c r="AZ1783" t="s">
        <v>138</v>
      </c>
      <c r="BC1783">
        <v>3</v>
      </c>
      <c r="BH1783" t="s">
        <v>99</v>
      </c>
      <c r="BO1783" t="s">
        <v>111</v>
      </c>
      <c r="CD1783" t="s">
        <v>1369</v>
      </c>
      <c r="CE1783">
        <v>174511</v>
      </c>
      <c r="CF1783" t="s">
        <v>1370</v>
      </c>
      <c r="CG1783" t="s">
        <v>1371</v>
      </c>
      <c r="CH1783">
        <v>2017</v>
      </c>
    </row>
    <row r="1784" spans="1:86" hidden="1" x14ac:dyDescent="0.25">
      <c r="A1784">
        <v>330541</v>
      </c>
      <c r="B1784" t="s">
        <v>86</v>
      </c>
      <c r="D1784" t="s">
        <v>115</v>
      </c>
      <c r="K1784" t="s">
        <v>1438</v>
      </c>
      <c r="L1784" t="s">
        <v>1439</v>
      </c>
      <c r="M1784" t="s">
        <v>1437</v>
      </c>
      <c r="V1784" t="s">
        <v>91</v>
      </c>
      <c r="W1784" t="s">
        <v>92</v>
      </c>
      <c r="X1784" t="s">
        <v>93</v>
      </c>
      <c r="Y1784">
        <v>8</v>
      </c>
      <c r="Z1784" t="s">
        <v>137</v>
      </c>
      <c r="AB1784">
        <v>1.0999999999999999E-2</v>
      </c>
      <c r="AD1784">
        <v>5.0000000000000001E-3</v>
      </c>
      <c r="AF1784">
        <v>1.4999999999999999E-2</v>
      </c>
      <c r="AG1784" t="s">
        <v>95</v>
      </c>
      <c r="AX1784" t="s">
        <v>196</v>
      </c>
      <c r="AY1784" t="s">
        <v>1440</v>
      </c>
      <c r="AZ1784" t="s">
        <v>214</v>
      </c>
      <c r="BA1784" t="s">
        <v>1441</v>
      </c>
      <c r="BC1784">
        <v>7</v>
      </c>
      <c r="BH1784" t="s">
        <v>99</v>
      </c>
      <c r="BO1784" t="s">
        <v>111</v>
      </c>
      <c r="CD1784" t="s">
        <v>1442</v>
      </c>
      <c r="CE1784">
        <v>174699</v>
      </c>
      <c r="CF1784" t="s">
        <v>1443</v>
      </c>
      <c r="CG1784" t="s">
        <v>1444</v>
      </c>
      <c r="CH1784">
        <v>2010</v>
      </c>
    </row>
    <row r="1785" spans="1:86" hidden="1" x14ac:dyDescent="0.25">
      <c r="A1785">
        <v>330541</v>
      </c>
      <c r="B1785" t="s">
        <v>86</v>
      </c>
      <c r="D1785" t="s">
        <v>115</v>
      </c>
      <c r="K1785" t="s">
        <v>1438</v>
      </c>
      <c r="L1785" t="s">
        <v>1439</v>
      </c>
      <c r="M1785" t="s">
        <v>1437</v>
      </c>
      <c r="V1785" t="s">
        <v>91</v>
      </c>
      <c r="W1785" t="s">
        <v>92</v>
      </c>
      <c r="X1785" t="s">
        <v>93</v>
      </c>
      <c r="Y1785">
        <v>8</v>
      </c>
      <c r="Z1785" t="s">
        <v>137</v>
      </c>
      <c r="AB1785">
        <v>0.02</v>
      </c>
      <c r="AD1785">
        <v>1.4999999999999999E-2</v>
      </c>
      <c r="AF1785">
        <v>2.8000000000000001E-2</v>
      </c>
      <c r="AG1785" t="s">
        <v>95</v>
      </c>
      <c r="AX1785" t="s">
        <v>196</v>
      </c>
      <c r="AY1785" t="s">
        <v>1440</v>
      </c>
      <c r="AZ1785" t="s">
        <v>214</v>
      </c>
      <c r="BA1785" t="s">
        <v>1441</v>
      </c>
      <c r="BC1785">
        <v>7</v>
      </c>
      <c r="BH1785" t="s">
        <v>99</v>
      </c>
      <c r="BO1785" t="s">
        <v>111</v>
      </c>
      <c r="CD1785" t="s">
        <v>1442</v>
      </c>
      <c r="CE1785">
        <v>174699</v>
      </c>
      <c r="CF1785" t="s">
        <v>1443</v>
      </c>
      <c r="CG1785" t="s">
        <v>1444</v>
      </c>
      <c r="CH1785">
        <v>2010</v>
      </c>
    </row>
    <row r="1786" spans="1:86" hidden="1" x14ac:dyDescent="0.25">
      <c r="A1786">
        <v>330541</v>
      </c>
      <c r="B1786" t="s">
        <v>86</v>
      </c>
      <c r="D1786" t="s">
        <v>115</v>
      </c>
      <c r="K1786" t="s">
        <v>1438</v>
      </c>
      <c r="L1786" t="s">
        <v>1439</v>
      </c>
      <c r="M1786" t="s">
        <v>1437</v>
      </c>
      <c r="V1786" t="s">
        <v>91</v>
      </c>
      <c r="W1786" t="s">
        <v>92</v>
      </c>
      <c r="X1786" t="s">
        <v>93</v>
      </c>
      <c r="Y1786">
        <v>8</v>
      </c>
      <c r="Z1786" t="s">
        <v>137</v>
      </c>
      <c r="AB1786">
        <v>8.9999999999999993E-3</v>
      </c>
      <c r="AD1786">
        <v>8.0000000000000002E-3</v>
      </c>
      <c r="AF1786">
        <v>0.01</v>
      </c>
      <c r="AG1786" t="s">
        <v>95</v>
      </c>
      <c r="AX1786" t="s">
        <v>144</v>
      </c>
      <c r="AY1786" t="s">
        <v>438</v>
      </c>
      <c r="AZ1786" t="s">
        <v>214</v>
      </c>
      <c r="BA1786" t="s">
        <v>1441</v>
      </c>
      <c r="BC1786">
        <v>7</v>
      </c>
      <c r="BH1786" t="s">
        <v>99</v>
      </c>
      <c r="BO1786" t="s">
        <v>111</v>
      </c>
      <c r="CD1786" t="s">
        <v>1442</v>
      </c>
      <c r="CE1786">
        <v>174699</v>
      </c>
      <c r="CF1786" t="s">
        <v>1443</v>
      </c>
      <c r="CG1786" t="s">
        <v>1444</v>
      </c>
      <c r="CH1786">
        <v>2010</v>
      </c>
    </row>
    <row r="1787" spans="1:86" hidden="1" x14ac:dyDescent="0.25">
      <c r="A1787">
        <v>330541</v>
      </c>
      <c r="B1787" t="s">
        <v>86</v>
      </c>
      <c r="D1787" t="s">
        <v>115</v>
      </c>
      <c r="K1787" t="s">
        <v>1438</v>
      </c>
      <c r="L1787" t="s">
        <v>1439</v>
      </c>
      <c r="M1787" t="s">
        <v>1437</v>
      </c>
      <c r="V1787" t="s">
        <v>91</v>
      </c>
      <c r="W1787" t="s">
        <v>92</v>
      </c>
      <c r="X1787" t="s">
        <v>93</v>
      </c>
      <c r="Y1787">
        <v>8</v>
      </c>
      <c r="Z1787" t="s">
        <v>137</v>
      </c>
      <c r="AB1787">
        <v>8.9999999999999993E-3</v>
      </c>
      <c r="AD1787">
        <v>6.0000000000000001E-3</v>
      </c>
      <c r="AF1787">
        <v>0.01</v>
      </c>
      <c r="AG1787" t="s">
        <v>95</v>
      </c>
      <c r="AX1787" t="s">
        <v>144</v>
      </c>
      <c r="AY1787" t="s">
        <v>438</v>
      </c>
      <c r="AZ1787" t="s">
        <v>214</v>
      </c>
      <c r="BA1787" t="s">
        <v>1441</v>
      </c>
      <c r="BC1787">
        <v>7</v>
      </c>
      <c r="BH1787" t="s">
        <v>99</v>
      </c>
      <c r="BO1787" t="s">
        <v>111</v>
      </c>
      <c r="CD1787" t="s">
        <v>1442</v>
      </c>
      <c r="CE1787">
        <v>174699</v>
      </c>
      <c r="CF1787" t="s">
        <v>1443</v>
      </c>
      <c r="CG1787" t="s">
        <v>1444</v>
      </c>
      <c r="CH1787">
        <v>2010</v>
      </c>
    </row>
    <row r="1788" spans="1:86" hidden="1" x14ac:dyDescent="0.25">
      <c r="A1788">
        <v>330541</v>
      </c>
      <c r="B1788" t="s">
        <v>86</v>
      </c>
      <c r="D1788" t="s">
        <v>115</v>
      </c>
      <c r="K1788" t="s">
        <v>1435</v>
      </c>
      <c r="L1788" t="s">
        <v>1436</v>
      </c>
      <c r="M1788" t="s">
        <v>1437</v>
      </c>
      <c r="V1788" t="s">
        <v>91</v>
      </c>
      <c r="W1788" t="s">
        <v>92</v>
      </c>
      <c r="X1788" t="s">
        <v>93</v>
      </c>
      <c r="Y1788">
        <v>8</v>
      </c>
      <c r="Z1788" t="s">
        <v>137</v>
      </c>
      <c r="AB1788">
        <v>9.1000000000000004E-3</v>
      </c>
      <c r="AD1788">
        <v>8.2000000000000007E-3</v>
      </c>
      <c r="AF1788">
        <v>1.01E-2</v>
      </c>
      <c r="AG1788" t="s">
        <v>95</v>
      </c>
      <c r="AX1788" t="s">
        <v>108</v>
      </c>
      <c r="AY1788" t="s">
        <v>438</v>
      </c>
      <c r="AZ1788" t="s">
        <v>214</v>
      </c>
      <c r="BC1788">
        <v>3</v>
      </c>
      <c r="BH1788" t="s">
        <v>99</v>
      </c>
      <c r="BO1788" t="s">
        <v>111</v>
      </c>
      <c r="CD1788" t="s">
        <v>1369</v>
      </c>
      <c r="CE1788">
        <v>174511</v>
      </c>
      <c r="CF1788" t="s">
        <v>1370</v>
      </c>
      <c r="CG1788" t="s">
        <v>1371</v>
      </c>
      <c r="CH1788">
        <v>2017</v>
      </c>
    </row>
    <row r="1789" spans="1:86" hidden="1" x14ac:dyDescent="0.25">
      <c r="A1789">
        <v>330541</v>
      </c>
      <c r="B1789" t="s">
        <v>86</v>
      </c>
      <c r="D1789" t="s">
        <v>115</v>
      </c>
      <c r="K1789" t="s">
        <v>1445</v>
      </c>
      <c r="L1789" t="s">
        <v>1439</v>
      </c>
      <c r="M1789" t="s">
        <v>1437</v>
      </c>
      <c r="N1789" t="s">
        <v>118</v>
      </c>
      <c r="V1789" t="s">
        <v>91</v>
      </c>
      <c r="W1789" t="s">
        <v>92</v>
      </c>
      <c r="X1789" t="s">
        <v>93</v>
      </c>
      <c r="Z1789" t="s">
        <v>137</v>
      </c>
      <c r="AB1789">
        <v>1.49182208E-2</v>
      </c>
      <c r="AG1789" t="s">
        <v>95</v>
      </c>
      <c r="AX1789" t="s">
        <v>108</v>
      </c>
      <c r="AY1789" t="s">
        <v>308</v>
      </c>
      <c r="AZ1789" t="s">
        <v>214</v>
      </c>
      <c r="BC1789">
        <v>7</v>
      </c>
      <c r="BH1789" t="s">
        <v>99</v>
      </c>
      <c r="BO1789" t="s">
        <v>111</v>
      </c>
      <c r="CD1789" t="s">
        <v>1387</v>
      </c>
      <c r="CE1789">
        <v>8628</v>
      </c>
      <c r="CF1789" t="s">
        <v>1388</v>
      </c>
      <c r="CG1789" t="s">
        <v>1389</v>
      </c>
      <c r="CH1789">
        <v>1974</v>
      </c>
    </row>
    <row r="1790" spans="1:86" hidden="1" x14ac:dyDescent="0.25">
      <c r="A1790">
        <v>330541</v>
      </c>
      <c r="B1790" t="s">
        <v>86</v>
      </c>
      <c r="C1790" t="s">
        <v>158</v>
      </c>
      <c r="D1790" t="s">
        <v>115</v>
      </c>
      <c r="K1790" t="s">
        <v>1438</v>
      </c>
      <c r="L1790" t="s">
        <v>1439</v>
      </c>
      <c r="M1790" t="s">
        <v>1437</v>
      </c>
      <c r="V1790" t="s">
        <v>91</v>
      </c>
      <c r="W1790" t="s">
        <v>92</v>
      </c>
      <c r="X1790" t="s">
        <v>93</v>
      </c>
      <c r="Z1790" t="s">
        <v>94</v>
      </c>
      <c r="AB1790">
        <v>5.0000000000000001E-3</v>
      </c>
      <c r="AG1790" t="s">
        <v>95</v>
      </c>
      <c r="AX1790" t="s">
        <v>144</v>
      </c>
      <c r="AY1790" t="s">
        <v>438</v>
      </c>
      <c r="AZ1790" t="s">
        <v>214</v>
      </c>
      <c r="BA1790" t="s">
        <v>1441</v>
      </c>
      <c r="BC1790">
        <v>4</v>
      </c>
      <c r="BH1790" t="s">
        <v>99</v>
      </c>
      <c r="BO1790" t="s">
        <v>111</v>
      </c>
      <c r="CD1790" t="s">
        <v>1442</v>
      </c>
      <c r="CE1790">
        <v>159159</v>
      </c>
      <c r="CF1790" t="s">
        <v>1446</v>
      </c>
      <c r="CG1790" t="s">
        <v>1447</v>
      </c>
      <c r="CH1790">
        <v>2011</v>
      </c>
    </row>
    <row r="1791" spans="1:86" hidden="1" x14ac:dyDescent="0.25">
      <c r="A1791">
        <v>330541</v>
      </c>
      <c r="B1791" t="s">
        <v>86</v>
      </c>
      <c r="D1791" t="s">
        <v>115</v>
      </c>
      <c r="K1791" t="s">
        <v>1435</v>
      </c>
      <c r="L1791" t="s">
        <v>1436</v>
      </c>
      <c r="M1791" t="s">
        <v>1437</v>
      </c>
      <c r="V1791" t="s">
        <v>91</v>
      </c>
      <c r="W1791" t="s">
        <v>92</v>
      </c>
      <c r="X1791" t="s">
        <v>93</v>
      </c>
      <c r="Y1791">
        <v>8</v>
      </c>
      <c r="Z1791" t="s">
        <v>137</v>
      </c>
      <c r="AB1791">
        <v>1.4800000000000001E-2</v>
      </c>
      <c r="AD1791">
        <v>1.0699999999999999E-2</v>
      </c>
      <c r="AF1791">
        <v>1.8499999999999999E-2</v>
      </c>
      <c r="AG1791" t="s">
        <v>95</v>
      </c>
      <c r="AX1791" t="s">
        <v>196</v>
      </c>
      <c r="AY1791" t="s">
        <v>817</v>
      </c>
      <c r="AZ1791" t="s">
        <v>214</v>
      </c>
      <c r="BA1791" t="s">
        <v>1372</v>
      </c>
      <c r="BC1791">
        <v>3</v>
      </c>
      <c r="BH1791" t="s">
        <v>99</v>
      </c>
      <c r="BO1791" t="s">
        <v>111</v>
      </c>
      <c r="CD1791" t="s">
        <v>1369</v>
      </c>
      <c r="CE1791">
        <v>174511</v>
      </c>
      <c r="CF1791" t="s">
        <v>1370</v>
      </c>
      <c r="CG1791" t="s">
        <v>1371</v>
      </c>
      <c r="CH1791">
        <v>2017</v>
      </c>
    </row>
    <row r="1792" spans="1:86" hidden="1" x14ac:dyDescent="0.25">
      <c r="A1792">
        <v>330541</v>
      </c>
      <c r="B1792" t="s">
        <v>86</v>
      </c>
      <c r="D1792" t="s">
        <v>115</v>
      </c>
      <c r="K1792" t="s">
        <v>1438</v>
      </c>
      <c r="L1792" t="s">
        <v>1439</v>
      </c>
      <c r="M1792" t="s">
        <v>1437</v>
      </c>
      <c r="V1792" t="s">
        <v>91</v>
      </c>
      <c r="W1792" t="s">
        <v>92</v>
      </c>
      <c r="X1792" t="s">
        <v>93</v>
      </c>
      <c r="Y1792">
        <v>8</v>
      </c>
      <c r="Z1792" t="s">
        <v>137</v>
      </c>
      <c r="AB1792">
        <v>1.6E-2</v>
      </c>
      <c r="AD1792">
        <v>0.01</v>
      </c>
      <c r="AF1792">
        <v>2.1999999999999999E-2</v>
      </c>
      <c r="AG1792" t="s">
        <v>95</v>
      </c>
      <c r="AX1792" t="s">
        <v>196</v>
      </c>
      <c r="AY1792" t="s">
        <v>1440</v>
      </c>
      <c r="AZ1792" t="s">
        <v>214</v>
      </c>
      <c r="BA1792" t="s">
        <v>1441</v>
      </c>
      <c r="BC1792">
        <v>7</v>
      </c>
      <c r="BH1792" t="s">
        <v>99</v>
      </c>
      <c r="BO1792" t="s">
        <v>111</v>
      </c>
      <c r="CD1792" t="s">
        <v>1442</v>
      </c>
      <c r="CE1792">
        <v>174699</v>
      </c>
      <c r="CF1792" t="s">
        <v>1443</v>
      </c>
      <c r="CG1792" t="s">
        <v>1444</v>
      </c>
      <c r="CH1792">
        <v>2010</v>
      </c>
    </row>
    <row r="1793" spans="1:86" hidden="1" x14ac:dyDescent="0.25">
      <c r="A1793">
        <v>330541</v>
      </c>
      <c r="B1793" t="s">
        <v>86</v>
      </c>
      <c r="D1793" t="s">
        <v>115</v>
      </c>
      <c r="K1793" t="s">
        <v>1435</v>
      </c>
      <c r="L1793" t="s">
        <v>1436</v>
      </c>
      <c r="M1793" t="s">
        <v>1437</v>
      </c>
      <c r="V1793" t="s">
        <v>91</v>
      </c>
      <c r="W1793" t="s">
        <v>92</v>
      </c>
      <c r="X1793" t="s">
        <v>93</v>
      </c>
      <c r="Y1793">
        <v>8</v>
      </c>
      <c r="Z1793" t="s">
        <v>137</v>
      </c>
      <c r="AB1793">
        <v>2.98E-2</v>
      </c>
      <c r="AD1793">
        <v>2.4E-2</v>
      </c>
      <c r="AF1793">
        <v>3.4200000000000001E-2</v>
      </c>
      <c r="AG1793" t="s">
        <v>95</v>
      </c>
      <c r="AX1793" t="s">
        <v>108</v>
      </c>
      <c r="AY1793" t="s">
        <v>160</v>
      </c>
      <c r="AZ1793" t="s">
        <v>214</v>
      </c>
      <c r="BC1793">
        <v>3</v>
      </c>
      <c r="BH1793" t="s">
        <v>99</v>
      </c>
      <c r="BO1793" t="s">
        <v>111</v>
      </c>
      <c r="CD1793" t="s">
        <v>1369</v>
      </c>
      <c r="CE1793">
        <v>174511</v>
      </c>
      <c r="CF1793" t="s">
        <v>1370</v>
      </c>
      <c r="CG1793" t="s">
        <v>1371</v>
      </c>
      <c r="CH1793">
        <v>2017</v>
      </c>
    </row>
    <row r="1794" spans="1:86" hidden="1" x14ac:dyDescent="0.25">
      <c r="A1794">
        <v>330541</v>
      </c>
      <c r="B1794" t="s">
        <v>86</v>
      </c>
      <c r="D1794" t="s">
        <v>115</v>
      </c>
      <c r="K1794" t="s">
        <v>1435</v>
      </c>
      <c r="L1794" t="s">
        <v>1436</v>
      </c>
      <c r="M1794" t="s">
        <v>1437</v>
      </c>
      <c r="V1794" t="s">
        <v>91</v>
      </c>
      <c r="W1794" t="s">
        <v>92</v>
      </c>
      <c r="X1794" t="s">
        <v>93</v>
      </c>
      <c r="Y1794">
        <v>8</v>
      </c>
      <c r="Z1794" t="s">
        <v>137</v>
      </c>
      <c r="AB1794">
        <v>9.4000000000000004E-3</v>
      </c>
      <c r="AD1794">
        <v>8.6E-3</v>
      </c>
      <c r="AF1794">
        <v>1.0200000000000001E-2</v>
      </c>
      <c r="AG1794" t="s">
        <v>95</v>
      </c>
      <c r="AX1794" t="s">
        <v>108</v>
      </c>
      <c r="AY1794" t="s">
        <v>120</v>
      </c>
      <c r="AZ1794" t="s">
        <v>214</v>
      </c>
      <c r="BC1794">
        <v>3</v>
      </c>
      <c r="BH1794" t="s">
        <v>99</v>
      </c>
      <c r="BO1794" t="s">
        <v>111</v>
      </c>
      <c r="CD1794" t="s">
        <v>1369</v>
      </c>
      <c r="CE1794">
        <v>174511</v>
      </c>
      <c r="CF1794" t="s">
        <v>1370</v>
      </c>
      <c r="CG1794" t="s">
        <v>1371</v>
      </c>
      <c r="CH1794">
        <v>2017</v>
      </c>
    </row>
    <row r="1795" spans="1:86" hidden="1" x14ac:dyDescent="0.25">
      <c r="A1795">
        <v>330541</v>
      </c>
      <c r="B1795" t="s">
        <v>86</v>
      </c>
      <c r="D1795" t="s">
        <v>115</v>
      </c>
      <c r="K1795" t="s">
        <v>1435</v>
      </c>
      <c r="L1795" t="s">
        <v>1436</v>
      </c>
      <c r="M1795" t="s">
        <v>1437</v>
      </c>
      <c r="V1795" t="s">
        <v>91</v>
      </c>
      <c r="W1795" t="s">
        <v>92</v>
      </c>
      <c r="X1795" t="s">
        <v>93</v>
      </c>
      <c r="Y1795">
        <v>8</v>
      </c>
      <c r="Z1795" t="s">
        <v>137</v>
      </c>
      <c r="AA1795" t="s">
        <v>106</v>
      </c>
      <c r="AB1795">
        <v>0.05</v>
      </c>
      <c r="AG1795" t="s">
        <v>95</v>
      </c>
      <c r="AX1795" t="s">
        <v>108</v>
      </c>
      <c r="AY1795" t="s">
        <v>120</v>
      </c>
      <c r="AZ1795" t="s">
        <v>214</v>
      </c>
      <c r="BC1795">
        <v>3</v>
      </c>
      <c r="BH1795" t="s">
        <v>99</v>
      </c>
      <c r="BO1795" t="s">
        <v>111</v>
      </c>
      <c r="CD1795" t="s">
        <v>1369</v>
      </c>
      <c r="CE1795">
        <v>174511</v>
      </c>
      <c r="CF1795" t="s">
        <v>1370</v>
      </c>
      <c r="CG1795" t="s">
        <v>1371</v>
      </c>
      <c r="CH1795">
        <v>2017</v>
      </c>
    </row>
    <row r="1796" spans="1:86" hidden="1" x14ac:dyDescent="0.25">
      <c r="A1796">
        <v>330541</v>
      </c>
      <c r="B1796" t="s">
        <v>86</v>
      </c>
      <c r="D1796" t="s">
        <v>115</v>
      </c>
      <c r="K1796" t="s">
        <v>1438</v>
      </c>
      <c r="L1796" t="s">
        <v>1439</v>
      </c>
      <c r="M1796" t="s">
        <v>1437</v>
      </c>
      <c r="V1796" t="s">
        <v>91</v>
      </c>
      <c r="W1796" t="s">
        <v>92</v>
      </c>
      <c r="X1796" t="s">
        <v>93</v>
      </c>
      <c r="Y1796">
        <v>8</v>
      </c>
      <c r="Z1796" t="s">
        <v>137</v>
      </c>
      <c r="AB1796">
        <v>6.2500000000000003E-3</v>
      </c>
      <c r="AG1796" t="s">
        <v>95</v>
      </c>
      <c r="AX1796" t="s">
        <v>196</v>
      </c>
      <c r="AY1796" t="s">
        <v>1440</v>
      </c>
      <c r="AZ1796" t="s">
        <v>486</v>
      </c>
      <c r="BA1796" t="s">
        <v>1441</v>
      </c>
      <c r="BC1796">
        <v>7</v>
      </c>
      <c r="BH1796" t="s">
        <v>99</v>
      </c>
      <c r="BO1796" t="s">
        <v>111</v>
      </c>
      <c r="CD1796" t="s">
        <v>1442</v>
      </c>
      <c r="CE1796">
        <v>174699</v>
      </c>
      <c r="CF1796" t="s">
        <v>1443</v>
      </c>
      <c r="CG1796" t="s">
        <v>1444</v>
      </c>
      <c r="CH1796">
        <v>2010</v>
      </c>
    </row>
    <row r="1797" spans="1:86" hidden="1" x14ac:dyDescent="0.25">
      <c r="A1797">
        <v>330541</v>
      </c>
      <c r="B1797" t="s">
        <v>86</v>
      </c>
      <c r="D1797" t="s">
        <v>115</v>
      </c>
      <c r="K1797" t="s">
        <v>1438</v>
      </c>
      <c r="L1797" t="s">
        <v>1439</v>
      </c>
      <c r="M1797" t="s">
        <v>1437</v>
      </c>
      <c r="V1797" t="s">
        <v>91</v>
      </c>
      <c r="W1797" t="s">
        <v>92</v>
      </c>
      <c r="X1797" t="s">
        <v>93</v>
      </c>
      <c r="Y1797">
        <v>8</v>
      </c>
      <c r="Z1797" t="s">
        <v>137</v>
      </c>
      <c r="AB1797">
        <v>6.2500000000000003E-3</v>
      </c>
      <c r="AG1797" t="s">
        <v>95</v>
      </c>
      <c r="AX1797" t="s">
        <v>201</v>
      </c>
      <c r="AY1797" t="s">
        <v>120</v>
      </c>
      <c r="AZ1797" t="s">
        <v>486</v>
      </c>
      <c r="BA1797" t="s">
        <v>1441</v>
      </c>
      <c r="BC1797">
        <v>7</v>
      </c>
      <c r="BH1797" t="s">
        <v>99</v>
      </c>
      <c r="BO1797" t="s">
        <v>111</v>
      </c>
      <c r="CD1797" t="s">
        <v>1442</v>
      </c>
      <c r="CE1797">
        <v>174699</v>
      </c>
      <c r="CF1797" t="s">
        <v>1443</v>
      </c>
      <c r="CG1797" t="s">
        <v>1444</v>
      </c>
      <c r="CH1797">
        <v>2010</v>
      </c>
    </row>
    <row r="1798" spans="1:86" hidden="1" x14ac:dyDescent="0.25">
      <c r="A1798">
        <v>330541</v>
      </c>
      <c r="B1798" t="s">
        <v>86</v>
      </c>
      <c r="D1798" t="s">
        <v>115</v>
      </c>
      <c r="K1798" t="s">
        <v>1438</v>
      </c>
      <c r="L1798" t="s">
        <v>1439</v>
      </c>
      <c r="M1798" t="s">
        <v>1437</v>
      </c>
      <c r="V1798" t="s">
        <v>91</v>
      </c>
      <c r="W1798" t="s">
        <v>92</v>
      </c>
      <c r="X1798" t="s">
        <v>93</v>
      </c>
      <c r="Y1798">
        <v>8</v>
      </c>
      <c r="Z1798" t="s">
        <v>137</v>
      </c>
      <c r="AB1798">
        <v>6.2500000000000003E-3</v>
      </c>
      <c r="AG1798" t="s">
        <v>95</v>
      </c>
      <c r="AX1798" t="s">
        <v>196</v>
      </c>
      <c r="AY1798" t="s">
        <v>1440</v>
      </c>
      <c r="AZ1798" t="s">
        <v>486</v>
      </c>
      <c r="BA1798" t="s">
        <v>1441</v>
      </c>
      <c r="BC1798">
        <v>7</v>
      </c>
      <c r="BH1798" t="s">
        <v>99</v>
      </c>
      <c r="BO1798" t="s">
        <v>111</v>
      </c>
      <c r="CD1798" t="s">
        <v>1442</v>
      </c>
      <c r="CE1798">
        <v>174699</v>
      </c>
      <c r="CF1798" t="s">
        <v>1443</v>
      </c>
      <c r="CG1798" t="s">
        <v>1444</v>
      </c>
      <c r="CH1798">
        <v>2010</v>
      </c>
    </row>
    <row r="1799" spans="1:86" hidden="1" x14ac:dyDescent="0.25">
      <c r="A1799">
        <v>330541</v>
      </c>
      <c r="B1799" t="s">
        <v>86</v>
      </c>
      <c r="D1799" t="s">
        <v>115</v>
      </c>
      <c r="K1799" t="s">
        <v>1438</v>
      </c>
      <c r="L1799" t="s">
        <v>1439</v>
      </c>
      <c r="M1799" t="s">
        <v>1437</v>
      </c>
      <c r="V1799" t="s">
        <v>91</v>
      </c>
      <c r="W1799" t="s">
        <v>92</v>
      </c>
      <c r="X1799" t="s">
        <v>93</v>
      </c>
      <c r="Y1799">
        <v>8</v>
      </c>
      <c r="Z1799" t="s">
        <v>137</v>
      </c>
      <c r="AB1799">
        <v>6.2500000000000003E-3</v>
      </c>
      <c r="AG1799" t="s">
        <v>95</v>
      </c>
      <c r="AX1799" t="s">
        <v>144</v>
      </c>
      <c r="AY1799" t="s">
        <v>438</v>
      </c>
      <c r="AZ1799" t="s">
        <v>486</v>
      </c>
      <c r="BA1799" t="s">
        <v>1441</v>
      </c>
      <c r="BC1799">
        <v>7</v>
      </c>
      <c r="BH1799" t="s">
        <v>99</v>
      </c>
      <c r="BO1799" t="s">
        <v>111</v>
      </c>
      <c r="CD1799" t="s">
        <v>1442</v>
      </c>
      <c r="CE1799">
        <v>174699</v>
      </c>
      <c r="CF1799" t="s">
        <v>1443</v>
      </c>
      <c r="CG1799" t="s">
        <v>1444</v>
      </c>
      <c r="CH1799">
        <v>2010</v>
      </c>
    </row>
    <row r="1800" spans="1:86" hidden="1" x14ac:dyDescent="0.25">
      <c r="A1800">
        <v>330541</v>
      </c>
      <c r="B1800" t="s">
        <v>86</v>
      </c>
      <c r="D1800" t="s">
        <v>115</v>
      </c>
      <c r="K1800" t="s">
        <v>1438</v>
      </c>
      <c r="L1800" t="s">
        <v>1439</v>
      </c>
      <c r="M1800" t="s">
        <v>1437</v>
      </c>
      <c r="V1800" t="s">
        <v>91</v>
      </c>
      <c r="W1800" t="s">
        <v>92</v>
      </c>
      <c r="X1800" t="s">
        <v>93</v>
      </c>
      <c r="Y1800">
        <v>8</v>
      </c>
      <c r="Z1800" t="s">
        <v>137</v>
      </c>
      <c r="AB1800">
        <v>6.2500000000000003E-3</v>
      </c>
      <c r="AG1800" t="s">
        <v>95</v>
      </c>
      <c r="AX1800" t="s">
        <v>144</v>
      </c>
      <c r="AY1800" t="s">
        <v>438</v>
      </c>
      <c r="AZ1800" t="s">
        <v>486</v>
      </c>
      <c r="BA1800" t="s">
        <v>1441</v>
      </c>
      <c r="BC1800">
        <v>7</v>
      </c>
      <c r="BH1800" t="s">
        <v>99</v>
      </c>
      <c r="BO1800" t="s">
        <v>111</v>
      </c>
      <c r="CD1800" t="s">
        <v>1442</v>
      </c>
      <c r="CE1800">
        <v>174699</v>
      </c>
      <c r="CF1800" t="s">
        <v>1443</v>
      </c>
      <c r="CG1800" t="s">
        <v>1444</v>
      </c>
      <c r="CH1800">
        <v>2010</v>
      </c>
    </row>
    <row r="1801" spans="1:86" hidden="1" x14ac:dyDescent="0.25">
      <c r="A1801">
        <v>330541</v>
      </c>
      <c r="B1801" t="s">
        <v>86</v>
      </c>
      <c r="D1801" t="s">
        <v>115</v>
      </c>
      <c r="K1801" t="s">
        <v>1438</v>
      </c>
      <c r="L1801" t="s">
        <v>1439</v>
      </c>
      <c r="M1801" t="s">
        <v>1437</v>
      </c>
      <c r="V1801" t="s">
        <v>91</v>
      </c>
      <c r="W1801" t="s">
        <v>92</v>
      </c>
      <c r="X1801" t="s">
        <v>93</v>
      </c>
      <c r="Y1801">
        <v>8</v>
      </c>
      <c r="Z1801" t="s">
        <v>137</v>
      </c>
      <c r="AB1801">
        <v>6.2500000000000003E-3</v>
      </c>
      <c r="AG1801" t="s">
        <v>95</v>
      </c>
      <c r="AX1801" t="s">
        <v>196</v>
      </c>
      <c r="AY1801" t="s">
        <v>1440</v>
      </c>
      <c r="AZ1801" t="s">
        <v>486</v>
      </c>
      <c r="BA1801" t="s">
        <v>1441</v>
      </c>
      <c r="BC1801">
        <v>7</v>
      </c>
      <c r="BH1801" t="s">
        <v>99</v>
      </c>
      <c r="BO1801" t="s">
        <v>111</v>
      </c>
      <c r="CD1801" t="s">
        <v>1442</v>
      </c>
      <c r="CE1801">
        <v>174699</v>
      </c>
      <c r="CF1801" t="s">
        <v>1443</v>
      </c>
      <c r="CG1801" t="s">
        <v>1444</v>
      </c>
      <c r="CH1801">
        <v>2010</v>
      </c>
    </row>
    <row r="1802" spans="1:86" hidden="1" x14ac:dyDescent="0.25">
      <c r="A1802">
        <v>330541</v>
      </c>
      <c r="B1802" t="s">
        <v>86</v>
      </c>
      <c r="D1802" t="s">
        <v>115</v>
      </c>
      <c r="K1802" t="s">
        <v>1438</v>
      </c>
      <c r="L1802" t="s">
        <v>1439</v>
      </c>
      <c r="M1802" t="s">
        <v>1437</v>
      </c>
      <c r="V1802" t="s">
        <v>91</v>
      </c>
      <c r="W1802" t="s">
        <v>92</v>
      </c>
      <c r="X1802" t="s">
        <v>93</v>
      </c>
      <c r="Y1802">
        <v>8</v>
      </c>
      <c r="Z1802" t="s">
        <v>137</v>
      </c>
      <c r="AB1802">
        <v>6.2500000000000003E-3</v>
      </c>
      <c r="AG1802" t="s">
        <v>95</v>
      </c>
      <c r="AX1802" t="s">
        <v>201</v>
      </c>
      <c r="AY1802" t="s">
        <v>120</v>
      </c>
      <c r="AZ1802" t="s">
        <v>486</v>
      </c>
      <c r="BA1802" t="s">
        <v>1441</v>
      </c>
      <c r="BC1802">
        <v>7</v>
      </c>
      <c r="BH1802" t="s">
        <v>99</v>
      </c>
      <c r="BO1802" t="s">
        <v>111</v>
      </c>
      <c r="CD1802" t="s">
        <v>1442</v>
      </c>
      <c r="CE1802">
        <v>174699</v>
      </c>
      <c r="CF1802" t="s">
        <v>1443</v>
      </c>
      <c r="CG1802" t="s">
        <v>1444</v>
      </c>
      <c r="CH1802">
        <v>2010</v>
      </c>
    </row>
    <row r="1803" spans="1:86" hidden="1" x14ac:dyDescent="0.25">
      <c r="A1803">
        <v>330541</v>
      </c>
      <c r="B1803" t="s">
        <v>86</v>
      </c>
      <c r="D1803" t="s">
        <v>115</v>
      </c>
      <c r="K1803" t="s">
        <v>1445</v>
      </c>
      <c r="L1803" t="s">
        <v>1439</v>
      </c>
      <c r="M1803" t="s">
        <v>1437</v>
      </c>
      <c r="V1803" t="s">
        <v>91</v>
      </c>
      <c r="W1803" t="s">
        <v>92</v>
      </c>
      <c r="X1803" t="s">
        <v>93</v>
      </c>
      <c r="Z1803" t="s">
        <v>137</v>
      </c>
      <c r="AB1803"/>
      <c r="AD1803">
        <v>0.01</v>
      </c>
      <c r="AF1803">
        <v>100</v>
      </c>
      <c r="AG1803" t="s">
        <v>95</v>
      </c>
      <c r="AX1803" t="s">
        <v>108</v>
      </c>
      <c r="AY1803" t="s">
        <v>308</v>
      </c>
      <c r="BH1803" t="s">
        <v>627</v>
      </c>
      <c r="BO1803" t="s">
        <v>111</v>
      </c>
      <c r="CD1803" t="s">
        <v>1448</v>
      </c>
      <c r="CE1803">
        <v>3228</v>
      </c>
      <c r="CF1803" t="s">
        <v>1449</v>
      </c>
      <c r="CG1803" t="s">
        <v>1450</v>
      </c>
      <c r="CH1803">
        <v>1988</v>
      </c>
    </row>
    <row r="1804" spans="1:86" hidden="1" x14ac:dyDescent="0.25">
      <c r="A1804">
        <v>330541</v>
      </c>
      <c r="B1804" t="s">
        <v>86</v>
      </c>
      <c r="D1804" t="s">
        <v>115</v>
      </c>
      <c r="K1804" t="s">
        <v>1445</v>
      </c>
      <c r="L1804" t="s">
        <v>1439</v>
      </c>
      <c r="M1804" t="s">
        <v>1437</v>
      </c>
      <c r="V1804" t="s">
        <v>168</v>
      </c>
      <c r="W1804" t="s">
        <v>92</v>
      </c>
      <c r="X1804" t="s">
        <v>93</v>
      </c>
      <c r="Y1804">
        <v>11</v>
      </c>
      <c r="Z1804" t="s">
        <v>137</v>
      </c>
      <c r="AB1804">
        <v>10</v>
      </c>
      <c r="AG1804" t="s">
        <v>95</v>
      </c>
      <c r="AX1804" t="s">
        <v>523</v>
      </c>
      <c r="AY1804" t="s">
        <v>523</v>
      </c>
      <c r="BC1804">
        <v>7</v>
      </c>
      <c r="BH1804" t="s">
        <v>99</v>
      </c>
      <c r="BO1804" t="s">
        <v>111</v>
      </c>
      <c r="CD1804" t="s">
        <v>1451</v>
      </c>
      <c r="CE1804">
        <v>15281</v>
      </c>
      <c r="CF1804" t="s">
        <v>1452</v>
      </c>
      <c r="CG1804" t="s">
        <v>1453</v>
      </c>
      <c r="CH1804">
        <v>1974</v>
      </c>
    </row>
    <row r="1805" spans="1:86" hidden="1" x14ac:dyDescent="0.25">
      <c r="A1805">
        <v>330541</v>
      </c>
      <c r="B1805" t="s">
        <v>86</v>
      </c>
      <c r="D1805" t="s">
        <v>115</v>
      </c>
      <c r="K1805" t="s">
        <v>1435</v>
      </c>
      <c r="L1805" t="s">
        <v>1436</v>
      </c>
      <c r="M1805" t="s">
        <v>1437</v>
      </c>
      <c r="P1805">
        <v>4</v>
      </c>
      <c r="U1805" t="s">
        <v>1441</v>
      </c>
      <c r="W1805" t="s">
        <v>92</v>
      </c>
      <c r="X1805" t="s">
        <v>93</v>
      </c>
      <c r="Z1805" t="s">
        <v>137</v>
      </c>
      <c r="AB1805"/>
      <c r="AD1805">
        <v>2.3309719999999999E-2</v>
      </c>
      <c r="AF1805">
        <v>0.69929160000000001</v>
      </c>
      <c r="AG1805" t="s">
        <v>95</v>
      </c>
      <c r="AX1805" t="s">
        <v>144</v>
      </c>
      <c r="AY1805" t="s">
        <v>1454</v>
      </c>
      <c r="BC1805">
        <v>2</v>
      </c>
      <c r="BH1805" t="s">
        <v>99</v>
      </c>
      <c r="BO1805" t="s">
        <v>111</v>
      </c>
      <c r="CD1805" t="s">
        <v>1455</v>
      </c>
      <c r="CE1805">
        <v>14410</v>
      </c>
      <c r="CF1805" t="s">
        <v>1456</v>
      </c>
      <c r="CG1805" t="s">
        <v>1457</v>
      </c>
      <c r="CH1805">
        <v>1980</v>
      </c>
    </row>
    <row r="1806" spans="1:86" hidden="1" x14ac:dyDescent="0.25">
      <c r="A1806">
        <v>330541</v>
      </c>
      <c r="B1806" t="s">
        <v>86</v>
      </c>
      <c r="D1806" t="s">
        <v>115</v>
      </c>
      <c r="K1806" t="s">
        <v>1438</v>
      </c>
      <c r="L1806" t="s">
        <v>1439</v>
      </c>
      <c r="M1806" t="s">
        <v>1437</v>
      </c>
      <c r="V1806" t="s">
        <v>91</v>
      </c>
      <c r="W1806" t="s">
        <v>92</v>
      </c>
      <c r="X1806" t="s">
        <v>93</v>
      </c>
      <c r="Y1806">
        <v>8</v>
      </c>
      <c r="Z1806" t="s">
        <v>137</v>
      </c>
      <c r="AB1806"/>
      <c r="AD1806">
        <v>6.2500000000000003E-3</v>
      </c>
      <c r="AF1806">
        <v>0.4</v>
      </c>
      <c r="AG1806" t="s">
        <v>95</v>
      </c>
      <c r="AX1806" t="s">
        <v>201</v>
      </c>
      <c r="AY1806" t="s">
        <v>120</v>
      </c>
      <c r="BA1806" t="s">
        <v>1441</v>
      </c>
      <c r="BC1806">
        <v>7</v>
      </c>
      <c r="BH1806" t="s">
        <v>99</v>
      </c>
      <c r="BO1806" t="s">
        <v>111</v>
      </c>
      <c r="CD1806" t="s">
        <v>1442</v>
      </c>
      <c r="CE1806">
        <v>174699</v>
      </c>
      <c r="CF1806" t="s">
        <v>1443</v>
      </c>
      <c r="CG1806" t="s">
        <v>1444</v>
      </c>
      <c r="CH1806">
        <v>2010</v>
      </c>
    </row>
    <row r="1807" spans="1:86" hidden="1" x14ac:dyDescent="0.25">
      <c r="A1807">
        <v>330541</v>
      </c>
      <c r="B1807" t="s">
        <v>86</v>
      </c>
      <c r="D1807" t="s">
        <v>115</v>
      </c>
      <c r="K1807" t="s">
        <v>1458</v>
      </c>
      <c r="L1807" t="s">
        <v>1439</v>
      </c>
      <c r="M1807" t="s">
        <v>1459</v>
      </c>
      <c r="V1807" t="s">
        <v>91</v>
      </c>
      <c r="W1807" t="s">
        <v>92</v>
      </c>
      <c r="X1807" t="s">
        <v>93</v>
      </c>
      <c r="Y1807">
        <v>8</v>
      </c>
      <c r="Z1807" t="s">
        <v>137</v>
      </c>
      <c r="AB1807">
        <v>8.0000000000000002E-3</v>
      </c>
      <c r="AD1807">
        <v>1.9E-3</v>
      </c>
      <c r="AF1807">
        <v>9.4999999999999998E-3</v>
      </c>
      <c r="AG1807" t="s">
        <v>95</v>
      </c>
      <c r="AX1807" t="s">
        <v>196</v>
      </c>
      <c r="AY1807" t="s">
        <v>817</v>
      </c>
      <c r="AZ1807" t="s">
        <v>138</v>
      </c>
      <c r="BA1807" t="s">
        <v>1372</v>
      </c>
      <c r="BC1807">
        <v>3</v>
      </c>
      <c r="BH1807" t="s">
        <v>99</v>
      </c>
      <c r="BO1807" t="s">
        <v>111</v>
      </c>
      <c r="CD1807" t="s">
        <v>1369</v>
      </c>
      <c r="CE1807">
        <v>174511</v>
      </c>
      <c r="CF1807" t="s">
        <v>1370</v>
      </c>
      <c r="CG1807" t="s">
        <v>1371</v>
      </c>
      <c r="CH1807">
        <v>2017</v>
      </c>
    </row>
    <row r="1808" spans="1:86" hidden="1" x14ac:dyDescent="0.25">
      <c r="A1808">
        <v>330541</v>
      </c>
      <c r="B1808" t="s">
        <v>86</v>
      </c>
      <c r="D1808" t="s">
        <v>115</v>
      </c>
      <c r="K1808" t="s">
        <v>1458</v>
      </c>
      <c r="L1808" t="s">
        <v>1439</v>
      </c>
      <c r="M1808" t="s">
        <v>1459</v>
      </c>
      <c r="V1808" t="s">
        <v>91</v>
      </c>
      <c r="W1808" t="s">
        <v>92</v>
      </c>
      <c r="X1808" t="s">
        <v>93</v>
      </c>
      <c r="Y1808">
        <v>8</v>
      </c>
      <c r="Z1808" t="s">
        <v>137</v>
      </c>
      <c r="AB1808">
        <v>1.6000000000000001E-3</v>
      </c>
      <c r="AD1808">
        <v>1.1999999999999999E-3</v>
      </c>
      <c r="AF1808">
        <v>2.0999999999999999E-3</v>
      </c>
      <c r="AG1808" t="s">
        <v>95</v>
      </c>
      <c r="AX1808" t="s">
        <v>108</v>
      </c>
      <c r="AY1808" t="s">
        <v>120</v>
      </c>
      <c r="AZ1808" t="s">
        <v>138</v>
      </c>
      <c r="BC1808">
        <v>3</v>
      </c>
      <c r="BH1808" t="s">
        <v>99</v>
      </c>
      <c r="BO1808" t="s">
        <v>111</v>
      </c>
      <c r="CD1808" t="s">
        <v>1369</v>
      </c>
      <c r="CE1808">
        <v>174511</v>
      </c>
      <c r="CF1808" t="s">
        <v>1370</v>
      </c>
      <c r="CG1808" t="s">
        <v>1371</v>
      </c>
      <c r="CH1808">
        <v>2017</v>
      </c>
    </row>
    <row r="1809" spans="1:86" hidden="1" x14ac:dyDescent="0.25">
      <c r="A1809">
        <v>330541</v>
      </c>
      <c r="B1809" t="s">
        <v>86</v>
      </c>
      <c r="D1809" t="s">
        <v>115</v>
      </c>
      <c r="K1809" t="s">
        <v>1458</v>
      </c>
      <c r="L1809" t="s">
        <v>1439</v>
      </c>
      <c r="M1809" t="s">
        <v>1459</v>
      </c>
      <c r="V1809" t="s">
        <v>91</v>
      </c>
      <c r="W1809" t="s">
        <v>92</v>
      </c>
      <c r="X1809" t="s">
        <v>93</v>
      </c>
      <c r="Y1809">
        <v>8</v>
      </c>
      <c r="Z1809" t="s">
        <v>137</v>
      </c>
      <c r="AB1809">
        <v>3.0999999999999999E-3</v>
      </c>
      <c r="AD1809">
        <v>1E-3</v>
      </c>
      <c r="AF1809">
        <v>6.0000000000000001E-3</v>
      </c>
      <c r="AG1809" t="s">
        <v>95</v>
      </c>
      <c r="AX1809" t="s">
        <v>108</v>
      </c>
      <c r="AY1809" t="s">
        <v>438</v>
      </c>
      <c r="AZ1809" t="s">
        <v>138</v>
      </c>
      <c r="BC1809">
        <v>3</v>
      </c>
      <c r="BH1809" t="s">
        <v>99</v>
      </c>
      <c r="BO1809" t="s">
        <v>111</v>
      </c>
      <c r="CD1809" t="s">
        <v>1369</v>
      </c>
      <c r="CE1809">
        <v>174511</v>
      </c>
      <c r="CF1809" t="s">
        <v>1370</v>
      </c>
      <c r="CG1809" t="s">
        <v>1371</v>
      </c>
      <c r="CH1809">
        <v>2017</v>
      </c>
    </row>
    <row r="1810" spans="1:86" hidden="1" x14ac:dyDescent="0.25">
      <c r="A1810">
        <v>330541</v>
      </c>
      <c r="B1810" t="s">
        <v>86</v>
      </c>
      <c r="D1810" t="s">
        <v>115</v>
      </c>
      <c r="K1810" t="s">
        <v>1458</v>
      </c>
      <c r="L1810" t="s">
        <v>1439</v>
      </c>
      <c r="M1810" t="s">
        <v>1459</v>
      </c>
      <c r="V1810" t="s">
        <v>91</v>
      </c>
      <c r="W1810" t="s">
        <v>92</v>
      </c>
      <c r="X1810" t="s">
        <v>93</v>
      </c>
      <c r="Y1810">
        <v>8</v>
      </c>
      <c r="Z1810" t="s">
        <v>137</v>
      </c>
      <c r="AB1810">
        <v>1.23E-2</v>
      </c>
      <c r="AD1810">
        <v>7.4999999999999997E-3</v>
      </c>
      <c r="AF1810">
        <v>1.43E-2</v>
      </c>
      <c r="AG1810" t="s">
        <v>95</v>
      </c>
      <c r="AX1810" t="s">
        <v>108</v>
      </c>
      <c r="AY1810" t="s">
        <v>160</v>
      </c>
      <c r="AZ1810" t="s">
        <v>138</v>
      </c>
      <c r="BC1810">
        <v>3</v>
      </c>
      <c r="BH1810" t="s">
        <v>99</v>
      </c>
      <c r="BO1810" t="s">
        <v>111</v>
      </c>
      <c r="CD1810" t="s">
        <v>1369</v>
      </c>
      <c r="CE1810">
        <v>174511</v>
      </c>
      <c r="CF1810" t="s">
        <v>1370</v>
      </c>
      <c r="CG1810" t="s">
        <v>1371</v>
      </c>
      <c r="CH1810">
        <v>2017</v>
      </c>
    </row>
    <row r="1811" spans="1:86" hidden="1" x14ac:dyDescent="0.25">
      <c r="A1811">
        <v>330541</v>
      </c>
      <c r="B1811" t="s">
        <v>86</v>
      </c>
      <c r="D1811" t="s">
        <v>115</v>
      </c>
      <c r="K1811" t="s">
        <v>1458</v>
      </c>
      <c r="L1811" t="s">
        <v>1439</v>
      </c>
      <c r="M1811" t="s">
        <v>1459</v>
      </c>
      <c r="V1811" t="s">
        <v>91</v>
      </c>
      <c r="W1811" t="s">
        <v>92</v>
      </c>
      <c r="X1811" t="s">
        <v>93</v>
      </c>
      <c r="Y1811">
        <v>8</v>
      </c>
      <c r="Z1811" t="s">
        <v>137</v>
      </c>
      <c r="AB1811">
        <v>8.2000000000000007E-3</v>
      </c>
      <c r="AD1811">
        <v>0</v>
      </c>
      <c r="AF1811">
        <v>1.17E-2</v>
      </c>
      <c r="AG1811" t="s">
        <v>95</v>
      </c>
      <c r="AX1811" t="s">
        <v>108</v>
      </c>
      <c r="AY1811" t="s">
        <v>120</v>
      </c>
      <c r="AZ1811" t="s">
        <v>138</v>
      </c>
      <c r="BC1811">
        <v>3</v>
      </c>
      <c r="BH1811" t="s">
        <v>99</v>
      </c>
      <c r="BO1811" t="s">
        <v>111</v>
      </c>
      <c r="CD1811" t="s">
        <v>1369</v>
      </c>
      <c r="CE1811">
        <v>174511</v>
      </c>
      <c r="CF1811" t="s">
        <v>1370</v>
      </c>
      <c r="CG1811" t="s">
        <v>1371</v>
      </c>
      <c r="CH1811">
        <v>2017</v>
      </c>
    </row>
    <row r="1812" spans="1:86" hidden="1" x14ac:dyDescent="0.25">
      <c r="A1812">
        <v>330541</v>
      </c>
      <c r="B1812" t="s">
        <v>86</v>
      </c>
      <c r="D1812" t="s">
        <v>115</v>
      </c>
      <c r="K1812" t="s">
        <v>1458</v>
      </c>
      <c r="L1812" t="s">
        <v>1439</v>
      </c>
      <c r="M1812" t="s">
        <v>1459</v>
      </c>
      <c r="V1812" t="s">
        <v>91</v>
      </c>
      <c r="W1812" t="s">
        <v>92</v>
      </c>
      <c r="X1812" t="s">
        <v>93</v>
      </c>
      <c r="Y1812">
        <v>8</v>
      </c>
      <c r="Z1812" t="s">
        <v>137</v>
      </c>
      <c r="AB1812">
        <v>9.9000000000000008E-3</v>
      </c>
      <c r="AD1812">
        <v>9.1999999999999998E-3</v>
      </c>
      <c r="AF1812">
        <v>1.04E-2</v>
      </c>
      <c r="AG1812" t="s">
        <v>95</v>
      </c>
      <c r="AX1812" t="s">
        <v>108</v>
      </c>
      <c r="AY1812" t="s">
        <v>120</v>
      </c>
      <c r="AZ1812" t="s">
        <v>214</v>
      </c>
      <c r="BC1812">
        <v>3</v>
      </c>
      <c r="BH1812" t="s">
        <v>99</v>
      </c>
      <c r="BO1812" t="s">
        <v>111</v>
      </c>
      <c r="CD1812" t="s">
        <v>1369</v>
      </c>
      <c r="CE1812">
        <v>174511</v>
      </c>
      <c r="CF1812" t="s">
        <v>1370</v>
      </c>
      <c r="CG1812" t="s">
        <v>1371</v>
      </c>
      <c r="CH1812">
        <v>2017</v>
      </c>
    </row>
    <row r="1813" spans="1:86" hidden="1" x14ac:dyDescent="0.25">
      <c r="A1813">
        <v>330541</v>
      </c>
      <c r="B1813" t="s">
        <v>86</v>
      </c>
      <c r="D1813" t="s">
        <v>115</v>
      </c>
      <c r="K1813" t="s">
        <v>1458</v>
      </c>
      <c r="L1813" t="s">
        <v>1439</v>
      </c>
      <c r="M1813" t="s">
        <v>1459</v>
      </c>
      <c r="V1813" t="s">
        <v>91</v>
      </c>
      <c r="W1813" t="s">
        <v>92</v>
      </c>
      <c r="X1813" t="s">
        <v>93</v>
      </c>
      <c r="Y1813">
        <v>8</v>
      </c>
      <c r="Z1813" t="s">
        <v>137</v>
      </c>
      <c r="AB1813">
        <v>9.4999999999999998E-3</v>
      </c>
      <c r="AD1813">
        <v>8.2000000000000007E-3</v>
      </c>
      <c r="AF1813">
        <v>1.0500000000000001E-2</v>
      </c>
      <c r="AG1813" t="s">
        <v>95</v>
      </c>
      <c r="AX1813" t="s">
        <v>108</v>
      </c>
      <c r="AY1813" t="s">
        <v>438</v>
      </c>
      <c r="AZ1813" t="s">
        <v>214</v>
      </c>
      <c r="BC1813">
        <v>3</v>
      </c>
      <c r="BH1813" t="s">
        <v>99</v>
      </c>
      <c r="BO1813" t="s">
        <v>111</v>
      </c>
      <c r="CD1813" t="s">
        <v>1369</v>
      </c>
      <c r="CE1813">
        <v>174511</v>
      </c>
      <c r="CF1813" t="s">
        <v>1370</v>
      </c>
      <c r="CG1813" t="s">
        <v>1371</v>
      </c>
      <c r="CH1813">
        <v>2017</v>
      </c>
    </row>
    <row r="1814" spans="1:86" hidden="1" x14ac:dyDescent="0.25">
      <c r="A1814">
        <v>330541</v>
      </c>
      <c r="B1814" t="s">
        <v>86</v>
      </c>
      <c r="D1814" t="s">
        <v>115</v>
      </c>
      <c r="K1814" t="s">
        <v>1458</v>
      </c>
      <c r="L1814" t="s">
        <v>1439</v>
      </c>
      <c r="M1814" t="s">
        <v>1459</v>
      </c>
      <c r="V1814" t="s">
        <v>91</v>
      </c>
      <c r="W1814" t="s">
        <v>92</v>
      </c>
      <c r="X1814" t="s">
        <v>93</v>
      </c>
      <c r="Y1814">
        <v>8</v>
      </c>
      <c r="Z1814" t="s">
        <v>137</v>
      </c>
      <c r="AB1814">
        <v>2.5000000000000001E-2</v>
      </c>
      <c r="AD1814">
        <v>2.07E-2</v>
      </c>
      <c r="AF1814">
        <v>2.93E-2</v>
      </c>
      <c r="AG1814" t="s">
        <v>95</v>
      </c>
      <c r="AX1814" t="s">
        <v>196</v>
      </c>
      <c r="AY1814" t="s">
        <v>817</v>
      </c>
      <c r="AZ1814" t="s">
        <v>214</v>
      </c>
      <c r="BA1814" t="s">
        <v>1372</v>
      </c>
      <c r="BC1814">
        <v>3</v>
      </c>
      <c r="BH1814" t="s">
        <v>99</v>
      </c>
      <c r="BO1814" t="s">
        <v>111</v>
      </c>
      <c r="CD1814" t="s">
        <v>1369</v>
      </c>
      <c r="CE1814">
        <v>174511</v>
      </c>
      <c r="CF1814" t="s">
        <v>1370</v>
      </c>
      <c r="CG1814" t="s">
        <v>1371</v>
      </c>
      <c r="CH1814">
        <v>2017</v>
      </c>
    </row>
    <row r="1815" spans="1:86" hidden="1" x14ac:dyDescent="0.25">
      <c r="A1815">
        <v>330541</v>
      </c>
      <c r="B1815" t="s">
        <v>86</v>
      </c>
      <c r="D1815" t="s">
        <v>115</v>
      </c>
      <c r="K1815" t="s">
        <v>1458</v>
      </c>
      <c r="L1815" t="s">
        <v>1439</v>
      </c>
      <c r="M1815" t="s">
        <v>1459</v>
      </c>
      <c r="V1815" t="s">
        <v>91</v>
      </c>
      <c r="W1815" t="s">
        <v>92</v>
      </c>
      <c r="X1815" t="s">
        <v>93</v>
      </c>
      <c r="Y1815">
        <v>8</v>
      </c>
      <c r="Z1815" t="s">
        <v>137</v>
      </c>
      <c r="AA1815" t="s">
        <v>106</v>
      </c>
      <c r="AB1815">
        <v>0.05</v>
      </c>
      <c r="AG1815" t="s">
        <v>95</v>
      </c>
      <c r="AX1815" t="s">
        <v>108</v>
      </c>
      <c r="AY1815" t="s">
        <v>120</v>
      </c>
      <c r="AZ1815" t="s">
        <v>214</v>
      </c>
      <c r="BC1815">
        <v>3</v>
      </c>
      <c r="BH1815" t="s">
        <v>99</v>
      </c>
      <c r="BO1815" t="s">
        <v>111</v>
      </c>
      <c r="CD1815" t="s">
        <v>1369</v>
      </c>
      <c r="CE1815">
        <v>174511</v>
      </c>
      <c r="CF1815" t="s">
        <v>1370</v>
      </c>
      <c r="CG1815" t="s">
        <v>1371</v>
      </c>
      <c r="CH1815">
        <v>2017</v>
      </c>
    </row>
    <row r="1816" spans="1:86" hidden="1" x14ac:dyDescent="0.25">
      <c r="A1816">
        <v>330541</v>
      </c>
      <c r="B1816" t="s">
        <v>86</v>
      </c>
      <c r="D1816" t="s">
        <v>115</v>
      </c>
      <c r="K1816" t="s">
        <v>1458</v>
      </c>
      <c r="L1816" t="s">
        <v>1439</v>
      </c>
      <c r="M1816" t="s">
        <v>1459</v>
      </c>
      <c r="V1816" t="s">
        <v>91</v>
      </c>
      <c r="W1816" t="s">
        <v>92</v>
      </c>
      <c r="X1816" t="s">
        <v>93</v>
      </c>
      <c r="Y1816">
        <v>8</v>
      </c>
      <c r="Z1816" t="s">
        <v>137</v>
      </c>
      <c r="AB1816">
        <v>3.4599999999999999E-2</v>
      </c>
      <c r="AD1816">
        <v>2.98E-2</v>
      </c>
      <c r="AF1816">
        <v>3.7699999999999997E-2</v>
      </c>
      <c r="AG1816" t="s">
        <v>95</v>
      </c>
      <c r="AX1816" t="s">
        <v>108</v>
      </c>
      <c r="AY1816" t="s">
        <v>160</v>
      </c>
      <c r="AZ1816" t="s">
        <v>214</v>
      </c>
      <c r="BC1816">
        <v>3</v>
      </c>
      <c r="BH1816" t="s">
        <v>99</v>
      </c>
      <c r="BO1816" t="s">
        <v>111</v>
      </c>
      <c r="CD1816" t="s">
        <v>1369</v>
      </c>
      <c r="CE1816">
        <v>174511</v>
      </c>
      <c r="CF1816" t="s">
        <v>1370</v>
      </c>
      <c r="CG1816" t="s">
        <v>1371</v>
      </c>
      <c r="CH1816">
        <v>2017</v>
      </c>
    </row>
    <row r="1817" spans="1:86" hidden="1" x14ac:dyDescent="0.25">
      <c r="A1817">
        <v>330541</v>
      </c>
      <c r="B1817" t="s">
        <v>86</v>
      </c>
      <c r="C1817" t="s">
        <v>158</v>
      </c>
      <c r="D1817" t="s">
        <v>115</v>
      </c>
      <c r="E1817" t="s">
        <v>106</v>
      </c>
      <c r="F1817">
        <v>99</v>
      </c>
      <c r="K1817" t="s">
        <v>1458</v>
      </c>
      <c r="L1817" t="s">
        <v>1439</v>
      </c>
      <c r="M1817" t="s">
        <v>1459</v>
      </c>
      <c r="V1817" t="s">
        <v>91</v>
      </c>
      <c r="W1817" t="s">
        <v>92</v>
      </c>
      <c r="X1817" t="s">
        <v>93</v>
      </c>
      <c r="Y1817">
        <v>7</v>
      </c>
      <c r="Z1817" t="s">
        <v>94</v>
      </c>
      <c r="AB1817">
        <v>2.8299999999999999E-2</v>
      </c>
      <c r="AD1817">
        <v>1.4500000000000001E-2</v>
      </c>
      <c r="AF1817">
        <v>4.2099999999999999E-2</v>
      </c>
      <c r="AG1817" t="s">
        <v>95</v>
      </c>
      <c r="AX1817" t="s">
        <v>196</v>
      </c>
      <c r="AY1817" t="s">
        <v>318</v>
      </c>
      <c r="AZ1817" t="s">
        <v>214</v>
      </c>
      <c r="BC1817">
        <v>7</v>
      </c>
      <c r="BH1817" t="s">
        <v>99</v>
      </c>
      <c r="BO1817" t="s">
        <v>111</v>
      </c>
      <c r="CD1817" t="s">
        <v>1460</v>
      </c>
      <c r="CE1817">
        <v>169118</v>
      </c>
      <c r="CF1817" t="s">
        <v>1461</v>
      </c>
      <c r="CG1817" t="s">
        <v>1462</v>
      </c>
      <c r="CH1817">
        <v>2015</v>
      </c>
    </row>
    <row r="1818" spans="1:86" hidden="1" x14ac:dyDescent="0.25">
      <c r="A1818">
        <v>330541</v>
      </c>
      <c r="B1818" t="s">
        <v>86</v>
      </c>
      <c r="D1818" t="s">
        <v>115</v>
      </c>
      <c r="E1818" t="s">
        <v>106</v>
      </c>
      <c r="F1818">
        <v>99</v>
      </c>
      <c r="K1818" t="s">
        <v>1463</v>
      </c>
      <c r="L1818" t="s">
        <v>1464</v>
      </c>
      <c r="M1818" t="s">
        <v>1459</v>
      </c>
      <c r="V1818" t="s">
        <v>91</v>
      </c>
      <c r="W1818" t="s">
        <v>92</v>
      </c>
      <c r="X1818" t="s">
        <v>93</v>
      </c>
      <c r="Y1818">
        <v>5</v>
      </c>
      <c r="Z1818" t="s">
        <v>94</v>
      </c>
      <c r="AB1818">
        <v>5.0000000000000001E-3</v>
      </c>
      <c r="AG1818" t="s">
        <v>95</v>
      </c>
      <c r="AX1818" t="s">
        <v>196</v>
      </c>
      <c r="AY1818" t="s">
        <v>318</v>
      </c>
      <c r="AZ1818" t="s">
        <v>214</v>
      </c>
      <c r="BC1818">
        <v>14</v>
      </c>
      <c r="BH1818" t="s">
        <v>99</v>
      </c>
      <c r="BO1818" t="s">
        <v>111</v>
      </c>
      <c r="CD1818" t="s">
        <v>319</v>
      </c>
      <c r="CE1818">
        <v>102064</v>
      </c>
      <c r="CF1818" t="s">
        <v>320</v>
      </c>
      <c r="CG1818" t="s">
        <v>321</v>
      </c>
      <c r="CH1818">
        <v>2006</v>
      </c>
    </row>
    <row r="1819" spans="1:86" hidden="1" x14ac:dyDescent="0.25">
      <c r="A1819">
        <v>330541</v>
      </c>
      <c r="B1819" t="s">
        <v>86</v>
      </c>
      <c r="D1819" t="s">
        <v>115</v>
      </c>
      <c r="E1819" t="s">
        <v>106</v>
      </c>
      <c r="F1819">
        <v>99</v>
      </c>
      <c r="K1819" t="s">
        <v>1463</v>
      </c>
      <c r="L1819" t="s">
        <v>1464</v>
      </c>
      <c r="M1819" t="s">
        <v>1459</v>
      </c>
      <c r="V1819" t="s">
        <v>91</v>
      </c>
      <c r="W1819" t="s">
        <v>92</v>
      </c>
      <c r="X1819" t="s">
        <v>93</v>
      </c>
      <c r="Y1819">
        <v>5</v>
      </c>
      <c r="Z1819" t="s">
        <v>94</v>
      </c>
      <c r="AA1819" t="s">
        <v>106</v>
      </c>
      <c r="AB1819">
        <v>5.0000000000000001E-3</v>
      </c>
      <c r="AG1819" t="s">
        <v>95</v>
      </c>
      <c r="AX1819" t="s">
        <v>108</v>
      </c>
      <c r="AY1819" t="s">
        <v>311</v>
      </c>
      <c r="AZ1819" t="s">
        <v>214</v>
      </c>
      <c r="BC1819">
        <v>14</v>
      </c>
      <c r="BH1819" t="s">
        <v>99</v>
      </c>
      <c r="BO1819" t="s">
        <v>111</v>
      </c>
      <c r="CD1819" t="s">
        <v>319</v>
      </c>
      <c r="CE1819">
        <v>102064</v>
      </c>
      <c r="CF1819" t="s">
        <v>320</v>
      </c>
      <c r="CG1819" t="s">
        <v>321</v>
      </c>
      <c r="CH1819">
        <v>2006</v>
      </c>
    </row>
    <row r="1820" spans="1:86" hidden="1" x14ac:dyDescent="0.25">
      <c r="A1820">
        <v>330541</v>
      </c>
      <c r="B1820" t="s">
        <v>86</v>
      </c>
      <c r="D1820" t="s">
        <v>115</v>
      </c>
      <c r="E1820" t="s">
        <v>106</v>
      </c>
      <c r="F1820">
        <v>98</v>
      </c>
      <c r="K1820" t="s">
        <v>1458</v>
      </c>
      <c r="L1820" t="s">
        <v>1439</v>
      </c>
      <c r="M1820" t="s">
        <v>1459</v>
      </c>
      <c r="V1820" t="s">
        <v>507</v>
      </c>
      <c r="W1820" t="s">
        <v>92</v>
      </c>
      <c r="X1820" t="s">
        <v>93</v>
      </c>
      <c r="Z1820" t="s">
        <v>94</v>
      </c>
      <c r="AB1820">
        <v>2.5000000000000001E-2</v>
      </c>
      <c r="AG1820" t="s">
        <v>95</v>
      </c>
      <c r="AX1820" t="s">
        <v>108</v>
      </c>
      <c r="AY1820" t="s">
        <v>160</v>
      </c>
      <c r="AZ1820" t="s">
        <v>422</v>
      </c>
      <c r="BC1820">
        <v>7</v>
      </c>
      <c r="BH1820" t="s">
        <v>99</v>
      </c>
      <c r="BO1820" t="s">
        <v>111</v>
      </c>
      <c r="CD1820" t="s">
        <v>1465</v>
      </c>
      <c r="CE1820">
        <v>20352</v>
      </c>
      <c r="CF1820" t="s">
        <v>1466</v>
      </c>
      <c r="CG1820" t="s">
        <v>1467</v>
      </c>
      <c r="CH1820">
        <v>1999</v>
      </c>
    </row>
    <row r="1821" spans="1:86" hidden="1" x14ac:dyDescent="0.25">
      <c r="A1821">
        <v>330541</v>
      </c>
      <c r="B1821" t="s">
        <v>86</v>
      </c>
      <c r="C1821" t="s">
        <v>183</v>
      </c>
      <c r="D1821" t="s">
        <v>115</v>
      </c>
      <c r="K1821" t="s">
        <v>1463</v>
      </c>
      <c r="L1821" t="s">
        <v>1464</v>
      </c>
      <c r="M1821" t="s">
        <v>1459</v>
      </c>
      <c r="V1821" t="s">
        <v>91</v>
      </c>
      <c r="W1821" t="s">
        <v>220</v>
      </c>
      <c r="X1821" t="s">
        <v>93</v>
      </c>
      <c r="Z1821" t="s">
        <v>94</v>
      </c>
      <c r="AB1821"/>
      <c r="AC1821" t="s">
        <v>106</v>
      </c>
      <c r="AD1821">
        <v>2.3309719999999999E-2</v>
      </c>
      <c r="AE1821" t="s">
        <v>234</v>
      </c>
      <c r="AF1821">
        <v>4.6619439999999998E-2</v>
      </c>
      <c r="AG1821" t="s">
        <v>95</v>
      </c>
      <c r="AX1821" t="s">
        <v>144</v>
      </c>
      <c r="AY1821" t="s">
        <v>109</v>
      </c>
      <c r="AZ1821" t="s">
        <v>422</v>
      </c>
      <c r="BC1821">
        <v>1.04E-2</v>
      </c>
      <c r="BH1821" t="s">
        <v>99</v>
      </c>
      <c r="BO1821" t="s">
        <v>111</v>
      </c>
      <c r="CD1821" t="s">
        <v>1468</v>
      </c>
      <c r="CE1821">
        <v>178696</v>
      </c>
      <c r="CF1821" t="s">
        <v>1469</v>
      </c>
      <c r="CG1821" t="s">
        <v>1470</v>
      </c>
      <c r="CH1821">
        <v>1987</v>
      </c>
    </row>
    <row r="1822" spans="1:86" hidden="1" x14ac:dyDescent="0.25">
      <c r="A1822">
        <v>330541</v>
      </c>
      <c r="B1822" t="s">
        <v>86</v>
      </c>
      <c r="D1822" t="s">
        <v>115</v>
      </c>
      <c r="E1822" t="s">
        <v>106</v>
      </c>
      <c r="F1822">
        <v>99</v>
      </c>
      <c r="K1822" t="s">
        <v>1463</v>
      </c>
      <c r="L1822" t="s">
        <v>1464</v>
      </c>
      <c r="M1822" t="s">
        <v>1459</v>
      </c>
      <c r="V1822" t="s">
        <v>91</v>
      </c>
      <c r="W1822" t="s">
        <v>92</v>
      </c>
      <c r="X1822" t="s">
        <v>93</v>
      </c>
      <c r="Y1822">
        <v>5</v>
      </c>
      <c r="Z1822" t="s">
        <v>94</v>
      </c>
      <c r="AB1822">
        <v>5.0000000000000002E-5</v>
      </c>
      <c r="AG1822" t="s">
        <v>95</v>
      </c>
      <c r="AX1822" t="s">
        <v>196</v>
      </c>
      <c r="AY1822" t="s">
        <v>318</v>
      </c>
      <c r="AZ1822" t="s">
        <v>486</v>
      </c>
      <c r="BC1822">
        <v>14</v>
      </c>
      <c r="BH1822" t="s">
        <v>99</v>
      </c>
      <c r="BO1822" t="s">
        <v>111</v>
      </c>
      <c r="CD1822" t="s">
        <v>319</v>
      </c>
      <c r="CE1822">
        <v>102064</v>
      </c>
      <c r="CF1822" t="s">
        <v>320</v>
      </c>
      <c r="CG1822" t="s">
        <v>321</v>
      </c>
      <c r="CH1822">
        <v>2006</v>
      </c>
    </row>
    <row r="1823" spans="1:86" hidden="1" x14ac:dyDescent="0.25">
      <c r="A1823">
        <v>330541</v>
      </c>
      <c r="B1823" t="s">
        <v>86</v>
      </c>
      <c r="D1823" t="s">
        <v>115</v>
      </c>
      <c r="F1823">
        <v>98.4</v>
      </c>
      <c r="K1823" t="s">
        <v>1463</v>
      </c>
      <c r="L1823" t="s">
        <v>1464</v>
      </c>
      <c r="M1823" t="s">
        <v>1459</v>
      </c>
      <c r="V1823" t="s">
        <v>491</v>
      </c>
      <c r="W1823" t="s">
        <v>92</v>
      </c>
      <c r="X1823" t="s">
        <v>492</v>
      </c>
      <c r="Y1823">
        <v>2</v>
      </c>
      <c r="Z1823" t="s">
        <v>94</v>
      </c>
      <c r="AB1823">
        <v>5.0000000000000001E-3</v>
      </c>
      <c r="AG1823" t="s">
        <v>95</v>
      </c>
      <c r="AX1823" t="s">
        <v>144</v>
      </c>
      <c r="AY1823" t="s">
        <v>109</v>
      </c>
      <c r="AZ1823" t="s">
        <v>486</v>
      </c>
      <c r="BC1823">
        <v>2</v>
      </c>
      <c r="BH1823" t="s">
        <v>99</v>
      </c>
      <c r="BO1823" t="s">
        <v>111</v>
      </c>
      <c r="CD1823" t="s">
        <v>493</v>
      </c>
      <c r="CE1823">
        <v>165274</v>
      </c>
      <c r="CF1823" t="s">
        <v>494</v>
      </c>
      <c r="CG1823" t="s">
        <v>495</v>
      </c>
      <c r="CH1823">
        <v>2012</v>
      </c>
    </row>
    <row r="1824" spans="1:86" hidden="1" x14ac:dyDescent="0.25">
      <c r="A1824">
        <v>330541</v>
      </c>
      <c r="B1824" t="s">
        <v>86</v>
      </c>
      <c r="D1824" t="s">
        <v>115</v>
      </c>
      <c r="F1824">
        <v>98.4</v>
      </c>
      <c r="K1824" t="s">
        <v>1463</v>
      </c>
      <c r="L1824" t="s">
        <v>1464</v>
      </c>
      <c r="M1824" t="s">
        <v>1459</v>
      </c>
      <c r="V1824" t="s">
        <v>491</v>
      </c>
      <c r="W1824" t="s">
        <v>92</v>
      </c>
      <c r="X1824" t="s">
        <v>492</v>
      </c>
      <c r="Y1824">
        <v>2</v>
      </c>
      <c r="Z1824" t="s">
        <v>94</v>
      </c>
      <c r="AB1824">
        <v>5.0000000000000001E-3</v>
      </c>
      <c r="AG1824" t="s">
        <v>95</v>
      </c>
      <c r="AX1824" t="s">
        <v>144</v>
      </c>
      <c r="AY1824" t="s">
        <v>109</v>
      </c>
      <c r="AZ1824" t="s">
        <v>486</v>
      </c>
      <c r="BC1824">
        <v>5</v>
      </c>
      <c r="BH1824" t="s">
        <v>99</v>
      </c>
      <c r="BO1824" t="s">
        <v>111</v>
      </c>
      <c r="CD1824" t="s">
        <v>493</v>
      </c>
      <c r="CE1824">
        <v>165274</v>
      </c>
      <c r="CF1824" t="s">
        <v>494</v>
      </c>
      <c r="CG1824" t="s">
        <v>495</v>
      </c>
      <c r="CH1824">
        <v>2012</v>
      </c>
    </row>
    <row r="1825" spans="1:86" hidden="1" x14ac:dyDescent="0.25">
      <c r="A1825">
        <v>330541</v>
      </c>
      <c r="B1825" t="s">
        <v>86</v>
      </c>
      <c r="D1825" t="s">
        <v>115</v>
      </c>
      <c r="F1825">
        <v>98.4</v>
      </c>
      <c r="K1825" t="s">
        <v>1463</v>
      </c>
      <c r="L1825" t="s">
        <v>1464</v>
      </c>
      <c r="M1825" t="s">
        <v>1459</v>
      </c>
      <c r="V1825" t="s">
        <v>491</v>
      </c>
      <c r="W1825" t="s">
        <v>92</v>
      </c>
      <c r="X1825" t="s">
        <v>492</v>
      </c>
      <c r="Y1825">
        <v>2</v>
      </c>
      <c r="Z1825" t="s">
        <v>94</v>
      </c>
      <c r="AB1825">
        <v>5.0000000000000001E-3</v>
      </c>
      <c r="AG1825" t="s">
        <v>95</v>
      </c>
      <c r="AX1825" t="s">
        <v>144</v>
      </c>
      <c r="AY1825" t="s">
        <v>109</v>
      </c>
      <c r="AZ1825" t="s">
        <v>486</v>
      </c>
      <c r="BC1825">
        <v>12</v>
      </c>
      <c r="BH1825" t="s">
        <v>99</v>
      </c>
      <c r="BO1825" t="s">
        <v>111</v>
      </c>
      <c r="CD1825" t="s">
        <v>493</v>
      </c>
      <c r="CE1825">
        <v>165274</v>
      </c>
      <c r="CF1825" t="s">
        <v>494</v>
      </c>
      <c r="CG1825" t="s">
        <v>495</v>
      </c>
      <c r="CH1825">
        <v>2012</v>
      </c>
    </row>
    <row r="1826" spans="1:86" hidden="1" x14ac:dyDescent="0.25">
      <c r="A1826">
        <v>330541</v>
      </c>
      <c r="B1826" t="s">
        <v>86</v>
      </c>
      <c r="D1826" t="s">
        <v>115</v>
      </c>
      <c r="K1826" t="s">
        <v>1458</v>
      </c>
      <c r="L1826" t="s">
        <v>1439</v>
      </c>
      <c r="M1826" t="s">
        <v>1459</v>
      </c>
      <c r="V1826" t="s">
        <v>91</v>
      </c>
      <c r="W1826" t="s">
        <v>92</v>
      </c>
      <c r="X1826" t="s">
        <v>93</v>
      </c>
      <c r="Y1826">
        <v>5</v>
      </c>
      <c r="Z1826" t="s">
        <v>94</v>
      </c>
      <c r="AB1826">
        <v>0.01</v>
      </c>
      <c r="AG1826" t="s">
        <v>95</v>
      </c>
      <c r="AX1826" t="s">
        <v>144</v>
      </c>
      <c r="AY1826" t="s">
        <v>438</v>
      </c>
      <c r="AZ1826" t="s">
        <v>486</v>
      </c>
      <c r="BC1826">
        <v>2</v>
      </c>
      <c r="BH1826" t="s">
        <v>99</v>
      </c>
      <c r="BO1826" t="s">
        <v>111</v>
      </c>
      <c r="CD1826" t="s">
        <v>1471</v>
      </c>
      <c r="CE1826">
        <v>120526</v>
      </c>
      <c r="CF1826" t="s">
        <v>1472</v>
      </c>
      <c r="CG1826" t="s">
        <v>1473</v>
      </c>
      <c r="CH1826">
        <v>2009</v>
      </c>
    </row>
    <row r="1827" spans="1:86" hidden="1" x14ac:dyDescent="0.25">
      <c r="A1827">
        <v>330541</v>
      </c>
      <c r="B1827" t="s">
        <v>86</v>
      </c>
      <c r="D1827" t="s">
        <v>115</v>
      </c>
      <c r="K1827" t="s">
        <v>1458</v>
      </c>
      <c r="L1827" t="s">
        <v>1439</v>
      </c>
      <c r="M1827" t="s">
        <v>1459</v>
      </c>
      <c r="V1827" t="s">
        <v>91</v>
      </c>
      <c r="W1827" t="s">
        <v>92</v>
      </c>
      <c r="X1827" t="s">
        <v>93</v>
      </c>
      <c r="Y1827">
        <v>5</v>
      </c>
      <c r="Z1827" t="s">
        <v>94</v>
      </c>
      <c r="AB1827">
        <v>0.01</v>
      </c>
      <c r="AG1827" t="s">
        <v>95</v>
      </c>
      <c r="AX1827" t="s">
        <v>144</v>
      </c>
      <c r="AY1827" t="s">
        <v>1474</v>
      </c>
      <c r="AZ1827" t="s">
        <v>486</v>
      </c>
      <c r="BC1827">
        <v>2</v>
      </c>
      <c r="BH1827" t="s">
        <v>99</v>
      </c>
      <c r="BO1827" t="s">
        <v>111</v>
      </c>
      <c r="CD1827" t="s">
        <v>1471</v>
      </c>
      <c r="CE1827">
        <v>120526</v>
      </c>
      <c r="CF1827" t="s">
        <v>1472</v>
      </c>
      <c r="CG1827" t="s">
        <v>1473</v>
      </c>
      <c r="CH1827">
        <v>2009</v>
      </c>
    </row>
    <row r="1828" spans="1:86" hidden="1" x14ac:dyDescent="0.25">
      <c r="A1828">
        <v>330541</v>
      </c>
      <c r="B1828" t="s">
        <v>86</v>
      </c>
      <c r="D1828" t="s">
        <v>115</v>
      </c>
      <c r="K1828" t="s">
        <v>1458</v>
      </c>
      <c r="L1828" t="s">
        <v>1439</v>
      </c>
      <c r="M1828" t="s">
        <v>1459</v>
      </c>
      <c r="V1828" t="s">
        <v>91</v>
      </c>
      <c r="W1828" t="s">
        <v>92</v>
      </c>
      <c r="X1828" t="s">
        <v>93</v>
      </c>
      <c r="Y1828">
        <v>5</v>
      </c>
      <c r="Z1828" t="s">
        <v>94</v>
      </c>
      <c r="AB1828">
        <v>0.02</v>
      </c>
      <c r="AG1828" t="s">
        <v>95</v>
      </c>
      <c r="AX1828" t="s">
        <v>144</v>
      </c>
      <c r="AY1828" t="s">
        <v>1474</v>
      </c>
      <c r="AZ1828" t="s">
        <v>486</v>
      </c>
      <c r="BC1828">
        <v>2</v>
      </c>
      <c r="BH1828" t="s">
        <v>99</v>
      </c>
      <c r="BO1828" t="s">
        <v>111</v>
      </c>
      <c r="CD1828" t="s">
        <v>1471</v>
      </c>
      <c r="CE1828">
        <v>120526</v>
      </c>
      <c r="CF1828" t="s">
        <v>1472</v>
      </c>
      <c r="CG1828" t="s">
        <v>1473</v>
      </c>
      <c r="CH1828">
        <v>2009</v>
      </c>
    </row>
    <row r="1829" spans="1:86" hidden="1" x14ac:dyDescent="0.25">
      <c r="A1829">
        <v>330541</v>
      </c>
      <c r="B1829" t="s">
        <v>86</v>
      </c>
      <c r="D1829" t="s">
        <v>115</v>
      </c>
      <c r="E1829" t="s">
        <v>106</v>
      </c>
      <c r="F1829">
        <v>98</v>
      </c>
      <c r="K1829" t="s">
        <v>1458</v>
      </c>
      <c r="L1829" t="s">
        <v>1439</v>
      </c>
      <c r="M1829" t="s">
        <v>1459</v>
      </c>
      <c r="V1829" t="s">
        <v>507</v>
      </c>
      <c r="W1829" t="s">
        <v>92</v>
      </c>
      <c r="X1829" t="s">
        <v>93</v>
      </c>
      <c r="Z1829" t="s">
        <v>94</v>
      </c>
      <c r="AB1829">
        <v>5.0000000000000001E-3</v>
      </c>
      <c r="AG1829" t="s">
        <v>95</v>
      </c>
      <c r="AX1829" t="s">
        <v>108</v>
      </c>
      <c r="AY1829" t="s">
        <v>160</v>
      </c>
      <c r="AZ1829" t="s">
        <v>486</v>
      </c>
      <c r="BC1829">
        <v>7</v>
      </c>
      <c r="BH1829" t="s">
        <v>99</v>
      </c>
      <c r="BO1829" t="s">
        <v>111</v>
      </c>
      <c r="CD1829" t="s">
        <v>1465</v>
      </c>
      <c r="CE1829">
        <v>20352</v>
      </c>
      <c r="CF1829" t="s">
        <v>1466</v>
      </c>
      <c r="CG1829" t="s">
        <v>1467</v>
      </c>
      <c r="CH1829">
        <v>1999</v>
      </c>
    </row>
    <row r="1830" spans="1:86" hidden="1" x14ac:dyDescent="0.25">
      <c r="A1830">
        <v>330541</v>
      </c>
      <c r="B1830" t="s">
        <v>86</v>
      </c>
      <c r="D1830" t="s">
        <v>115</v>
      </c>
      <c r="E1830" t="s">
        <v>106</v>
      </c>
      <c r="F1830">
        <v>97</v>
      </c>
      <c r="K1830" t="s">
        <v>1458</v>
      </c>
      <c r="L1830" t="s">
        <v>1439</v>
      </c>
      <c r="M1830" t="s">
        <v>1459</v>
      </c>
      <c r="N1830" t="s">
        <v>1475</v>
      </c>
      <c r="V1830" t="s">
        <v>91</v>
      </c>
      <c r="W1830" t="s">
        <v>92</v>
      </c>
      <c r="X1830" t="s">
        <v>93</v>
      </c>
      <c r="Y1830">
        <v>6</v>
      </c>
      <c r="Z1830" t="s">
        <v>94</v>
      </c>
      <c r="AB1830">
        <v>5.0000000000000001E-4</v>
      </c>
      <c r="AG1830" t="s">
        <v>95</v>
      </c>
      <c r="AX1830" t="s">
        <v>201</v>
      </c>
      <c r="AY1830" t="s">
        <v>311</v>
      </c>
      <c r="AZ1830" t="s">
        <v>486</v>
      </c>
      <c r="BA1830" t="s">
        <v>179</v>
      </c>
      <c r="BC1830">
        <v>7</v>
      </c>
      <c r="BH1830" t="s">
        <v>99</v>
      </c>
      <c r="BO1830" t="s">
        <v>111</v>
      </c>
      <c r="CD1830" t="s">
        <v>1476</v>
      </c>
      <c r="CE1830">
        <v>174479</v>
      </c>
      <c r="CF1830" t="s">
        <v>1477</v>
      </c>
      <c r="CG1830" t="s">
        <v>1478</v>
      </c>
      <c r="CH1830">
        <v>2015</v>
      </c>
    </row>
    <row r="1831" spans="1:86" hidden="1" x14ac:dyDescent="0.25">
      <c r="A1831">
        <v>330541</v>
      </c>
      <c r="B1831" t="s">
        <v>86</v>
      </c>
      <c r="D1831" t="s">
        <v>115</v>
      </c>
      <c r="K1831" t="s">
        <v>1458</v>
      </c>
      <c r="L1831" t="s">
        <v>1439</v>
      </c>
      <c r="M1831" t="s">
        <v>1459</v>
      </c>
      <c r="V1831" t="s">
        <v>91</v>
      </c>
      <c r="W1831" t="s">
        <v>92</v>
      </c>
      <c r="X1831" t="s">
        <v>93</v>
      </c>
      <c r="Y1831">
        <v>5</v>
      </c>
      <c r="Z1831" t="s">
        <v>94</v>
      </c>
      <c r="AB1831">
        <v>0.02</v>
      </c>
      <c r="AG1831" t="s">
        <v>95</v>
      </c>
      <c r="AX1831" t="s">
        <v>144</v>
      </c>
      <c r="AY1831" t="s">
        <v>1474</v>
      </c>
      <c r="AZ1831" t="s">
        <v>486</v>
      </c>
      <c r="BC1831">
        <v>2</v>
      </c>
      <c r="BH1831" t="s">
        <v>99</v>
      </c>
      <c r="BO1831" t="s">
        <v>111</v>
      </c>
      <c r="CD1831" t="s">
        <v>1471</v>
      </c>
      <c r="CE1831">
        <v>120526</v>
      </c>
      <c r="CF1831" t="s">
        <v>1472</v>
      </c>
      <c r="CG1831" t="s">
        <v>1473</v>
      </c>
      <c r="CH1831">
        <v>2009</v>
      </c>
    </row>
    <row r="1832" spans="1:86" hidden="1" x14ac:dyDescent="0.25">
      <c r="A1832">
        <v>330541</v>
      </c>
      <c r="B1832" t="s">
        <v>86</v>
      </c>
      <c r="D1832" t="s">
        <v>115</v>
      </c>
      <c r="F1832">
        <v>99</v>
      </c>
      <c r="K1832" t="s">
        <v>1458</v>
      </c>
      <c r="L1832" t="s">
        <v>1439</v>
      </c>
      <c r="M1832" t="s">
        <v>1459</v>
      </c>
      <c r="V1832" t="s">
        <v>91</v>
      </c>
      <c r="W1832" t="s">
        <v>92</v>
      </c>
      <c r="X1832" t="s">
        <v>93</v>
      </c>
      <c r="Y1832">
        <v>2</v>
      </c>
      <c r="Z1832" t="s">
        <v>94</v>
      </c>
      <c r="AB1832">
        <v>0.1</v>
      </c>
      <c r="AG1832" t="s">
        <v>95</v>
      </c>
      <c r="AX1832" t="s">
        <v>282</v>
      </c>
      <c r="AY1832" t="s">
        <v>593</v>
      </c>
      <c r="AZ1832" t="s">
        <v>555</v>
      </c>
      <c r="BC1832">
        <v>0.5</v>
      </c>
      <c r="BH1832" t="s">
        <v>99</v>
      </c>
      <c r="BO1832" t="s">
        <v>111</v>
      </c>
      <c r="CD1832" t="s">
        <v>1479</v>
      </c>
      <c r="CE1832">
        <v>72770</v>
      </c>
      <c r="CF1832" t="s">
        <v>1480</v>
      </c>
      <c r="CG1832" t="s">
        <v>1481</v>
      </c>
      <c r="CH1832">
        <v>2000</v>
      </c>
    </row>
    <row r="1833" spans="1:86" hidden="1" x14ac:dyDescent="0.25">
      <c r="A1833">
        <v>330541</v>
      </c>
      <c r="B1833" t="s">
        <v>86</v>
      </c>
      <c r="D1833" t="s">
        <v>115</v>
      </c>
      <c r="E1833" t="s">
        <v>106</v>
      </c>
      <c r="F1833">
        <v>99</v>
      </c>
      <c r="K1833" t="s">
        <v>1458</v>
      </c>
      <c r="L1833" t="s">
        <v>1439</v>
      </c>
      <c r="M1833" t="s">
        <v>1459</v>
      </c>
      <c r="V1833" t="s">
        <v>91</v>
      </c>
      <c r="W1833" t="s">
        <v>92</v>
      </c>
      <c r="X1833" t="s">
        <v>93</v>
      </c>
      <c r="Y1833">
        <v>5</v>
      </c>
      <c r="Z1833" t="s">
        <v>94</v>
      </c>
      <c r="AB1833">
        <v>2.5000000000000001E-2</v>
      </c>
      <c r="AG1833" t="s">
        <v>95</v>
      </c>
      <c r="AX1833" t="s">
        <v>201</v>
      </c>
      <c r="AY1833" t="s">
        <v>1482</v>
      </c>
      <c r="AZ1833" t="s">
        <v>555</v>
      </c>
      <c r="BC1833">
        <v>2</v>
      </c>
      <c r="BH1833" t="s">
        <v>99</v>
      </c>
      <c r="BO1833" t="s">
        <v>111</v>
      </c>
      <c r="CD1833" t="s">
        <v>1479</v>
      </c>
      <c r="CE1833">
        <v>64164</v>
      </c>
      <c r="CF1833" t="s">
        <v>1483</v>
      </c>
      <c r="CG1833" t="s">
        <v>1484</v>
      </c>
      <c r="CH1833">
        <v>2000</v>
      </c>
    </row>
    <row r="1834" spans="1:86" hidden="1" x14ac:dyDescent="0.25">
      <c r="A1834">
        <v>330541</v>
      </c>
      <c r="B1834" t="s">
        <v>86</v>
      </c>
      <c r="D1834" t="s">
        <v>115</v>
      </c>
      <c r="K1834" t="s">
        <v>1458</v>
      </c>
      <c r="L1834" t="s">
        <v>1439</v>
      </c>
      <c r="M1834" t="s">
        <v>1459</v>
      </c>
      <c r="V1834" t="s">
        <v>91</v>
      </c>
      <c r="W1834" t="s">
        <v>92</v>
      </c>
      <c r="X1834" t="s">
        <v>93</v>
      </c>
      <c r="Y1834">
        <v>2</v>
      </c>
      <c r="Z1834" t="s">
        <v>137</v>
      </c>
      <c r="AB1834">
        <v>0.01</v>
      </c>
      <c r="AG1834" t="s">
        <v>95</v>
      </c>
      <c r="AX1834" t="s">
        <v>201</v>
      </c>
      <c r="AY1834" t="s">
        <v>202</v>
      </c>
      <c r="AZ1834" t="s">
        <v>555</v>
      </c>
      <c r="BC1834">
        <v>2</v>
      </c>
      <c r="BH1834" t="s">
        <v>99</v>
      </c>
      <c r="BO1834" t="s">
        <v>111</v>
      </c>
      <c r="CD1834" t="s">
        <v>1485</v>
      </c>
      <c r="CE1834">
        <v>102140</v>
      </c>
      <c r="CF1834" t="s">
        <v>1486</v>
      </c>
      <c r="CG1834" t="s">
        <v>1487</v>
      </c>
      <c r="CH1834">
        <v>2007</v>
      </c>
    </row>
    <row r="1835" spans="1:86" hidden="1" x14ac:dyDescent="0.25">
      <c r="A1835">
        <v>330541</v>
      </c>
      <c r="B1835" t="s">
        <v>86</v>
      </c>
      <c r="D1835" t="s">
        <v>115</v>
      </c>
      <c r="K1835" t="s">
        <v>1458</v>
      </c>
      <c r="L1835" t="s">
        <v>1439</v>
      </c>
      <c r="M1835" t="s">
        <v>1459</v>
      </c>
      <c r="V1835" t="s">
        <v>91</v>
      </c>
      <c r="W1835" t="s">
        <v>92</v>
      </c>
      <c r="X1835" t="s">
        <v>93</v>
      </c>
      <c r="Y1835">
        <v>2</v>
      </c>
      <c r="Z1835" t="s">
        <v>137</v>
      </c>
      <c r="AB1835">
        <v>5.0000000000000001E-3</v>
      </c>
      <c r="AG1835" t="s">
        <v>95</v>
      </c>
      <c r="AX1835" t="s">
        <v>144</v>
      </c>
      <c r="AY1835" t="s">
        <v>109</v>
      </c>
      <c r="AZ1835" t="s">
        <v>555</v>
      </c>
      <c r="BC1835">
        <v>2</v>
      </c>
      <c r="BH1835" t="s">
        <v>99</v>
      </c>
      <c r="BO1835" t="s">
        <v>111</v>
      </c>
      <c r="CD1835" t="s">
        <v>1485</v>
      </c>
      <c r="CE1835">
        <v>102140</v>
      </c>
      <c r="CF1835" t="s">
        <v>1486</v>
      </c>
      <c r="CG1835" t="s">
        <v>1487</v>
      </c>
      <c r="CH1835">
        <v>2007</v>
      </c>
    </row>
    <row r="1836" spans="1:86" hidden="1" x14ac:dyDescent="0.25">
      <c r="A1836">
        <v>330541</v>
      </c>
      <c r="B1836" t="s">
        <v>86</v>
      </c>
      <c r="D1836" t="s">
        <v>115</v>
      </c>
      <c r="F1836">
        <v>99</v>
      </c>
      <c r="K1836" t="s">
        <v>1458</v>
      </c>
      <c r="L1836" t="s">
        <v>1439</v>
      </c>
      <c r="M1836" t="s">
        <v>1459</v>
      </c>
      <c r="V1836" t="s">
        <v>91</v>
      </c>
      <c r="W1836" t="s">
        <v>92</v>
      </c>
      <c r="X1836" t="s">
        <v>93</v>
      </c>
      <c r="Y1836">
        <v>5</v>
      </c>
      <c r="Z1836" t="s">
        <v>94</v>
      </c>
      <c r="AB1836">
        <v>0.1</v>
      </c>
      <c r="AG1836" t="s">
        <v>95</v>
      </c>
      <c r="AX1836" t="s">
        <v>282</v>
      </c>
      <c r="AY1836" t="s">
        <v>593</v>
      </c>
      <c r="AZ1836" t="s">
        <v>555</v>
      </c>
      <c r="BC1836">
        <v>1</v>
      </c>
      <c r="BH1836" t="s">
        <v>99</v>
      </c>
      <c r="BO1836" t="s">
        <v>111</v>
      </c>
      <c r="CD1836" t="s">
        <v>1479</v>
      </c>
      <c r="CE1836">
        <v>72770</v>
      </c>
      <c r="CF1836" t="s">
        <v>1480</v>
      </c>
      <c r="CG1836" t="s">
        <v>1481</v>
      </c>
      <c r="CH1836">
        <v>2000</v>
      </c>
    </row>
    <row r="1837" spans="1:86" hidden="1" x14ac:dyDescent="0.25">
      <c r="A1837">
        <v>330541</v>
      </c>
      <c r="B1837" t="s">
        <v>86</v>
      </c>
      <c r="D1837" t="s">
        <v>87</v>
      </c>
      <c r="F1837">
        <v>98.4</v>
      </c>
      <c r="K1837" t="s">
        <v>1463</v>
      </c>
      <c r="L1837" t="s">
        <v>1464</v>
      </c>
      <c r="M1837" t="s">
        <v>1459</v>
      </c>
      <c r="V1837" t="s">
        <v>491</v>
      </c>
      <c r="W1837" t="s">
        <v>92</v>
      </c>
      <c r="X1837" t="s">
        <v>559</v>
      </c>
      <c r="Y1837">
        <v>2</v>
      </c>
      <c r="Z1837" t="s">
        <v>94</v>
      </c>
      <c r="AB1837">
        <v>4.8999999999999998E-3</v>
      </c>
      <c r="AG1837" t="s">
        <v>95</v>
      </c>
      <c r="AX1837" t="s">
        <v>144</v>
      </c>
      <c r="AY1837" t="s">
        <v>438</v>
      </c>
      <c r="AZ1837" t="s">
        <v>555</v>
      </c>
      <c r="BA1837" t="s">
        <v>1410</v>
      </c>
      <c r="BC1837">
        <v>2</v>
      </c>
      <c r="BH1837" t="s">
        <v>99</v>
      </c>
      <c r="BO1837" t="s">
        <v>111</v>
      </c>
      <c r="CD1837" t="s">
        <v>1419</v>
      </c>
      <c r="CE1837">
        <v>151496</v>
      </c>
      <c r="CF1837" t="s">
        <v>1420</v>
      </c>
      <c r="CG1837" t="s">
        <v>1421</v>
      </c>
      <c r="CH1837">
        <v>2010</v>
      </c>
    </row>
    <row r="1838" spans="1:86" hidden="1" x14ac:dyDescent="0.25">
      <c r="A1838">
        <v>330541</v>
      </c>
      <c r="B1838" t="s">
        <v>86</v>
      </c>
      <c r="D1838" t="s">
        <v>115</v>
      </c>
      <c r="E1838" t="s">
        <v>106</v>
      </c>
      <c r="F1838">
        <v>99</v>
      </c>
      <c r="K1838" t="s">
        <v>1463</v>
      </c>
      <c r="L1838" t="s">
        <v>1464</v>
      </c>
      <c r="M1838" t="s">
        <v>1459</v>
      </c>
      <c r="V1838" t="s">
        <v>91</v>
      </c>
      <c r="W1838" t="s">
        <v>92</v>
      </c>
      <c r="X1838" t="s">
        <v>93</v>
      </c>
      <c r="Y1838">
        <v>5</v>
      </c>
      <c r="Z1838" t="s">
        <v>94</v>
      </c>
      <c r="AB1838">
        <v>4.9999999999999998E-7</v>
      </c>
      <c r="AG1838" t="s">
        <v>95</v>
      </c>
      <c r="AX1838" t="s">
        <v>196</v>
      </c>
      <c r="AY1838" t="s">
        <v>318</v>
      </c>
      <c r="AZ1838" t="s">
        <v>586</v>
      </c>
      <c r="BC1838">
        <v>14</v>
      </c>
      <c r="BH1838" t="s">
        <v>99</v>
      </c>
      <c r="BO1838" t="s">
        <v>111</v>
      </c>
      <c r="CD1838" t="s">
        <v>319</v>
      </c>
      <c r="CE1838">
        <v>102064</v>
      </c>
      <c r="CF1838" t="s">
        <v>320</v>
      </c>
      <c r="CG1838" t="s">
        <v>321</v>
      </c>
      <c r="CH1838">
        <v>2006</v>
      </c>
    </row>
    <row r="1839" spans="1:86" hidden="1" x14ac:dyDescent="0.25">
      <c r="A1839">
        <v>330541</v>
      </c>
      <c r="B1839" t="s">
        <v>86</v>
      </c>
      <c r="D1839" t="s">
        <v>115</v>
      </c>
      <c r="F1839">
        <v>98.4</v>
      </c>
      <c r="K1839" t="s">
        <v>1463</v>
      </c>
      <c r="L1839" t="s">
        <v>1464</v>
      </c>
      <c r="M1839" t="s">
        <v>1459</v>
      </c>
      <c r="V1839" t="s">
        <v>491</v>
      </c>
      <c r="W1839" t="s">
        <v>92</v>
      </c>
      <c r="X1839" t="s">
        <v>492</v>
      </c>
      <c r="Y1839">
        <v>2</v>
      </c>
      <c r="Z1839" t="s">
        <v>94</v>
      </c>
      <c r="AB1839">
        <v>5.0000000000000001E-3</v>
      </c>
      <c r="AG1839" t="s">
        <v>95</v>
      </c>
      <c r="AX1839" t="s">
        <v>144</v>
      </c>
      <c r="AY1839" t="s">
        <v>109</v>
      </c>
      <c r="AZ1839" t="s">
        <v>586</v>
      </c>
      <c r="BC1839">
        <v>19</v>
      </c>
      <c r="BH1839" t="s">
        <v>99</v>
      </c>
      <c r="BO1839" t="s">
        <v>111</v>
      </c>
      <c r="CD1839" t="s">
        <v>493</v>
      </c>
      <c r="CE1839">
        <v>165274</v>
      </c>
      <c r="CF1839" t="s">
        <v>494</v>
      </c>
      <c r="CG1839" t="s">
        <v>495</v>
      </c>
      <c r="CH1839">
        <v>2012</v>
      </c>
    </row>
    <row r="1840" spans="1:86" hidden="1" x14ac:dyDescent="0.25">
      <c r="A1840">
        <v>330541</v>
      </c>
      <c r="B1840" t="s">
        <v>86</v>
      </c>
      <c r="D1840" t="s">
        <v>115</v>
      </c>
      <c r="E1840" t="s">
        <v>106</v>
      </c>
      <c r="F1840">
        <v>98</v>
      </c>
      <c r="K1840" t="s">
        <v>1458</v>
      </c>
      <c r="L1840" t="s">
        <v>1439</v>
      </c>
      <c r="M1840" t="s">
        <v>1459</v>
      </c>
      <c r="V1840" t="s">
        <v>507</v>
      </c>
      <c r="W1840" t="s">
        <v>92</v>
      </c>
      <c r="X1840" t="s">
        <v>93</v>
      </c>
      <c r="Z1840" t="s">
        <v>94</v>
      </c>
      <c r="AA1840" t="s">
        <v>234</v>
      </c>
      <c r="AB1840">
        <v>5.0000000000000001E-3</v>
      </c>
      <c r="AG1840" t="s">
        <v>95</v>
      </c>
      <c r="AX1840" t="s">
        <v>108</v>
      </c>
      <c r="AY1840" t="s">
        <v>160</v>
      </c>
      <c r="AZ1840" t="s">
        <v>586</v>
      </c>
      <c r="BC1840">
        <v>7</v>
      </c>
      <c r="BH1840" t="s">
        <v>99</v>
      </c>
      <c r="BO1840" t="s">
        <v>111</v>
      </c>
      <c r="CD1840" t="s">
        <v>1465</v>
      </c>
      <c r="CE1840">
        <v>20352</v>
      </c>
      <c r="CF1840" t="s">
        <v>1466</v>
      </c>
      <c r="CG1840" t="s">
        <v>1467</v>
      </c>
      <c r="CH1840">
        <v>1999</v>
      </c>
    </row>
    <row r="1841" spans="1:86" hidden="1" x14ac:dyDescent="0.25">
      <c r="A1841">
        <v>330541</v>
      </c>
      <c r="B1841" t="s">
        <v>86</v>
      </c>
      <c r="D1841" t="s">
        <v>115</v>
      </c>
      <c r="F1841">
        <v>98.4</v>
      </c>
      <c r="K1841" t="s">
        <v>1463</v>
      </c>
      <c r="L1841" t="s">
        <v>1464</v>
      </c>
      <c r="M1841" t="s">
        <v>1459</v>
      </c>
      <c r="V1841" t="s">
        <v>491</v>
      </c>
      <c r="W1841" t="s">
        <v>92</v>
      </c>
      <c r="X1841" t="s">
        <v>492</v>
      </c>
      <c r="Y1841">
        <v>2</v>
      </c>
      <c r="Z1841" t="s">
        <v>94</v>
      </c>
      <c r="AB1841">
        <v>5.0000000000000001E-3</v>
      </c>
      <c r="AG1841" t="s">
        <v>95</v>
      </c>
      <c r="AX1841" t="s">
        <v>144</v>
      </c>
      <c r="AY1841" t="s">
        <v>109</v>
      </c>
      <c r="AZ1841" t="s">
        <v>586</v>
      </c>
      <c r="BC1841">
        <v>26</v>
      </c>
      <c r="BH1841" t="s">
        <v>99</v>
      </c>
      <c r="BO1841" t="s">
        <v>111</v>
      </c>
      <c r="CD1841" t="s">
        <v>493</v>
      </c>
      <c r="CE1841">
        <v>165274</v>
      </c>
      <c r="CF1841" t="s">
        <v>494</v>
      </c>
      <c r="CG1841" t="s">
        <v>495</v>
      </c>
      <c r="CH1841">
        <v>2012</v>
      </c>
    </row>
    <row r="1842" spans="1:86" hidden="1" x14ac:dyDescent="0.25">
      <c r="A1842">
        <v>330541</v>
      </c>
      <c r="B1842" t="s">
        <v>86</v>
      </c>
      <c r="D1842" t="s">
        <v>115</v>
      </c>
      <c r="F1842">
        <v>98.4</v>
      </c>
      <c r="K1842" t="s">
        <v>1463</v>
      </c>
      <c r="L1842" t="s">
        <v>1464</v>
      </c>
      <c r="M1842" t="s">
        <v>1459</v>
      </c>
      <c r="V1842" t="s">
        <v>491</v>
      </c>
      <c r="W1842" t="s">
        <v>92</v>
      </c>
      <c r="X1842" t="s">
        <v>492</v>
      </c>
      <c r="Y1842">
        <v>2</v>
      </c>
      <c r="Z1842" t="s">
        <v>94</v>
      </c>
      <c r="AB1842">
        <v>5.0000000000000001E-3</v>
      </c>
      <c r="AG1842" t="s">
        <v>95</v>
      </c>
      <c r="AX1842" t="s">
        <v>144</v>
      </c>
      <c r="AY1842" t="s">
        <v>109</v>
      </c>
      <c r="AZ1842" t="s">
        <v>586</v>
      </c>
      <c r="BC1842">
        <v>34</v>
      </c>
      <c r="BH1842" t="s">
        <v>99</v>
      </c>
      <c r="BO1842" t="s">
        <v>111</v>
      </c>
      <c r="CD1842" t="s">
        <v>493</v>
      </c>
      <c r="CE1842">
        <v>165274</v>
      </c>
      <c r="CF1842" t="s">
        <v>494</v>
      </c>
      <c r="CG1842" t="s">
        <v>495</v>
      </c>
      <c r="CH1842">
        <v>2012</v>
      </c>
    </row>
    <row r="1843" spans="1:86" hidden="1" x14ac:dyDescent="0.25">
      <c r="A1843">
        <v>330541</v>
      </c>
      <c r="B1843" t="s">
        <v>86</v>
      </c>
      <c r="D1843" t="s">
        <v>115</v>
      </c>
      <c r="E1843" t="s">
        <v>106</v>
      </c>
      <c r="F1843">
        <v>99</v>
      </c>
      <c r="K1843" t="s">
        <v>1463</v>
      </c>
      <c r="L1843" t="s">
        <v>1464</v>
      </c>
      <c r="M1843" t="s">
        <v>1459</v>
      </c>
      <c r="V1843" t="s">
        <v>91</v>
      </c>
      <c r="W1843" t="s">
        <v>92</v>
      </c>
      <c r="X1843" t="s">
        <v>93</v>
      </c>
      <c r="Y1843">
        <v>5</v>
      </c>
      <c r="Z1843" t="s">
        <v>94</v>
      </c>
      <c r="AB1843">
        <v>5.0000000000000001E-3</v>
      </c>
      <c r="AG1843" t="s">
        <v>95</v>
      </c>
      <c r="AX1843" t="s">
        <v>108</v>
      </c>
      <c r="AY1843" t="s">
        <v>311</v>
      </c>
      <c r="AZ1843" t="s">
        <v>586</v>
      </c>
      <c r="BC1843">
        <v>14</v>
      </c>
      <c r="BH1843" t="s">
        <v>99</v>
      </c>
      <c r="BO1843" t="s">
        <v>111</v>
      </c>
      <c r="CD1843" t="s">
        <v>319</v>
      </c>
      <c r="CE1843">
        <v>102064</v>
      </c>
      <c r="CF1843" t="s">
        <v>320</v>
      </c>
      <c r="CG1843" t="s">
        <v>321</v>
      </c>
      <c r="CH1843">
        <v>2006</v>
      </c>
    </row>
    <row r="1844" spans="1:86" hidden="1" x14ac:dyDescent="0.25">
      <c r="A1844">
        <v>330541</v>
      </c>
      <c r="B1844" t="s">
        <v>86</v>
      </c>
      <c r="D1844" t="s">
        <v>115</v>
      </c>
      <c r="K1844" t="s">
        <v>1458</v>
      </c>
      <c r="L1844" t="s">
        <v>1439</v>
      </c>
      <c r="M1844" t="s">
        <v>1459</v>
      </c>
      <c r="V1844" t="s">
        <v>91</v>
      </c>
      <c r="W1844" t="s">
        <v>92</v>
      </c>
      <c r="X1844" t="s">
        <v>93</v>
      </c>
      <c r="Y1844">
        <v>5</v>
      </c>
      <c r="Z1844" t="s">
        <v>94</v>
      </c>
      <c r="AB1844">
        <v>0.01</v>
      </c>
      <c r="AG1844" t="s">
        <v>95</v>
      </c>
      <c r="AX1844" t="s">
        <v>144</v>
      </c>
      <c r="AY1844" t="s">
        <v>1474</v>
      </c>
      <c r="AZ1844" t="s">
        <v>586</v>
      </c>
      <c r="BC1844">
        <v>2</v>
      </c>
      <c r="BH1844" t="s">
        <v>99</v>
      </c>
      <c r="BO1844" t="s">
        <v>111</v>
      </c>
      <c r="CD1844" t="s">
        <v>1471</v>
      </c>
      <c r="CE1844">
        <v>120526</v>
      </c>
      <c r="CF1844" t="s">
        <v>1472</v>
      </c>
      <c r="CG1844" t="s">
        <v>1473</v>
      </c>
      <c r="CH1844">
        <v>2009</v>
      </c>
    </row>
    <row r="1845" spans="1:86" hidden="1" x14ac:dyDescent="0.25">
      <c r="A1845">
        <v>330541</v>
      </c>
      <c r="B1845" t="s">
        <v>86</v>
      </c>
      <c r="D1845" t="s">
        <v>115</v>
      </c>
      <c r="K1845" t="s">
        <v>1458</v>
      </c>
      <c r="L1845" t="s">
        <v>1439</v>
      </c>
      <c r="M1845" t="s">
        <v>1459</v>
      </c>
      <c r="V1845" t="s">
        <v>91</v>
      </c>
      <c r="W1845" t="s">
        <v>92</v>
      </c>
      <c r="X1845" t="s">
        <v>93</v>
      </c>
      <c r="Y1845">
        <v>5</v>
      </c>
      <c r="Z1845" t="s">
        <v>94</v>
      </c>
      <c r="AB1845">
        <v>5.0000000000000001E-3</v>
      </c>
      <c r="AG1845" t="s">
        <v>95</v>
      </c>
      <c r="AX1845" t="s">
        <v>144</v>
      </c>
      <c r="AY1845" t="s">
        <v>1474</v>
      </c>
      <c r="AZ1845" t="s">
        <v>586</v>
      </c>
      <c r="BC1845">
        <v>2</v>
      </c>
      <c r="BH1845" t="s">
        <v>99</v>
      </c>
      <c r="BO1845" t="s">
        <v>111</v>
      </c>
      <c r="CD1845" t="s">
        <v>1471</v>
      </c>
      <c r="CE1845">
        <v>120526</v>
      </c>
      <c r="CF1845" t="s">
        <v>1472</v>
      </c>
      <c r="CG1845" t="s">
        <v>1473</v>
      </c>
      <c r="CH1845">
        <v>2009</v>
      </c>
    </row>
    <row r="1846" spans="1:86" hidden="1" x14ac:dyDescent="0.25">
      <c r="A1846">
        <v>330541</v>
      </c>
      <c r="B1846" t="s">
        <v>86</v>
      </c>
      <c r="D1846" t="s">
        <v>115</v>
      </c>
      <c r="K1846" t="s">
        <v>1458</v>
      </c>
      <c r="L1846" t="s">
        <v>1439</v>
      </c>
      <c r="M1846" t="s">
        <v>1459</v>
      </c>
      <c r="V1846" t="s">
        <v>91</v>
      </c>
      <c r="W1846" t="s">
        <v>92</v>
      </c>
      <c r="X1846" t="s">
        <v>93</v>
      </c>
      <c r="Y1846">
        <v>5</v>
      </c>
      <c r="Z1846" t="s">
        <v>94</v>
      </c>
      <c r="AB1846">
        <v>0.01</v>
      </c>
      <c r="AG1846" t="s">
        <v>95</v>
      </c>
      <c r="AX1846" t="s">
        <v>144</v>
      </c>
      <c r="AY1846" t="s">
        <v>1474</v>
      </c>
      <c r="AZ1846" t="s">
        <v>586</v>
      </c>
      <c r="BC1846">
        <v>2</v>
      </c>
      <c r="BH1846" t="s">
        <v>99</v>
      </c>
      <c r="BO1846" t="s">
        <v>111</v>
      </c>
      <c r="CD1846" t="s">
        <v>1471</v>
      </c>
      <c r="CE1846">
        <v>120526</v>
      </c>
      <c r="CF1846" t="s">
        <v>1472</v>
      </c>
      <c r="CG1846" t="s">
        <v>1473</v>
      </c>
      <c r="CH1846">
        <v>2009</v>
      </c>
    </row>
    <row r="1847" spans="1:86" hidden="1" x14ac:dyDescent="0.25">
      <c r="A1847">
        <v>330541</v>
      </c>
      <c r="B1847" t="s">
        <v>86</v>
      </c>
      <c r="D1847" t="s">
        <v>115</v>
      </c>
      <c r="K1847" t="s">
        <v>1458</v>
      </c>
      <c r="L1847" t="s">
        <v>1439</v>
      </c>
      <c r="M1847" t="s">
        <v>1459</v>
      </c>
      <c r="V1847" t="s">
        <v>91</v>
      </c>
      <c r="W1847" t="s">
        <v>92</v>
      </c>
      <c r="X1847" t="s">
        <v>93</v>
      </c>
      <c r="Y1847">
        <v>5</v>
      </c>
      <c r="Z1847" t="s">
        <v>94</v>
      </c>
      <c r="AB1847">
        <v>5.0000000000000001E-3</v>
      </c>
      <c r="AG1847" t="s">
        <v>95</v>
      </c>
      <c r="AX1847" t="s">
        <v>144</v>
      </c>
      <c r="AY1847" t="s">
        <v>438</v>
      </c>
      <c r="AZ1847" t="s">
        <v>586</v>
      </c>
      <c r="BC1847">
        <v>2</v>
      </c>
      <c r="BH1847" t="s">
        <v>99</v>
      </c>
      <c r="BO1847" t="s">
        <v>111</v>
      </c>
      <c r="CD1847" t="s">
        <v>1471</v>
      </c>
      <c r="CE1847">
        <v>120526</v>
      </c>
      <c r="CF1847" t="s">
        <v>1472</v>
      </c>
      <c r="CG1847" t="s">
        <v>1473</v>
      </c>
      <c r="CH1847">
        <v>2009</v>
      </c>
    </row>
    <row r="1848" spans="1:86" hidden="1" x14ac:dyDescent="0.25">
      <c r="A1848">
        <v>330541</v>
      </c>
      <c r="B1848" t="s">
        <v>86</v>
      </c>
      <c r="D1848" t="s">
        <v>115</v>
      </c>
      <c r="K1848" t="s">
        <v>1458</v>
      </c>
      <c r="L1848" t="s">
        <v>1439</v>
      </c>
      <c r="M1848" t="s">
        <v>1459</v>
      </c>
      <c r="V1848" t="s">
        <v>91</v>
      </c>
      <c r="W1848" t="s">
        <v>92</v>
      </c>
      <c r="X1848" t="s">
        <v>93</v>
      </c>
      <c r="Y1848">
        <v>5</v>
      </c>
      <c r="Z1848" t="s">
        <v>94</v>
      </c>
      <c r="AB1848">
        <v>0.1</v>
      </c>
      <c r="AG1848" t="s">
        <v>95</v>
      </c>
      <c r="AX1848" t="s">
        <v>144</v>
      </c>
      <c r="AY1848" t="s">
        <v>1474</v>
      </c>
      <c r="AZ1848" t="s">
        <v>586</v>
      </c>
      <c r="BC1848">
        <v>2</v>
      </c>
      <c r="BH1848" t="s">
        <v>99</v>
      </c>
      <c r="BO1848" t="s">
        <v>111</v>
      </c>
      <c r="CD1848" t="s">
        <v>1471</v>
      </c>
      <c r="CE1848">
        <v>120526</v>
      </c>
      <c r="CF1848" t="s">
        <v>1472</v>
      </c>
      <c r="CG1848" t="s">
        <v>1473</v>
      </c>
      <c r="CH1848">
        <v>2009</v>
      </c>
    </row>
    <row r="1849" spans="1:86" hidden="1" x14ac:dyDescent="0.25">
      <c r="A1849">
        <v>330541</v>
      </c>
      <c r="B1849" t="s">
        <v>86</v>
      </c>
      <c r="D1849" t="s">
        <v>115</v>
      </c>
      <c r="K1849" t="s">
        <v>1458</v>
      </c>
      <c r="L1849" t="s">
        <v>1439</v>
      </c>
      <c r="M1849" t="s">
        <v>1459</v>
      </c>
      <c r="V1849" t="s">
        <v>91</v>
      </c>
      <c r="W1849" t="s">
        <v>92</v>
      </c>
      <c r="X1849" t="s">
        <v>93</v>
      </c>
      <c r="Y1849">
        <v>2</v>
      </c>
      <c r="Z1849" t="s">
        <v>137</v>
      </c>
      <c r="AB1849">
        <v>5.0000000000000001E-3</v>
      </c>
      <c r="AG1849" t="s">
        <v>95</v>
      </c>
      <c r="AX1849" t="s">
        <v>201</v>
      </c>
      <c r="AY1849" t="s">
        <v>202</v>
      </c>
      <c r="AZ1849" t="s">
        <v>609</v>
      </c>
      <c r="BC1849">
        <v>2</v>
      </c>
      <c r="BH1849" t="s">
        <v>99</v>
      </c>
      <c r="BO1849" t="s">
        <v>111</v>
      </c>
      <c r="CD1849" t="s">
        <v>1485</v>
      </c>
      <c r="CE1849">
        <v>102140</v>
      </c>
      <c r="CF1849" t="s">
        <v>1486</v>
      </c>
      <c r="CG1849" t="s">
        <v>1487</v>
      </c>
      <c r="CH1849">
        <v>2007</v>
      </c>
    </row>
    <row r="1850" spans="1:86" hidden="1" x14ac:dyDescent="0.25">
      <c r="A1850">
        <v>330541</v>
      </c>
      <c r="B1850" t="s">
        <v>86</v>
      </c>
      <c r="D1850" t="s">
        <v>87</v>
      </c>
      <c r="F1850">
        <v>98.4</v>
      </c>
      <c r="K1850" t="s">
        <v>1463</v>
      </c>
      <c r="L1850" t="s">
        <v>1464</v>
      </c>
      <c r="M1850" t="s">
        <v>1459</v>
      </c>
      <c r="V1850" t="s">
        <v>491</v>
      </c>
      <c r="W1850" t="s">
        <v>92</v>
      </c>
      <c r="X1850" t="s">
        <v>559</v>
      </c>
      <c r="Y1850">
        <v>2</v>
      </c>
      <c r="Z1850" t="s">
        <v>94</v>
      </c>
      <c r="AB1850">
        <v>4.8999999999999998E-3</v>
      </c>
      <c r="AG1850" t="s">
        <v>95</v>
      </c>
      <c r="AX1850" t="s">
        <v>196</v>
      </c>
      <c r="AY1850" t="s">
        <v>1440</v>
      </c>
      <c r="AZ1850" t="s">
        <v>609</v>
      </c>
      <c r="BA1850" t="s">
        <v>179</v>
      </c>
      <c r="BC1850">
        <v>34</v>
      </c>
      <c r="BH1850" t="s">
        <v>99</v>
      </c>
      <c r="BO1850" t="s">
        <v>111</v>
      </c>
      <c r="CD1850" t="s">
        <v>1419</v>
      </c>
      <c r="CE1850">
        <v>151496</v>
      </c>
      <c r="CF1850" t="s">
        <v>1420</v>
      </c>
      <c r="CG1850" t="s">
        <v>1421</v>
      </c>
      <c r="CH1850">
        <v>2010</v>
      </c>
    </row>
    <row r="1851" spans="1:86" hidden="1" x14ac:dyDescent="0.25">
      <c r="A1851">
        <v>330541</v>
      </c>
      <c r="B1851" t="s">
        <v>86</v>
      </c>
      <c r="D1851" t="s">
        <v>115</v>
      </c>
      <c r="K1851" t="s">
        <v>1458</v>
      </c>
      <c r="L1851" t="s">
        <v>1439</v>
      </c>
      <c r="M1851" t="s">
        <v>1459</v>
      </c>
      <c r="V1851" t="s">
        <v>91</v>
      </c>
      <c r="W1851" t="s">
        <v>92</v>
      </c>
      <c r="X1851" t="s">
        <v>93</v>
      </c>
      <c r="Y1851">
        <v>5</v>
      </c>
      <c r="Z1851" t="s">
        <v>94</v>
      </c>
      <c r="AB1851"/>
      <c r="AD1851">
        <v>1E-3</v>
      </c>
      <c r="AF1851">
        <v>0.1</v>
      </c>
      <c r="AG1851" t="s">
        <v>95</v>
      </c>
      <c r="AX1851" t="s">
        <v>144</v>
      </c>
      <c r="AY1851" t="s">
        <v>109</v>
      </c>
      <c r="BC1851">
        <v>2</v>
      </c>
      <c r="BH1851" t="s">
        <v>99</v>
      </c>
      <c r="BO1851" t="s">
        <v>111</v>
      </c>
      <c r="CD1851" t="s">
        <v>1471</v>
      </c>
      <c r="CE1851">
        <v>120526</v>
      </c>
      <c r="CF1851" t="s">
        <v>1472</v>
      </c>
      <c r="CG1851" t="s">
        <v>1473</v>
      </c>
      <c r="CH1851">
        <v>2009</v>
      </c>
    </row>
    <row r="1852" spans="1:86" hidden="1" x14ac:dyDescent="0.25">
      <c r="A1852">
        <v>330541</v>
      </c>
      <c r="B1852" t="s">
        <v>86</v>
      </c>
      <c r="D1852" t="s">
        <v>115</v>
      </c>
      <c r="E1852" t="s">
        <v>106</v>
      </c>
      <c r="F1852">
        <v>98</v>
      </c>
      <c r="K1852" t="s">
        <v>1458</v>
      </c>
      <c r="L1852" t="s">
        <v>1439</v>
      </c>
      <c r="M1852" t="s">
        <v>1459</v>
      </c>
      <c r="V1852" t="s">
        <v>507</v>
      </c>
      <c r="W1852" t="s">
        <v>92</v>
      </c>
      <c r="X1852" t="s">
        <v>93</v>
      </c>
      <c r="Z1852" t="s">
        <v>94</v>
      </c>
      <c r="AB1852"/>
      <c r="AD1852">
        <v>5.0000000000000001E-3</v>
      </c>
      <c r="AF1852">
        <v>0.1</v>
      </c>
      <c r="AG1852" t="s">
        <v>95</v>
      </c>
      <c r="AX1852" t="s">
        <v>201</v>
      </c>
      <c r="AY1852" t="s">
        <v>311</v>
      </c>
      <c r="BC1852">
        <v>7</v>
      </c>
      <c r="BH1852" t="s">
        <v>99</v>
      </c>
      <c r="BO1852" t="s">
        <v>111</v>
      </c>
      <c r="CD1852" t="s">
        <v>1465</v>
      </c>
      <c r="CE1852">
        <v>20352</v>
      </c>
      <c r="CF1852" t="s">
        <v>1466</v>
      </c>
      <c r="CG1852" t="s">
        <v>1467</v>
      </c>
      <c r="CH1852">
        <v>1999</v>
      </c>
    </row>
    <row r="1853" spans="1:86" hidden="1" x14ac:dyDescent="0.25">
      <c r="A1853">
        <v>330541</v>
      </c>
      <c r="B1853" t="s">
        <v>86</v>
      </c>
      <c r="D1853" t="s">
        <v>115</v>
      </c>
      <c r="F1853">
        <v>98.4</v>
      </c>
      <c r="K1853" t="s">
        <v>1488</v>
      </c>
      <c r="L1853" t="s">
        <v>1489</v>
      </c>
      <c r="M1853" t="s">
        <v>1490</v>
      </c>
      <c r="V1853" t="s">
        <v>491</v>
      </c>
      <c r="W1853" t="s">
        <v>92</v>
      </c>
      <c r="X1853" t="s">
        <v>492</v>
      </c>
      <c r="Y1853">
        <v>2</v>
      </c>
      <c r="Z1853" t="s">
        <v>94</v>
      </c>
      <c r="AB1853">
        <v>5.0000000000000001E-3</v>
      </c>
      <c r="AG1853" t="s">
        <v>95</v>
      </c>
      <c r="AX1853" t="s">
        <v>144</v>
      </c>
      <c r="AY1853" t="s">
        <v>109</v>
      </c>
      <c r="AZ1853" t="s">
        <v>486</v>
      </c>
      <c r="BC1853">
        <v>12</v>
      </c>
      <c r="BH1853" t="s">
        <v>99</v>
      </c>
      <c r="BO1853" t="s">
        <v>111</v>
      </c>
      <c r="CD1853" t="s">
        <v>493</v>
      </c>
      <c r="CE1853">
        <v>165274</v>
      </c>
      <c r="CF1853" t="s">
        <v>494</v>
      </c>
      <c r="CG1853" t="s">
        <v>495</v>
      </c>
      <c r="CH1853">
        <v>2012</v>
      </c>
    </row>
    <row r="1854" spans="1:86" hidden="1" x14ac:dyDescent="0.25">
      <c r="A1854">
        <v>330541</v>
      </c>
      <c r="B1854" t="s">
        <v>86</v>
      </c>
      <c r="D1854" t="s">
        <v>115</v>
      </c>
      <c r="F1854">
        <v>98.4</v>
      </c>
      <c r="K1854" t="s">
        <v>1488</v>
      </c>
      <c r="L1854" t="s">
        <v>1489</v>
      </c>
      <c r="M1854" t="s">
        <v>1490</v>
      </c>
      <c r="V1854" t="s">
        <v>491</v>
      </c>
      <c r="W1854" t="s">
        <v>92</v>
      </c>
      <c r="X1854" t="s">
        <v>492</v>
      </c>
      <c r="Y1854">
        <v>2</v>
      </c>
      <c r="Z1854" t="s">
        <v>94</v>
      </c>
      <c r="AB1854">
        <v>5.0000000000000001E-3</v>
      </c>
      <c r="AG1854" t="s">
        <v>95</v>
      </c>
      <c r="AX1854" t="s">
        <v>144</v>
      </c>
      <c r="AY1854" t="s">
        <v>109</v>
      </c>
      <c r="AZ1854" t="s">
        <v>486</v>
      </c>
      <c r="BC1854">
        <v>5</v>
      </c>
      <c r="BH1854" t="s">
        <v>99</v>
      </c>
      <c r="BO1854" t="s">
        <v>111</v>
      </c>
      <c r="CD1854" t="s">
        <v>493</v>
      </c>
      <c r="CE1854">
        <v>165274</v>
      </c>
      <c r="CF1854" t="s">
        <v>494</v>
      </c>
      <c r="CG1854" t="s">
        <v>495</v>
      </c>
      <c r="CH1854">
        <v>2012</v>
      </c>
    </row>
    <row r="1855" spans="1:86" hidden="1" x14ac:dyDescent="0.25">
      <c r="A1855">
        <v>330541</v>
      </c>
      <c r="B1855" t="s">
        <v>86</v>
      </c>
      <c r="D1855" t="s">
        <v>115</v>
      </c>
      <c r="K1855" t="s">
        <v>1491</v>
      </c>
      <c r="L1855" t="s">
        <v>1492</v>
      </c>
      <c r="M1855" t="s">
        <v>1490</v>
      </c>
      <c r="R1855">
        <v>5</v>
      </c>
      <c r="T1855">
        <v>6</v>
      </c>
      <c r="U1855" t="s">
        <v>1493</v>
      </c>
      <c r="V1855" t="s">
        <v>168</v>
      </c>
      <c r="W1855" t="s">
        <v>92</v>
      </c>
      <c r="X1855" t="s">
        <v>93</v>
      </c>
      <c r="Y1855">
        <v>6</v>
      </c>
      <c r="Z1855" t="s">
        <v>137</v>
      </c>
      <c r="AB1855">
        <v>10</v>
      </c>
      <c r="AG1855" t="s">
        <v>95</v>
      </c>
      <c r="AX1855" t="s">
        <v>615</v>
      </c>
      <c r="AY1855" t="s">
        <v>1494</v>
      </c>
      <c r="AZ1855" t="s">
        <v>486</v>
      </c>
      <c r="BA1855" t="s">
        <v>1495</v>
      </c>
      <c r="BC1855">
        <v>1</v>
      </c>
      <c r="BH1855" t="s">
        <v>99</v>
      </c>
      <c r="BO1855" t="s">
        <v>111</v>
      </c>
      <c r="CD1855" t="s">
        <v>1496</v>
      </c>
      <c r="CE1855">
        <v>13640</v>
      </c>
      <c r="CF1855" t="s">
        <v>1497</v>
      </c>
      <c r="CG1855" t="s">
        <v>1498</v>
      </c>
      <c r="CH1855">
        <v>1986</v>
      </c>
    </row>
    <row r="1856" spans="1:86" hidden="1" x14ac:dyDescent="0.25">
      <c r="A1856">
        <v>330541</v>
      </c>
      <c r="B1856" t="s">
        <v>86</v>
      </c>
      <c r="D1856" t="s">
        <v>115</v>
      </c>
      <c r="K1856" t="s">
        <v>1491</v>
      </c>
      <c r="L1856" t="s">
        <v>1492</v>
      </c>
      <c r="M1856" t="s">
        <v>1490</v>
      </c>
      <c r="R1856">
        <v>5</v>
      </c>
      <c r="T1856">
        <v>6</v>
      </c>
      <c r="U1856" t="s">
        <v>1493</v>
      </c>
      <c r="V1856" t="s">
        <v>168</v>
      </c>
      <c r="W1856" t="s">
        <v>92</v>
      </c>
      <c r="X1856" t="s">
        <v>93</v>
      </c>
      <c r="Y1856">
        <v>6</v>
      </c>
      <c r="Z1856" t="s">
        <v>137</v>
      </c>
      <c r="AB1856">
        <v>10</v>
      </c>
      <c r="AG1856" t="s">
        <v>95</v>
      </c>
      <c r="AX1856" t="s">
        <v>615</v>
      </c>
      <c r="AY1856" t="s">
        <v>1494</v>
      </c>
      <c r="AZ1856" t="s">
        <v>486</v>
      </c>
      <c r="BA1856" t="s">
        <v>1495</v>
      </c>
      <c r="BC1856">
        <v>2</v>
      </c>
      <c r="BH1856" t="s">
        <v>99</v>
      </c>
      <c r="BO1856" t="s">
        <v>111</v>
      </c>
      <c r="CD1856" t="s">
        <v>1496</v>
      </c>
      <c r="CE1856">
        <v>13640</v>
      </c>
      <c r="CF1856" t="s">
        <v>1497</v>
      </c>
      <c r="CG1856" t="s">
        <v>1498</v>
      </c>
      <c r="CH1856">
        <v>1986</v>
      </c>
    </row>
    <row r="1857" spans="1:86" hidden="1" x14ac:dyDescent="0.25">
      <c r="A1857">
        <v>330541</v>
      </c>
      <c r="B1857" t="s">
        <v>86</v>
      </c>
      <c r="D1857" t="s">
        <v>115</v>
      </c>
      <c r="K1857" t="s">
        <v>1491</v>
      </c>
      <c r="L1857" t="s">
        <v>1492</v>
      </c>
      <c r="M1857" t="s">
        <v>1490</v>
      </c>
      <c r="R1857">
        <v>5</v>
      </c>
      <c r="T1857">
        <v>6</v>
      </c>
      <c r="U1857" t="s">
        <v>1493</v>
      </c>
      <c r="V1857" t="s">
        <v>168</v>
      </c>
      <c r="W1857" t="s">
        <v>92</v>
      </c>
      <c r="X1857" t="s">
        <v>93</v>
      </c>
      <c r="Y1857">
        <v>6</v>
      </c>
      <c r="Z1857" t="s">
        <v>137</v>
      </c>
      <c r="AB1857">
        <v>1</v>
      </c>
      <c r="AG1857" t="s">
        <v>95</v>
      </c>
      <c r="AX1857" t="s">
        <v>615</v>
      </c>
      <c r="AY1857" t="s">
        <v>1494</v>
      </c>
      <c r="AZ1857" t="s">
        <v>486</v>
      </c>
      <c r="BA1857" t="s">
        <v>1495</v>
      </c>
      <c r="BC1857">
        <v>3</v>
      </c>
      <c r="BH1857" t="s">
        <v>99</v>
      </c>
      <c r="BO1857" t="s">
        <v>111</v>
      </c>
      <c r="CD1857" t="s">
        <v>1496</v>
      </c>
      <c r="CE1857">
        <v>13640</v>
      </c>
      <c r="CF1857" t="s">
        <v>1497</v>
      </c>
      <c r="CG1857" t="s">
        <v>1498</v>
      </c>
      <c r="CH1857">
        <v>1986</v>
      </c>
    </row>
    <row r="1858" spans="1:86" hidden="1" x14ac:dyDescent="0.25">
      <c r="A1858">
        <v>330541</v>
      </c>
      <c r="B1858" t="s">
        <v>86</v>
      </c>
      <c r="D1858" t="s">
        <v>115</v>
      </c>
      <c r="F1858">
        <v>98.4</v>
      </c>
      <c r="K1858" t="s">
        <v>1488</v>
      </c>
      <c r="L1858" t="s">
        <v>1489</v>
      </c>
      <c r="M1858" t="s">
        <v>1490</v>
      </c>
      <c r="V1858" t="s">
        <v>491</v>
      </c>
      <c r="W1858" t="s">
        <v>92</v>
      </c>
      <c r="X1858" t="s">
        <v>492</v>
      </c>
      <c r="Y1858">
        <v>2</v>
      </c>
      <c r="Z1858" t="s">
        <v>94</v>
      </c>
      <c r="AB1858">
        <v>5.0000000000000001E-3</v>
      </c>
      <c r="AG1858" t="s">
        <v>95</v>
      </c>
      <c r="AX1858" t="s">
        <v>144</v>
      </c>
      <c r="AY1858" t="s">
        <v>109</v>
      </c>
      <c r="AZ1858" t="s">
        <v>486</v>
      </c>
      <c r="BC1858">
        <v>2</v>
      </c>
      <c r="BH1858" t="s">
        <v>99</v>
      </c>
      <c r="BO1858" t="s">
        <v>111</v>
      </c>
      <c r="CD1858" t="s">
        <v>493</v>
      </c>
      <c r="CE1858">
        <v>165274</v>
      </c>
      <c r="CF1858" t="s">
        <v>494</v>
      </c>
      <c r="CG1858" t="s">
        <v>495</v>
      </c>
      <c r="CH1858">
        <v>2012</v>
      </c>
    </row>
    <row r="1859" spans="1:86" hidden="1" x14ac:dyDescent="0.25">
      <c r="A1859">
        <v>330541</v>
      </c>
      <c r="B1859" t="s">
        <v>86</v>
      </c>
      <c r="D1859" t="s">
        <v>115</v>
      </c>
      <c r="K1859" t="s">
        <v>1499</v>
      </c>
      <c r="L1859" t="s">
        <v>1439</v>
      </c>
      <c r="M1859" t="s">
        <v>1490</v>
      </c>
      <c r="V1859" t="s">
        <v>91</v>
      </c>
      <c r="W1859" t="s">
        <v>92</v>
      </c>
      <c r="X1859" t="s">
        <v>93</v>
      </c>
      <c r="Y1859">
        <v>2</v>
      </c>
      <c r="Z1859" t="s">
        <v>137</v>
      </c>
      <c r="AB1859">
        <v>10</v>
      </c>
      <c r="AG1859" t="s">
        <v>95</v>
      </c>
      <c r="AX1859" t="s">
        <v>144</v>
      </c>
      <c r="AY1859" t="s">
        <v>1474</v>
      </c>
      <c r="AZ1859" t="s">
        <v>555</v>
      </c>
      <c r="BC1859">
        <v>1</v>
      </c>
      <c r="BH1859" t="s">
        <v>99</v>
      </c>
      <c r="BO1859" t="s">
        <v>111</v>
      </c>
      <c r="CD1859" t="s">
        <v>1500</v>
      </c>
      <c r="CE1859">
        <v>111593</v>
      </c>
      <c r="CF1859" t="s">
        <v>1501</v>
      </c>
      <c r="CG1859" t="s">
        <v>1502</v>
      </c>
      <c r="CH1859">
        <v>2005</v>
      </c>
    </row>
    <row r="1860" spans="1:86" hidden="1" x14ac:dyDescent="0.25">
      <c r="A1860">
        <v>330541</v>
      </c>
      <c r="B1860" t="s">
        <v>86</v>
      </c>
      <c r="D1860" t="s">
        <v>87</v>
      </c>
      <c r="F1860">
        <v>98.4</v>
      </c>
      <c r="K1860" t="s">
        <v>1488</v>
      </c>
      <c r="L1860" t="s">
        <v>1489</v>
      </c>
      <c r="M1860" t="s">
        <v>1490</v>
      </c>
      <c r="V1860" t="s">
        <v>491</v>
      </c>
      <c r="W1860" t="s">
        <v>92</v>
      </c>
      <c r="X1860" t="s">
        <v>559</v>
      </c>
      <c r="Y1860">
        <v>2</v>
      </c>
      <c r="Z1860" t="s">
        <v>94</v>
      </c>
      <c r="AB1860">
        <v>4.8999999999999998E-3</v>
      </c>
      <c r="AG1860" t="s">
        <v>95</v>
      </c>
      <c r="AX1860" t="s">
        <v>144</v>
      </c>
      <c r="AY1860" t="s">
        <v>438</v>
      </c>
      <c r="AZ1860" t="s">
        <v>555</v>
      </c>
      <c r="BA1860" t="s">
        <v>1410</v>
      </c>
      <c r="BC1860">
        <v>2</v>
      </c>
      <c r="BH1860" t="s">
        <v>99</v>
      </c>
      <c r="BO1860" t="s">
        <v>111</v>
      </c>
      <c r="CD1860" t="s">
        <v>1419</v>
      </c>
      <c r="CE1860">
        <v>151496</v>
      </c>
      <c r="CF1860" t="s">
        <v>1420</v>
      </c>
      <c r="CG1860" t="s">
        <v>1421</v>
      </c>
      <c r="CH1860">
        <v>2010</v>
      </c>
    </row>
    <row r="1861" spans="1:86" hidden="1" x14ac:dyDescent="0.25">
      <c r="A1861">
        <v>330541</v>
      </c>
      <c r="B1861" t="s">
        <v>86</v>
      </c>
      <c r="D1861" t="s">
        <v>115</v>
      </c>
      <c r="K1861" t="s">
        <v>1491</v>
      </c>
      <c r="L1861" t="s">
        <v>1492</v>
      </c>
      <c r="M1861" t="s">
        <v>1490</v>
      </c>
      <c r="R1861">
        <v>5</v>
      </c>
      <c r="T1861">
        <v>6</v>
      </c>
      <c r="U1861" t="s">
        <v>1493</v>
      </c>
      <c r="V1861" t="s">
        <v>168</v>
      </c>
      <c r="W1861" t="s">
        <v>92</v>
      </c>
      <c r="X1861" t="s">
        <v>93</v>
      </c>
      <c r="Y1861">
        <v>6</v>
      </c>
      <c r="Z1861" t="s">
        <v>137</v>
      </c>
      <c r="AB1861">
        <v>1</v>
      </c>
      <c r="AG1861" t="s">
        <v>95</v>
      </c>
      <c r="AX1861" t="s">
        <v>615</v>
      </c>
      <c r="AY1861" t="s">
        <v>1494</v>
      </c>
      <c r="AZ1861" t="s">
        <v>586</v>
      </c>
      <c r="BA1861" t="s">
        <v>1495</v>
      </c>
      <c r="BC1861">
        <v>2</v>
      </c>
      <c r="BH1861" t="s">
        <v>99</v>
      </c>
      <c r="BO1861" t="s">
        <v>111</v>
      </c>
      <c r="CD1861" t="s">
        <v>1496</v>
      </c>
      <c r="CE1861">
        <v>13640</v>
      </c>
      <c r="CF1861" t="s">
        <v>1497</v>
      </c>
      <c r="CG1861" t="s">
        <v>1498</v>
      </c>
      <c r="CH1861">
        <v>1986</v>
      </c>
    </row>
    <row r="1862" spans="1:86" hidden="1" x14ac:dyDescent="0.25">
      <c r="A1862">
        <v>330541</v>
      </c>
      <c r="B1862" t="s">
        <v>86</v>
      </c>
      <c r="D1862" t="s">
        <v>115</v>
      </c>
      <c r="F1862">
        <v>98.4</v>
      </c>
      <c r="K1862" t="s">
        <v>1488</v>
      </c>
      <c r="L1862" t="s">
        <v>1489</v>
      </c>
      <c r="M1862" t="s">
        <v>1490</v>
      </c>
      <c r="V1862" t="s">
        <v>491</v>
      </c>
      <c r="W1862" t="s">
        <v>92</v>
      </c>
      <c r="X1862" t="s">
        <v>492</v>
      </c>
      <c r="Y1862">
        <v>2</v>
      </c>
      <c r="Z1862" t="s">
        <v>94</v>
      </c>
      <c r="AB1862">
        <v>5.0000000000000001E-3</v>
      </c>
      <c r="AG1862" t="s">
        <v>95</v>
      </c>
      <c r="AX1862" t="s">
        <v>144</v>
      </c>
      <c r="AY1862" t="s">
        <v>109</v>
      </c>
      <c r="AZ1862" t="s">
        <v>586</v>
      </c>
      <c r="BC1862">
        <v>26</v>
      </c>
      <c r="BH1862" t="s">
        <v>99</v>
      </c>
      <c r="BO1862" t="s">
        <v>111</v>
      </c>
      <c r="CD1862" t="s">
        <v>493</v>
      </c>
      <c r="CE1862">
        <v>165274</v>
      </c>
      <c r="CF1862" t="s">
        <v>494</v>
      </c>
      <c r="CG1862" t="s">
        <v>495</v>
      </c>
      <c r="CH1862">
        <v>2012</v>
      </c>
    </row>
    <row r="1863" spans="1:86" hidden="1" x14ac:dyDescent="0.25">
      <c r="A1863">
        <v>330541</v>
      </c>
      <c r="B1863" t="s">
        <v>86</v>
      </c>
      <c r="D1863" t="s">
        <v>115</v>
      </c>
      <c r="F1863">
        <v>98.4</v>
      </c>
      <c r="K1863" t="s">
        <v>1488</v>
      </c>
      <c r="L1863" t="s">
        <v>1489</v>
      </c>
      <c r="M1863" t="s">
        <v>1490</v>
      </c>
      <c r="V1863" t="s">
        <v>491</v>
      </c>
      <c r="W1863" t="s">
        <v>92</v>
      </c>
      <c r="X1863" t="s">
        <v>492</v>
      </c>
      <c r="Y1863">
        <v>2</v>
      </c>
      <c r="Z1863" t="s">
        <v>94</v>
      </c>
      <c r="AB1863">
        <v>5.0000000000000001E-3</v>
      </c>
      <c r="AG1863" t="s">
        <v>95</v>
      </c>
      <c r="AX1863" t="s">
        <v>144</v>
      </c>
      <c r="AY1863" t="s">
        <v>109</v>
      </c>
      <c r="AZ1863" t="s">
        <v>586</v>
      </c>
      <c r="BC1863">
        <v>34</v>
      </c>
      <c r="BH1863" t="s">
        <v>99</v>
      </c>
      <c r="BO1863" t="s">
        <v>111</v>
      </c>
      <c r="CD1863" t="s">
        <v>493</v>
      </c>
      <c r="CE1863">
        <v>165274</v>
      </c>
      <c r="CF1863" t="s">
        <v>494</v>
      </c>
      <c r="CG1863" t="s">
        <v>495</v>
      </c>
      <c r="CH1863">
        <v>2012</v>
      </c>
    </row>
    <row r="1864" spans="1:86" hidden="1" x14ac:dyDescent="0.25">
      <c r="A1864">
        <v>330541</v>
      </c>
      <c r="B1864" t="s">
        <v>86</v>
      </c>
      <c r="D1864" t="s">
        <v>115</v>
      </c>
      <c r="F1864">
        <v>98.4</v>
      </c>
      <c r="K1864" t="s">
        <v>1488</v>
      </c>
      <c r="L1864" t="s">
        <v>1489</v>
      </c>
      <c r="M1864" t="s">
        <v>1490</v>
      </c>
      <c r="V1864" t="s">
        <v>491</v>
      </c>
      <c r="W1864" t="s">
        <v>92</v>
      </c>
      <c r="X1864" t="s">
        <v>492</v>
      </c>
      <c r="Y1864">
        <v>2</v>
      </c>
      <c r="Z1864" t="s">
        <v>94</v>
      </c>
      <c r="AB1864">
        <v>5.0000000000000001E-3</v>
      </c>
      <c r="AG1864" t="s">
        <v>95</v>
      </c>
      <c r="AX1864" t="s">
        <v>144</v>
      </c>
      <c r="AY1864" t="s">
        <v>109</v>
      </c>
      <c r="AZ1864" t="s">
        <v>586</v>
      </c>
      <c r="BC1864">
        <v>19</v>
      </c>
      <c r="BH1864" t="s">
        <v>99</v>
      </c>
      <c r="BO1864" t="s">
        <v>111</v>
      </c>
      <c r="CD1864" t="s">
        <v>493</v>
      </c>
      <c r="CE1864">
        <v>165274</v>
      </c>
      <c r="CF1864" t="s">
        <v>494</v>
      </c>
      <c r="CG1864" t="s">
        <v>495</v>
      </c>
      <c r="CH1864">
        <v>2012</v>
      </c>
    </row>
    <row r="1865" spans="1:86" hidden="1" x14ac:dyDescent="0.25">
      <c r="A1865">
        <v>330541</v>
      </c>
      <c r="B1865" t="s">
        <v>86</v>
      </c>
      <c r="D1865" t="s">
        <v>115</v>
      </c>
      <c r="K1865" t="s">
        <v>1491</v>
      </c>
      <c r="L1865" t="s">
        <v>1492</v>
      </c>
      <c r="M1865" t="s">
        <v>1490</v>
      </c>
      <c r="R1865">
        <v>5</v>
      </c>
      <c r="T1865">
        <v>6</v>
      </c>
      <c r="U1865" t="s">
        <v>1493</v>
      </c>
      <c r="V1865" t="s">
        <v>168</v>
      </c>
      <c r="W1865" t="s">
        <v>92</v>
      </c>
      <c r="X1865" t="s">
        <v>93</v>
      </c>
      <c r="Y1865">
        <v>6</v>
      </c>
      <c r="Z1865" t="s">
        <v>137</v>
      </c>
      <c r="AB1865">
        <v>1</v>
      </c>
      <c r="AG1865" t="s">
        <v>95</v>
      </c>
      <c r="AX1865" t="s">
        <v>615</v>
      </c>
      <c r="AY1865" t="s">
        <v>1494</v>
      </c>
      <c r="AZ1865" t="s">
        <v>586</v>
      </c>
      <c r="BA1865" t="s">
        <v>1495</v>
      </c>
      <c r="BC1865">
        <v>1</v>
      </c>
      <c r="BH1865" t="s">
        <v>99</v>
      </c>
      <c r="BO1865" t="s">
        <v>111</v>
      </c>
      <c r="CD1865" t="s">
        <v>1496</v>
      </c>
      <c r="CE1865">
        <v>13640</v>
      </c>
      <c r="CF1865" t="s">
        <v>1497</v>
      </c>
      <c r="CG1865" t="s">
        <v>1498</v>
      </c>
      <c r="CH1865">
        <v>1986</v>
      </c>
    </row>
    <row r="1866" spans="1:86" hidden="1" x14ac:dyDescent="0.25">
      <c r="A1866">
        <v>330541</v>
      </c>
      <c r="B1866" t="s">
        <v>86</v>
      </c>
      <c r="D1866" t="s">
        <v>87</v>
      </c>
      <c r="F1866">
        <v>98.4</v>
      </c>
      <c r="K1866" t="s">
        <v>1488</v>
      </c>
      <c r="L1866" t="s">
        <v>1489</v>
      </c>
      <c r="M1866" t="s">
        <v>1490</v>
      </c>
      <c r="V1866" t="s">
        <v>491</v>
      </c>
      <c r="W1866" t="s">
        <v>92</v>
      </c>
      <c r="X1866" t="s">
        <v>559</v>
      </c>
      <c r="Y1866">
        <v>2</v>
      </c>
      <c r="Z1866" t="s">
        <v>94</v>
      </c>
      <c r="AB1866">
        <v>4.8999999999999998E-3</v>
      </c>
      <c r="AG1866" t="s">
        <v>95</v>
      </c>
      <c r="AX1866" t="s">
        <v>196</v>
      </c>
      <c r="AY1866" t="s">
        <v>1440</v>
      </c>
      <c r="AZ1866" t="s">
        <v>609</v>
      </c>
      <c r="BA1866" t="s">
        <v>179</v>
      </c>
      <c r="BC1866">
        <v>34</v>
      </c>
      <c r="BH1866" t="s">
        <v>99</v>
      </c>
      <c r="BO1866" t="s">
        <v>111</v>
      </c>
      <c r="CD1866" t="s">
        <v>1419</v>
      </c>
      <c r="CE1866">
        <v>151496</v>
      </c>
      <c r="CF1866" t="s">
        <v>1420</v>
      </c>
      <c r="CG1866" t="s">
        <v>1421</v>
      </c>
      <c r="CH1866">
        <v>2010</v>
      </c>
    </row>
    <row r="1867" spans="1:86" hidden="1" x14ac:dyDescent="0.25">
      <c r="A1867">
        <v>330541</v>
      </c>
      <c r="B1867" t="s">
        <v>86</v>
      </c>
      <c r="D1867" t="s">
        <v>115</v>
      </c>
      <c r="K1867" t="s">
        <v>1503</v>
      </c>
      <c r="L1867" t="s">
        <v>1504</v>
      </c>
      <c r="M1867" t="s">
        <v>1490</v>
      </c>
      <c r="V1867" t="s">
        <v>91</v>
      </c>
      <c r="W1867" t="s">
        <v>92</v>
      </c>
      <c r="X1867" t="s">
        <v>93</v>
      </c>
      <c r="Z1867" t="s">
        <v>137</v>
      </c>
      <c r="AB1867">
        <v>0.2330972</v>
      </c>
      <c r="AG1867" t="s">
        <v>95</v>
      </c>
      <c r="AX1867" t="s">
        <v>144</v>
      </c>
      <c r="AY1867" t="s">
        <v>109</v>
      </c>
      <c r="BE1867">
        <v>6.8999999999999999E-3</v>
      </c>
      <c r="BG1867">
        <v>8.3299999999999999E-2</v>
      </c>
      <c r="BH1867" t="s">
        <v>99</v>
      </c>
      <c r="BO1867" t="s">
        <v>111</v>
      </c>
      <c r="CD1867" t="s">
        <v>1505</v>
      </c>
      <c r="CE1867">
        <v>69621</v>
      </c>
      <c r="CF1867" t="s">
        <v>1506</v>
      </c>
      <c r="CG1867" t="s">
        <v>1507</v>
      </c>
      <c r="CH1867">
        <v>2002</v>
      </c>
    </row>
    <row r="1868" spans="1:86" hidden="1" x14ac:dyDescent="0.25">
      <c r="A1868">
        <v>330541</v>
      </c>
      <c r="B1868" t="s">
        <v>86</v>
      </c>
      <c r="D1868" t="s">
        <v>115</v>
      </c>
      <c r="K1868" t="s">
        <v>1491</v>
      </c>
      <c r="L1868" t="s">
        <v>1492</v>
      </c>
      <c r="M1868" t="s">
        <v>1490</v>
      </c>
      <c r="R1868">
        <v>5</v>
      </c>
      <c r="T1868">
        <v>6</v>
      </c>
      <c r="U1868" t="s">
        <v>1493</v>
      </c>
      <c r="V1868" t="s">
        <v>168</v>
      </c>
      <c r="W1868" t="s">
        <v>92</v>
      </c>
      <c r="X1868" t="s">
        <v>93</v>
      </c>
      <c r="Y1868">
        <v>6</v>
      </c>
      <c r="Z1868" t="s">
        <v>137</v>
      </c>
      <c r="AB1868"/>
      <c r="AD1868">
        <v>1</v>
      </c>
      <c r="AF1868">
        <v>80</v>
      </c>
      <c r="AG1868" t="s">
        <v>95</v>
      </c>
      <c r="AX1868" t="s">
        <v>707</v>
      </c>
      <c r="AY1868" t="s">
        <v>1508</v>
      </c>
      <c r="BA1868" t="s">
        <v>1495</v>
      </c>
      <c r="BE1868">
        <v>1</v>
      </c>
      <c r="BG1868">
        <v>3</v>
      </c>
      <c r="BH1868" t="s">
        <v>99</v>
      </c>
      <c r="BO1868" t="s">
        <v>111</v>
      </c>
      <c r="CD1868" t="s">
        <v>1496</v>
      </c>
      <c r="CE1868">
        <v>13640</v>
      </c>
      <c r="CF1868" t="s">
        <v>1497</v>
      </c>
      <c r="CG1868" t="s">
        <v>1498</v>
      </c>
      <c r="CH1868">
        <v>1986</v>
      </c>
    </row>
    <row r="1869" spans="1:86" hidden="1" x14ac:dyDescent="0.25">
      <c r="A1869">
        <v>330541</v>
      </c>
      <c r="B1869" t="s">
        <v>86</v>
      </c>
      <c r="C1869" t="s">
        <v>183</v>
      </c>
      <c r="D1869" t="s">
        <v>115</v>
      </c>
      <c r="F1869">
        <v>99.5</v>
      </c>
      <c r="K1869" t="s">
        <v>1509</v>
      </c>
      <c r="L1869" t="s">
        <v>1510</v>
      </c>
      <c r="M1869" t="s">
        <v>1511</v>
      </c>
      <c r="N1869" t="s">
        <v>1064</v>
      </c>
      <c r="V1869" t="s">
        <v>91</v>
      </c>
      <c r="W1869" t="s">
        <v>92</v>
      </c>
      <c r="X1869" t="s">
        <v>93</v>
      </c>
      <c r="Y1869">
        <v>5</v>
      </c>
      <c r="Z1869" t="s">
        <v>94</v>
      </c>
      <c r="AB1869">
        <v>7</v>
      </c>
      <c r="AG1869" t="s">
        <v>95</v>
      </c>
      <c r="AX1869" t="s">
        <v>523</v>
      </c>
      <c r="AY1869" t="s">
        <v>523</v>
      </c>
      <c r="AZ1869" t="s">
        <v>214</v>
      </c>
      <c r="BC1869">
        <v>4</v>
      </c>
      <c r="BH1869" t="s">
        <v>99</v>
      </c>
      <c r="BO1869" t="s">
        <v>111</v>
      </c>
      <c r="CD1869" t="s">
        <v>1512</v>
      </c>
      <c r="CE1869">
        <v>153867</v>
      </c>
      <c r="CF1869" t="s">
        <v>1513</v>
      </c>
      <c r="CG1869" t="s">
        <v>1514</v>
      </c>
      <c r="CH1869">
        <v>2008</v>
      </c>
    </row>
    <row r="1870" spans="1:86" hidden="1" x14ac:dyDescent="0.25">
      <c r="A1870">
        <v>330541</v>
      </c>
      <c r="B1870" t="s">
        <v>86</v>
      </c>
      <c r="C1870" t="s">
        <v>183</v>
      </c>
      <c r="D1870" t="s">
        <v>115</v>
      </c>
      <c r="F1870">
        <v>99.5</v>
      </c>
      <c r="K1870" t="s">
        <v>1509</v>
      </c>
      <c r="L1870" t="s">
        <v>1510</v>
      </c>
      <c r="M1870" t="s">
        <v>1511</v>
      </c>
      <c r="N1870" t="s">
        <v>1064</v>
      </c>
      <c r="V1870" t="s">
        <v>91</v>
      </c>
      <c r="W1870" t="s">
        <v>92</v>
      </c>
      <c r="X1870" t="s">
        <v>93</v>
      </c>
      <c r="Y1870">
        <v>5</v>
      </c>
      <c r="Z1870" t="s">
        <v>94</v>
      </c>
      <c r="AB1870">
        <v>16</v>
      </c>
      <c r="AG1870" t="s">
        <v>95</v>
      </c>
      <c r="AX1870" t="s">
        <v>523</v>
      </c>
      <c r="AY1870" t="s">
        <v>523</v>
      </c>
      <c r="AZ1870" t="s">
        <v>214</v>
      </c>
      <c r="BC1870">
        <v>2</v>
      </c>
      <c r="BH1870" t="s">
        <v>99</v>
      </c>
      <c r="BO1870" t="s">
        <v>111</v>
      </c>
      <c r="CD1870" t="s">
        <v>1512</v>
      </c>
      <c r="CE1870">
        <v>153867</v>
      </c>
      <c r="CF1870" t="s">
        <v>1513</v>
      </c>
      <c r="CG1870" t="s">
        <v>1514</v>
      </c>
      <c r="CH1870">
        <v>2008</v>
      </c>
    </row>
    <row r="1871" spans="1:86" hidden="1" x14ac:dyDescent="0.25">
      <c r="A1871">
        <v>330541</v>
      </c>
      <c r="B1871" t="s">
        <v>86</v>
      </c>
      <c r="D1871" t="s">
        <v>115</v>
      </c>
      <c r="K1871" t="s">
        <v>1515</v>
      </c>
      <c r="L1871" t="s">
        <v>1516</v>
      </c>
      <c r="M1871" t="s">
        <v>1511</v>
      </c>
      <c r="W1871" t="s">
        <v>92</v>
      </c>
      <c r="X1871" t="s">
        <v>93</v>
      </c>
      <c r="Z1871" t="s">
        <v>137</v>
      </c>
      <c r="AB1871">
        <v>1.2</v>
      </c>
      <c r="AG1871" t="s">
        <v>95</v>
      </c>
      <c r="AX1871" t="s">
        <v>523</v>
      </c>
      <c r="AY1871" t="s">
        <v>523</v>
      </c>
      <c r="AZ1871" t="s">
        <v>475</v>
      </c>
      <c r="BC1871">
        <v>4</v>
      </c>
      <c r="BH1871" t="s">
        <v>99</v>
      </c>
      <c r="BO1871" t="s">
        <v>111</v>
      </c>
      <c r="CD1871" t="s">
        <v>1299</v>
      </c>
      <c r="CE1871">
        <v>70421</v>
      </c>
      <c r="CF1871" t="s">
        <v>1300</v>
      </c>
      <c r="CG1871" t="s">
        <v>1301</v>
      </c>
      <c r="CH1871">
        <v>1974</v>
      </c>
    </row>
    <row r="1872" spans="1:86" hidden="1" x14ac:dyDescent="0.25">
      <c r="A1872">
        <v>330541</v>
      </c>
      <c r="B1872" t="s">
        <v>86</v>
      </c>
      <c r="C1872" t="s">
        <v>183</v>
      </c>
      <c r="D1872" t="s">
        <v>115</v>
      </c>
      <c r="F1872">
        <v>99.5</v>
      </c>
      <c r="K1872" t="s">
        <v>1509</v>
      </c>
      <c r="L1872" t="s">
        <v>1510</v>
      </c>
      <c r="M1872" t="s">
        <v>1511</v>
      </c>
      <c r="N1872" t="s">
        <v>1064</v>
      </c>
      <c r="V1872" t="s">
        <v>91</v>
      </c>
      <c r="W1872" t="s">
        <v>92</v>
      </c>
      <c r="X1872" t="s">
        <v>93</v>
      </c>
      <c r="Y1872">
        <v>5</v>
      </c>
      <c r="Z1872" t="s">
        <v>94</v>
      </c>
      <c r="AB1872"/>
      <c r="AD1872">
        <v>11.25</v>
      </c>
      <c r="AF1872">
        <v>22.5</v>
      </c>
      <c r="AG1872" t="s">
        <v>95</v>
      </c>
      <c r="AX1872" t="s">
        <v>523</v>
      </c>
      <c r="AY1872" t="s">
        <v>523</v>
      </c>
      <c r="AZ1872" t="s">
        <v>475</v>
      </c>
      <c r="BC1872">
        <v>2</v>
      </c>
      <c r="BH1872" t="s">
        <v>99</v>
      </c>
      <c r="BO1872" t="s">
        <v>111</v>
      </c>
      <c r="CD1872" t="s">
        <v>1512</v>
      </c>
      <c r="CE1872">
        <v>153867</v>
      </c>
      <c r="CF1872" t="s">
        <v>1513</v>
      </c>
      <c r="CG1872" t="s">
        <v>1514</v>
      </c>
      <c r="CH1872">
        <v>2008</v>
      </c>
    </row>
    <row r="1873" spans="1:86" hidden="1" x14ac:dyDescent="0.25">
      <c r="A1873">
        <v>330541</v>
      </c>
      <c r="B1873" t="s">
        <v>86</v>
      </c>
      <c r="D1873" t="s">
        <v>115</v>
      </c>
      <c r="K1873" t="s">
        <v>1517</v>
      </c>
      <c r="L1873" t="s">
        <v>1518</v>
      </c>
      <c r="M1873" t="s">
        <v>1511</v>
      </c>
      <c r="V1873" t="s">
        <v>91</v>
      </c>
      <c r="W1873" t="s">
        <v>92</v>
      </c>
      <c r="X1873" t="s">
        <v>93</v>
      </c>
      <c r="Z1873" t="s">
        <v>137</v>
      </c>
      <c r="AB1873">
        <v>2.8</v>
      </c>
      <c r="AD1873">
        <v>2.1</v>
      </c>
      <c r="AF1873">
        <v>3.8</v>
      </c>
      <c r="AG1873" t="s">
        <v>95</v>
      </c>
      <c r="AX1873" t="s">
        <v>523</v>
      </c>
      <c r="AY1873" t="s">
        <v>523</v>
      </c>
      <c r="AZ1873" t="s">
        <v>475</v>
      </c>
      <c r="BC1873">
        <v>2</v>
      </c>
      <c r="BH1873" t="s">
        <v>99</v>
      </c>
      <c r="BO1873" t="s">
        <v>111</v>
      </c>
      <c r="CD1873" t="s">
        <v>1519</v>
      </c>
      <c r="CE1873">
        <v>889</v>
      </c>
      <c r="CF1873" t="s">
        <v>1520</v>
      </c>
      <c r="CG1873" t="s">
        <v>1521</v>
      </c>
      <c r="CH1873">
        <v>1968</v>
      </c>
    </row>
    <row r="1874" spans="1:86" hidden="1" x14ac:dyDescent="0.25">
      <c r="A1874">
        <v>330541</v>
      </c>
      <c r="B1874" t="s">
        <v>86</v>
      </c>
      <c r="F1874">
        <v>95</v>
      </c>
      <c r="K1874" t="s">
        <v>1517</v>
      </c>
      <c r="L1874" t="s">
        <v>1518</v>
      </c>
      <c r="M1874" t="s">
        <v>1511</v>
      </c>
      <c r="P1874">
        <v>2</v>
      </c>
      <c r="U1874" t="s">
        <v>1522</v>
      </c>
      <c r="V1874" t="s">
        <v>91</v>
      </c>
      <c r="W1874" t="s">
        <v>92</v>
      </c>
      <c r="X1874" t="s">
        <v>93</v>
      </c>
      <c r="Z1874" t="s">
        <v>94</v>
      </c>
      <c r="AB1874">
        <v>3.6</v>
      </c>
      <c r="AD1874">
        <v>2.8</v>
      </c>
      <c r="AF1874">
        <v>4.7</v>
      </c>
      <c r="AG1874" t="s">
        <v>95</v>
      </c>
      <c r="AX1874" t="s">
        <v>523</v>
      </c>
      <c r="AY1874" t="s">
        <v>523</v>
      </c>
      <c r="AZ1874" t="s">
        <v>475</v>
      </c>
      <c r="BC1874">
        <v>1</v>
      </c>
      <c r="BH1874" t="s">
        <v>99</v>
      </c>
      <c r="BO1874" t="s">
        <v>111</v>
      </c>
      <c r="CD1874" t="s">
        <v>982</v>
      </c>
      <c r="CE1874">
        <v>6797</v>
      </c>
      <c r="CF1874" t="s">
        <v>983</v>
      </c>
      <c r="CG1874" t="s">
        <v>984</v>
      </c>
      <c r="CH1874">
        <v>1986</v>
      </c>
    </row>
    <row r="1875" spans="1:86" hidden="1" x14ac:dyDescent="0.25">
      <c r="A1875">
        <v>330541</v>
      </c>
      <c r="B1875" t="s">
        <v>86</v>
      </c>
      <c r="C1875" t="s">
        <v>183</v>
      </c>
      <c r="D1875" t="s">
        <v>115</v>
      </c>
      <c r="F1875">
        <v>99.5</v>
      </c>
      <c r="K1875" t="s">
        <v>1509</v>
      </c>
      <c r="L1875" t="s">
        <v>1510</v>
      </c>
      <c r="M1875" t="s">
        <v>1511</v>
      </c>
      <c r="N1875" t="s">
        <v>1064</v>
      </c>
      <c r="V1875" t="s">
        <v>91</v>
      </c>
      <c r="W1875" t="s">
        <v>92</v>
      </c>
      <c r="X1875" t="s">
        <v>93</v>
      </c>
      <c r="Y1875">
        <v>5</v>
      </c>
      <c r="Z1875" t="s">
        <v>94</v>
      </c>
      <c r="AB1875">
        <v>14</v>
      </c>
      <c r="AG1875" t="s">
        <v>95</v>
      </c>
      <c r="AX1875" t="s">
        <v>523</v>
      </c>
      <c r="AY1875" t="s">
        <v>523</v>
      </c>
      <c r="AZ1875" t="s">
        <v>475</v>
      </c>
      <c r="BC1875">
        <v>4</v>
      </c>
      <c r="BH1875" t="s">
        <v>99</v>
      </c>
      <c r="BO1875" t="s">
        <v>111</v>
      </c>
      <c r="CD1875" t="s">
        <v>1512</v>
      </c>
      <c r="CE1875">
        <v>153867</v>
      </c>
      <c r="CF1875" t="s">
        <v>1513</v>
      </c>
      <c r="CG1875" t="s">
        <v>1514</v>
      </c>
      <c r="CH1875">
        <v>2008</v>
      </c>
    </row>
    <row r="1876" spans="1:86" hidden="1" x14ac:dyDescent="0.25">
      <c r="A1876">
        <v>330541</v>
      </c>
      <c r="B1876" t="s">
        <v>86</v>
      </c>
      <c r="F1876">
        <v>95</v>
      </c>
      <c r="K1876" t="s">
        <v>1517</v>
      </c>
      <c r="L1876" t="s">
        <v>1518</v>
      </c>
      <c r="M1876" t="s">
        <v>1511</v>
      </c>
      <c r="P1876">
        <v>2</v>
      </c>
      <c r="U1876" t="s">
        <v>1522</v>
      </c>
      <c r="V1876" t="s">
        <v>91</v>
      </c>
      <c r="W1876" t="s">
        <v>92</v>
      </c>
      <c r="X1876" t="s">
        <v>93</v>
      </c>
      <c r="Z1876" t="s">
        <v>94</v>
      </c>
      <c r="AB1876">
        <v>1.2</v>
      </c>
      <c r="AD1876">
        <v>0.9</v>
      </c>
      <c r="AF1876">
        <v>1.7</v>
      </c>
      <c r="AG1876" t="s">
        <v>95</v>
      </c>
      <c r="AX1876" t="s">
        <v>523</v>
      </c>
      <c r="AY1876" t="s">
        <v>523</v>
      </c>
      <c r="AZ1876" t="s">
        <v>475</v>
      </c>
      <c r="BC1876">
        <v>4</v>
      </c>
      <c r="BH1876" t="s">
        <v>99</v>
      </c>
      <c r="BO1876" t="s">
        <v>111</v>
      </c>
      <c r="CD1876" t="s">
        <v>982</v>
      </c>
      <c r="CE1876">
        <v>6797</v>
      </c>
      <c r="CF1876" t="s">
        <v>983</v>
      </c>
      <c r="CG1876" t="s">
        <v>984</v>
      </c>
      <c r="CH1876">
        <v>1986</v>
      </c>
    </row>
    <row r="1877" spans="1:86" hidden="1" x14ac:dyDescent="0.25">
      <c r="A1877">
        <v>330541</v>
      </c>
      <c r="B1877" t="s">
        <v>86</v>
      </c>
      <c r="D1877" t="s">
        <v>115</v>
      </c>
      <c r="K1877" t="s">
        <v>1523</v>
      </c>
      <c r="L1877" t="s">
        <v>1524</v>
      </c>
      <c r="M1877" t="s">
        <v>1511</v>
      </c>
      <c r="N1877" t="s">
        <v>1525</v>
      </c>
      <c r="W1877" t="s">
        <v>92</v>
      </c>
      <c r="X1877" t="s">
        <v>93</v>
      </c>
      <c r="Z1877" t="s">
        <v>137</v>
      </c>
      <c r="AA1877" t="s">
        <v>106</v>
      </c>
      <c r="AB1877">
        <v>40</v>
      </c>
      <c r="AG1877" t="s">
        <v>95</v>
      </c>
      <c r="AX1877" t="s">
        <v>523</v>
      </c>
      <c r="AY1877" t="s">
        <v>523</v>
      </c>
      <c r="AZ1877" t="s">
        <v>1307</v>
      </c>
      <c r="BC1877">
        <v>2</v>
      </c>
      <c r="BH1877" t="s">
        <v>99</v>
      </c>
      <c r="BO1877" t="s">
        <v>111</v>
      </c>
      <c r="CD1877" t="s">
        <v>1526</v>
      </c>
      <c r="CE1877">
        <v>6954</v>
      </c>
      <c r="CF1877" t="s">
        <v>1527</v>
      </c>
      <c r="CG1877" t="s">
        <v>1528</v>
      </c>
      <c r="CH1877">
        <v>1979</v>
      </c>
    </row>
    <row r="1878" spans="1:86" hidden="1" x14ac:dyDescent="0.25">
      <c r="A1878">
        <v>330541</v>
      </c>
      <c r="B1878" t="s">
        <v>86</v>
      </c>
      <c r="D1878" t="s">
        <v>115</v>
      </c>
      <c r="K1878" t="s">
        <v>1523</v>
      </c>
      <c r="L1878" t="s">
        <v>1524</v>
      </c>
      <c r="M1878" t="s">
        <v>1511</v>
      </c>
      <c r="N1878" t="s">
        <v>1525</v>
      </c>
      <c r="W1878" t="s">
        <v>92</v>
      </c>
      <c r="X1878" t="s">
        <v>93</v>
      </c>
      <c r="Z1878" t="s">
        <v>137</v>
      </c>
      <c r="AA1878" t="s">
        <v>106</v>
      </c>
      <c r="AB1878">
        <v>40</v>
      </c>
      <c r="AG1878" t="s">
        <v>95</v>
      </c>
      <c r="AX1878" t="s">
        <v>523</v>
      </c>
      <c r="AY1878" t="s">
        <v>523</v>
      </c>
      <c r="AZ1878" t="s">
        <v>1307</v>
      </c>
      <c r="BC1878">
        <v>1</v>
      </c>
      <c r="BH1878" t="s">
        <v>99</v>
      </c>
      <c r="BO1878" t="s">
        <v>111</v>
      </c>
      <c r="CD1878" t="s">
        <v>1526</v>
      </c>
      <c r="CE1878">
        <v>6954</v>
      </c>
      <c r="CF1878" t="s">
        <v>1527</v>
      </c>
      <c r="CG1878" t="s">
        <v>1528</v>
      </c>
      <c r="CH1878">
        <v>1979</v>
      </c>
    </row>
    <row r="1879" spans="1:86" hidden="1" x14ac:dyDescent="0.25">
      <c r="A1879">
        <v>330541</v>
      </c>
      <c r="B1879" t="s">
        <v>86</v>
      </c>
      <c r="D1879" t="s">
        <v>115</v>
      </c>
      <c r="K1879" t="s">
        <v>1523</v>
      </c>
      <c r="L1879" t="s">
        <v>1524</v>
      </c>
      <c r="M1879" t="s">
        <v>1511</v>
      </c>
      <c r="N1879" t="s">
        <v>1525</v>
      </c>
      <c r="W1879" t="s">
        <v>92</v>
      </c>
      <c r="X1879" t="s">
        <v>93</v>
      </c>
      <c r="Z1879" t="s">
        <v>137</v>
      </c>
      <c r="AA1879" t="s">
        <v>106</v>
      </c>
      <c r="AB1879">
        <v>40</v>
      </c>
      <c r="AG1879" t="s">
        <v>95</v>
      </c>
      <c r="AX1879" t="s">
        <v>523</v>
      </c>
      <c r="AY1879" t="s">
        <v>523</v>
      </c>
      <c r="AZ1879" t="s">
        <v>1307</v>
      </c>
      <c r="BC1879">
        <v>0.25</v>
      </c>
      <c r="BH1879" t="s">
        <v>99</v>
      </c>
      <c r="BO1879" t="s">
        <v>111</v>
      </c>
      <c r="CD1879" t="s">
        <v>1526</v>
      </c>
      <c r="CE1879">
        <v>6954</v>
      </c>
      <c r="CF1879" t="s">
        <v>1527</v>
      </c>
      <c r="CG1879" t="s">
        <v>1528</v>
      </c>
      <c r="CH1879">
        <v>1979</v>
      </c>
    </row>
    <row r="1880" spans="1:86" hidden="1" x14ac:dyDescent="0.25">
      <c r="A1880">
        <v>330541</v>
      </c>
      <c r="B1880" t="s">
        <v>86</v>
      </c>
      <c r="D1880" t="s">
        <v>115</v>
      </c>
      <c r="K1880" t="s">
        <v>1523</v>
      </c>
      <c r="L1880" t="s">
        <v>1524</v>
      </c>
      <c r="M1880" t="s">
        <v>1511</v>
      </c>
      <c r="N1880" t="s">
        <v>1525</v>
      </c>
      <c r="W1880" t="s">
        <v>92</v>
      </c>
      <c r="X1880" t="s">
        <v>93</v>
      </c>
      <c r="Z1880" t="s">
        <v>137</v>
      </c>
      <c r="AA1880" t="s">
        <v>106</v>
      </c>
      <c r="AB1880">
        <v>40</v>
      </c>
      <c r="AG1880" t="s">
        <v>95</v>
      </c>
      <c r="AX1880" t="s">
        <v>523</v>
      </c>
      <c r="AY1880" t="s">
        <v>523</v>
      </c>
      <c r="AZ1880" t="s">
        <v>1307</v>
      </c>
      <c r="BC1880">
        <v>0.125</v>
      </c>
      <c r="BH1880" t="s">
        <v>99</v>
      </c>
      <c r="BO1880" t="s">
        <v>111</v>
      </c>
      <c r="CD1880" t="s">
        <v>1526</v>
      </c>
      <c r="CE1880">
        <v>6954</v>
      </c>
      <c r="CF1880" t="s">
        <v>1527</v>
      </c>
      <c r="CG1880" t="s">
        <v>1528</v>
      </c>
      <c r="CH1880">
        <v>1979</v>
      </c>
    </row>
    <row r="1881" spans="1:86" hidden="1" x14ac:dyDescent="0.25">
      <c r="A1881">
        <v>330541</v>
      </c>
      <c r="B1881" t="s">
        <v>86</v>
      </c>
      <c r="D1881" t="s">
        <v>115</v>
      </c>
      <c r="K1881" t="s">
        <v>1529</v>
      </c>
      <c r="L1881" t="s">
        <v>1530</v>
      </c>
      <c r="M1881" t="s">
        <v>1511</v>
      </c>
      <c r="N1881" t="s">
        <v>945</v>
      </c>
      <c r="W1881" t="s">
        <v>92</v>
      </c>
      <c r="X1881" t="s">
        <v>93</v>
      </c>
      <c r="Y1881">
        <v>3</v>
      </c>
      <c r="Z1881" t="s">
        <v>137</v>
      </c>
      <c r="AB1881">
        <v>5.0000000000000001E-3</v>
      </c>
      <c r="AG1881" t="s">
        <v>95</v>
      </c>
      <c r="AX1881" t="s">
        <v>1190</v>
      </c>
      <c r="AY1881" t="s">
        <v>1190</v>
      </c>
      <c r="AZ1881" t="s">
        <v>486</v>
      </c>
      <c r="BC1881">
        <v>0.16669999999999999</v>
      </c>
      <c r="BH1881" t="s">
        <v>99</v>
      </c>
      <c r="BO1881" t="s">
        <v>111</v>
      </c>
      <c r="CD1881" t="s">
        <v>719</v>
      </c>
      <c r="CE1881">
        <v>184006</v>
      </c>
      <c r="CF1881" t="s">
        <v>720</v>
      </c>
      <c r="CG1881" t="s">
        <v>721</v>
      </c>
      <c r="CH1881">
        <v>2020</v>
      </c>
    </row>
    <row r="1882" spans="1:86" hidden="1" x14ac:dyDescent="0.25">
      <c r="A1882">
        <v>330541</v>
      </c>
      <c r="B1882" t="s">
        <v>86</v>
      </c>
      <c r="D1882" t="s">
        <v>115</v>
      </c>
      <c r="K1882" t="s">
        <v>1529</v>
      </c>
      <c r="L1882" t="s">
        <v>1530</v>
      </c>
      <c r="M1882" t="s">
        <v>1511</v>
      </c>
      <c r="N1882" t="s">
        <v>945</v>
      </c>
      <c r="W1882" t="s">
        <v>92</v>
      </c>
      <c r="X1882" t="s">
        <v>93</v>
      </c>
      <c r="Y1882">
        <v>3</v>
      </c>
      <c r="Z1882" t="s">
        <v>137</v>
      </c>
      <c r="AB1882">
        <v>5.0000000000000001E-3</v>
      </c>
      <c r="AG1882" t="s">
        <v>95</v>
      </c>
      <c r="AX1882" t="s">
        <v>1190</v>
      </c>
      <c r="AY1882" t="s">
        <v>1531</v>
      </c>
      <c r="AZ1882" t="s">
        <v>486</v>
      </c>
      <c r="BC1882">
        <v>0.16669999999999999</v>
      </c>
      <c r="BH1882" t="s">
        <v>99</v>
      </c>
      <c r="BO1882" t="s">
        <v>111</v>
      </c>
      <c r="CD1882" t="s">
        <v>719</v>
      </c>
      <c r="CE1882">
        <v>184006</v>
      </c>
      <c r="CF1882" t="s">
        <v>720</v>
      </c>
      <c r="CG1882" t="s">
        <v>721</v>
      </c>
      <c r="CH1882">
        <v>2020</v>
      </c>
    </row>
    <row r="1883" spans="1:86" hidden="1" x14ac:dyDescent="0.25">
      <c r="A1883">
        <v>330541</v>
      </c>
      <c r="B1883" t="s">
        <v>86</v>
      </c>
      <c r="D1883" t="s">
        <v>115</v>
      </c>
      <c r="K1883" t="s">
        <v>1529</v>
      </c>
      <c r="L1883" t="s">
        <v>1530</v>
      </c>
      <c r="M1883" t="s">
        <v>1511</v>
      </c>
      <c r="N1883" t="s">
        <v>945</v>
      </c>
      <c r="W1883" t="s">
        <v>92</v>
      </c>
      <c r="X1883" t="s">
        <v>93</v>
      </c>
      <c r="Y1883">
        <v>3</v>
      </c>
      <c r="Z1883" t="s">
        <v>137</v>
      </c>
      <c r="AB1883">
        <v>5.0000000000000001E-3</v>
      </c>
      <c r="AG1883" t="s">
        <v>95</v>
      </c>
      <c r="AX1883" t="s">
        <v>1190</v>
      </c>
      <c r="AY1883" t="s">
        <v>1191</v>
      </c>
      <c r="AZ1883" t="s">
        <v>486</v>
      </c>
      <c r="BC1883">
        <v>1</v>
      </c>
      <c r="BH1883" t="s">
        <v>99</v>
      </c>
      <c r="BO1883" t="s">
        <v>111</v>
      </c>
      <c r="CD1883" t="s">
        <v>719</v>
      </c>
      <c r="CE1883">
        <v>184006</v>
      </c>
      <c r="CF1883" t="s">
        <v>720</v>
      </c>
      <c r="CG1883" t="s">
        <v>721</v>
      </c>
      <c r="CH1883">
        <v>2020</v>
      </c>
    </row>
    <row r="1884" spans="1:86" hidden="1" x14ac:dyDescent="0.25">
      <c r="A1884">
        <v>330541</v>
      </c>
      <c r="B1884" t="s">
        <v>86</v>
      </c>
      <c r="D1884" t="s">
        <v>115</v>
      </c>
      <c r="K1884" t="s">
        <v>1529</v>
      </c>
      <c r="L1884" t="s">
        <v>1530</v>
      </c>
      <c r="M1884" t="s">
        <v>1511</v>
      </c>
      <c r="N1884" t="s">
        <v>945</v>
      </c>
      <c r="W1884" t="s">
        <v>92</v>
      </c>
      <c r="X1884" t="s">
        <v>93</v>
      </c>
      <c r="Y1884">
        <v>3</v>
      </c>
      <c r="Z1884" t="s">
        <v>137</v>
      </c>
      <c r="AB1884">
        <v>5.0000000000000001E-3</v>
      </c>
      <c r="AG1884" t="s">
        <v>95</v>
      </c>
      <c r="AX1884" t="s">
        <v>1190</v>
      </c>
      <c r="AY1884" t="s">
        <v>1191</v>
      </c>
      <c r="AZ1884" t="s">
        <v>486</v>
      </c>
      <c r="BC1884">
        <v>1</v>
      </c>
      <c r="BH1884" t="s">
        <v>99</v>
      </c>
      <c r="BO1884" t="s">
        <v>111</v>
      </c>
      <c r="CD1884" t="s">
        <v>719</v>
      </c>
      <c r="CE1884">
        <v>184006</v>
      </c>
      <c r="CF1884" t="s">
        <v>720</v>
      </c>
      <c r="CG1884" t="s">
        <v>721</v>
      </c>
      <c r="CH1884">
        <v>2020</v>
      </c>
    </row>
    <row r="1885" spans="1:86" hidden="1" x14ac:dyDescent="0.25">
      <c r="A1885">
        <v>330541</v>
      </c>
      <c r="B1885" t="s">
        <v>86</v>
      </c>
      <c r="C1885" t="s">
        <v>183</v>
      </c>
      <c r="D1885" t="s">
        <v>115</v>
      </c>
      <c r="F1885">
        <v>99.5</v>
      </c>
      <c r="K1885" t="s">
        <v>1509</v>
      </c>
      <c r="L1885" t="s">
        <v>1510</v>
      </c>
      <c r="M1885" t="s">
        <v>1511</v>
      </c>
      <c r="N1885" t="s">
        <v>1064</v>
      </c>
      <c r="V1885" t="s">
        <v>91</v>
      </c>
      <c r="W1885" t="s">
        <v>92</v>
      </c>
      <c r="X1885" t="s">
        <v>93</v>
      </c>
      <c r="Y1885">
        <v>5</v>
      </c>
      <c r="Z1885" t="s">
        <v>94</v>
      </c>
      <c r="AB1885">
        <v>5.62</v>
      </c>
      <c r="AG1885" t="s">
        <v>95</v>
      </c>
      <c r="AX1885" t="s">
        <v>523</v>
      </c>
      <c r="AY1885" t="s">
        <v>523</v>
      </c>
      <c r="AZ1885" t="s">
        <v>486</v>
      </c>
      <c r="BC1885">
        <v>4</v>
      </c>
      <c r="BH1885" t="s">
        <v>99</v>
      </c>
      <c r="BO1885" t="s">
        <v>111</v>
      </c>
      <c r="CD1885" t="s">
        <v>1512</v>
      </c>
      <c r="CE1885">
        <v>153867</v>
      </c>
      <c r="CF1885" t="s">
        <v>1513</v>
      </c>
      <c r="CG1885" t="s">
        <v>1514</v>
      </c>
      <c r="CH1885">
        <v>2008</v>
      </c>
    </row>
    <row r="1886" spans="1:86" hidden="1" x14ac:dyDescent="0.25">
      <c r="A1886">
        <v>330541</v>
      </c>
      <c r="B1886" t="s">
        <v>86</v>
      </c>
      <c r="D1886" t="s">
        <v>115</v>
      </c>
      <c r="K1886" t="s">
        <v>1529</v>
      </c>
      <c r="L1886" t="s">
        <v>1530</v>
      </c>
      <c r="M1886" t="s">
        <v>1511</v>
      </c>
      <c r="N1886" t="s">
        <v>945</v>
      </c>
      <c r="W1886" t="s">
        <v>92</v>
      </c>
      <c r="X1886" t="s">
        <v>93</v>
      </c>
      <c r="Y1886">
        <v>3</v>
      </c>
      <c r="Z1886" t="s">
        <v>137</v>
      </c>
      <c r="AB1886">
        <v>5.0000000000000001E-3</v>
      </c>
      <c r="AG1886" t="s">
        <v>95</v>
      </c>
      <c r="AX1886" t="s">
        <v>1190</v>
      </c>
      <c r="AY1886" t="s">
        <v>1190</v>
      </c>
      <c r="AZ1886" t="s">
        <v>586</v>
      </c>
      <c r="BC1886">
        <v>0.16669999999999999</v>
      </c>
      <c r="BH1886" t="s">
        <v>99</v>
      </c>
      <c r="BO1886" t="s">
        <v>111</v>
      </c>
      <c r="CD1886" t="s">
        <v>719</v>
      </c>
      <c r="CE1886">
        <v>184006</v>
      </c>
      <c r="CF1886" t="s">
        <v>720</v>
      </c>
      <c r="CG1886" t="s">
        <v>721</v>
      </c>
      <c r="CH1886">
        <v>2020</v>
      </c>
    </row>
    <row r="1887" spans="1:86" hidden="1" x14ac:dyDescent="0.25">
      <c r="A1887">
        <v>330541</v>
      </c>
      <c r="B1887" t="s">
        <v>86</v>
      </c>
      <c r="D1887" t="s">
        <v>115</v>
      </c>
      <c r="F1887">
        <v>80</v>
      </c>
      <c r="K1887" t="s">
        <v>1532</v>
      </c>
      <c r="L1887" t="s">
        <v>1533</v>
      </c>
      <c r="M1887" t="s">
        <v>1511</v>
      </c>
      <c r="N1887" t="s">
        <v>945</v>
      </c>
      <c r="W1887" t="s">
        <v>92</v>
      </c>
      <c r="Z1887" t="s">
        <v>137</v>
      </c>
      <c r="AB1887">
        <v>0.04</v>
      </c>
      <c r="AG1887" t="s">
        <v>95</v>
      </c>
      <c r="AX1887" t="s">
        <v>523</v>
      </c>
      <c r="AY1887" t="s">
        <v>523</v>
      </c>
      <c r="BH1887" t="s">
        <v>627</v>
      </c>
      <c r="BO1887" t="s">
        <v>111</v>
      </c>
      <c r="CD1887" t="s">
        <v>1534</v>
      </c>
      <c r="CE1887">
        <v>7545</v>
      </c>
      <c r="CF1887" t="s">
        <v>1535</v>
      </c>
      <c r="CG1887" t="s">
        <v>1536</v>
      </c>
      <c r="CH1887">
        <v>1977</v>
      </c>
    </row>
    <row r="1888" spans="1:86" hidden="1" x14ac:dyDescent="0.25">
      <c r="A1888">
        <v>330541</v>
      </c>
      <c r="B1888" t="s">
        <v>86</v>
      </c>
      <c r="D1888" t="s">
        <v>115</v>
      </c>
      <c r="K1888" t="s">
        <v>1529</v>
      </c>
      <c r="L1888" t="s">
        <v>1530</v>
      </c>
      <c r="M1888" t="s">
        <v>1511</v>
      </c>
      <c r="N1888" t="s">
        <v>945</v>
      </c>
      <c r="W1888" t="s">
        <v>92</v>
      </c>
      <c r="X1888" t="s">
        <v>93</v>
      </c>
      <c r="Y1888">
        <v>3</v>
      </c>
      <c r="Z1888" t="s">
        <v>137</v>
      </c>
      <c r="AB1888">
        <v>5.0000000000000001E-3</v>
      </c>
      <c r="AG1888" t="s">
        <v>95</v>
      </c>
      <c r="AX1888" t="s">
        <v>523</v>
      </c>
      <c r="AY1888" t="s">
        <v>523</v>
      </c>
      <c r="BC1888">
        <v>1</v>
      </c>
      <c r="BH1888" t="s">
        <v>99</v>
      </c>
      <c r="BO1888" t="s">
        <v>111</v>
      </c>
      <c r="CD1888" t="s">
        <v>719</v>
      </c>
      <c r="CE1888">
        <v>184006</v>
      </c>
      <c r="CF1888" t="s">
        <v>720</v>
      </c>
      <c r="CG1888" t="s">
        <v>721</v>
      </c>
      <c r="CH1888">
        <v>2020</v>
      </c>
    </row>
    <row r="1889" spans="1:86" hidden="1" x14ac:dyDescent="0.25">
      <c r="A1889">
        <v>330541</v>
      </c>
      <c r="B1889" t="s">
        <v>86</v>
      </c>
      <c r="D1889" t="s">
        <v>115</v>
      </c>
      <c r="K1889" t="s">
        <v>1529</v>
      </c>
      <c r="L1889" t="s">
        <v>1530</v>
      </c>
      <c r="M1889" t="s">
        <v>1511</v>
      </c>
      <c r="N1889" t="s">
        <v>945</v>
      </c>
      <c r="W1889" t="s">
        <v>92</v>
      </c>
      <c r="X1889" t="s">
        <v>93</v>
      </c>
      <c r="Y1889">
        <v>3</v>
      </c>
      <c r="Z1889" t="s">
        <v>137</v>
      </c>
      <c r="AB1889">
        <v>5.0000000000000001E-3</v>
      </c>
      <c r="AG1889" t="s">
        <v>95</v>
      </c>
      <c r="AX1889" t="s">
        <v>1190</v>
      </c>
      <c r="AY1889" t="s">
        <v>1191</v>
      </c>
      <c r="BC1889">
        <v>1</v>
      </c>
      <c r="BH1889" t="s">
        <v>99</v>
      </c>
      <c r="BO1889" t="s">
        <v>111</v>
      </c>
      <c r="CD1889" t="s">
        <v>719</v>
      </c>
      <c r="CE1889">
        <v>184006</v>
      </c>
      <c r="CF1889" t="s">
        <v>720</v>
      </c>
      <c r="CG1889" t="s">
        <v>721</v>
      </c>
      <c r="CH1889">
        <v>2020</v>
      </c>
    </row>
    <row r="1890" spans="1:86" hidden="1" x14ac:dyDescent="0.25">
      <c r="A1890">
        <v>330541</v>
      </c>
      <c r="B1890" t="s">
        <v>86</v>
      </c>
      <c r="D1890" t="s">
        <v>115</v>
      </c>
      <c r="K1890" t="s">
        <v>1529</v>
      </c>
      <c r="L1890" t="s">
        <v>1530</v>
      </c>
      <c r="M1890" t="s">
        <v>1511</v>
      </c>
      <c r="N1890" t="s">
        <v>945</v>
      </c>
      <c r="W1890" t="s">
        <v>92</v>
      </c>
      <c r="X1890" t="s">
        <v>93</v>
      </c>
      <c r="Y1890">
        <v>3</v>
      </c>
      <c r="Z1890" t="s">
        <v>137</v>
      </c>
      <c r="AB1890">
        <v>5.0000000000000001E-3</v>
      </c>
      <c r="AG1890" t="s">
        <v>95</v>
      </c>
      <c r="AX1890" t="s">
        <v>1190</v>
      </c>
      <c r="AY1890" t="s">
        <v>1531</v>
      </c>
      <c r="BC1890">
        <v>0.16669999999999999</v>
      </c>
      <c r="BH1890" t="s">
        <v>99</v>
      </c>
      <c r="BO1890" t="s">
        <v>111</v>
      </c>
      <c r="CD1890" t="s">
        <v>719</v>
      </c>
      <c r="CE1890">
        <v>184006</v>
      </c>
      <c r="CF1890" t="s">
        <v>720</v>
      </c>
      <c r="CG1890" t="s">
        <v>721</v>
      </c>
      <c r="CH1890">
        <v>2020</v>
      </c>
    </row>
    <row r="1891" spans="1:86" hidden="1" x14ac:dyDescent="0.25">
      <c r="A1891">
        <v>330541</v>
      </c>
      <c r="B1891" t="s">
        <v>86</v>
      </c>
      <c r="D1891" t="s">
        <v>115</v>
      </c>
      <c r="K1891" t="s">
        <v>1529</v>
      </c>
      <c r="L1891" t="s">
        <v>1530</v>
      </c>
      <c r="M1891" t="s">
        <v>1511</v>
      </c>
      <c r="N1891" t="s">
        <v>945</v>
      </c>
      <c r="W1891" t="s">
        <v>92</v>
      </c>
      <c r="X1891" t="s">
        <v>93</v>
      </c>
      <c r="Y1891">
        <v>3</v>
      </c>
      <c r="Z1891" t="s">
        <v>137</v>
      </c>
      <c r="AB1891">
        <v>5.0000000000000001E-3</v>
      </c>
      <c r="AG1891" t="s">
        <v>95</v>
      </c>
      <c r="AX1891" t="s">
        <v>523</v>
      </c>
      <c r="AY1891" t="s">
        <v>523</v>
      </c>
      <c r="BC1891">
        <v>1</v>
      </c>
      <c r="BH1891" t="s">
        <v>99</v>
      </c>
      <c r="BO1891" t="s">
        <v>111</v>
      </c>
      <c r="CD1891" t="s">
        <v>719</v>
      </c>
      <c r="CE1891">
        <v>184006</v>
      </c>
      <c r="CF1891" t="s">
        <v>720</v>
      </c>
      <c r="CG1891" t="s">
        <v>721</v>
      </c>
      <c r="CH1891">
        <v>2020</v>
      </c>
    </row>
    <row r="1892" spans="1:86" hidden="1" x14ac:dyDescent="0.25">
      <c r="A1892">
        <v>330541</v>
      </c>
      <c r="B1892" t="s">
        <v>86</v>
      </c>
      <c r="D1892" t="s">
        <v>115</v>
      </c>
      <c r="K1892" t="s">
        <v>1529</v>
      </c>
      <c r="L1892" t="s">
        <v>1530</v>
      </c>
      <c r="M1892" t="s">
        <v>1511</v>
      </c>
      <c r="N1892" t="s">
        <v>945</v>
      </c>
      <c r="W1892" t="s">
        <v>92</v>
      </c>
      <c r="X1892" t="s">
        <v>93</v>
      </c>
      <c r="Y1892">
        <v>3</v>
      </c>
      <c r="Z1892" t="s">
        <v>137</v>
      </c>
      <c r="AB1892">
        <v>5.0000000000000001E-3</v>
      </c>
      <c r="AG1892" t="s">
        <v>95</v>
      </c>
      <c r="AX1892" t="s">
        <v>523</v>
      </c>
      <c r="AY1892" t="s">
        <v>523</v>
      </c>
      <c r="BC1892">
        <v>1</v>
      </c>
      <c r="BH1892" t="s">
        <v>99</v>
      </c>
      <c r="BO1892" t="s">
        <v>111</v>
      </c>
      <c r="CD1892" t="s">
        <v>719</v>
      </c>
      <c r="CE1892">
        <v>184006</v>
      </c>
      <c r="CF1892" t="s">
        <v>720</v>
      </c>
      <c r="CG1892" t="s">
        <v>721</v>
      </c>
      <c r="CH1892">
        <v>2020</v>
      </c>
    </row>
    <row r="1893" spans="1:86" hidden="1" x14ac:dyDescent="0.25">
      <c r="A1893">
        <v>330541</v>
      </c>
      <c r="B1893" t="s">
        <v>86</v>
      </c>
      <c r="D1893" t="s">
        <v>115</v>
      </c>
      <c r="K1893" t="s">
        <v>1529</v>
      </c>
      <c r="L1893" t="s">
        <v>1530</v>
      </c>
      <c r="M1893" t="s">
        <v>1511</v>
      </c>
      <c r="N1893" t="s">
        <v>945</v>
      </c>
      <c r="W1893" t="s">
        <v>92</v>
      </c>
      <c r="X1893" t="s">
        <v>93</v>
      </c>
      <c r="Y1893">
        <v>3</v>
      </c>
      <c r="Z1893" t="s">
        <v>137</v>
      </c>
      <c r="AB1893">
        <v>5.0000000000000001E-3</v>
      </c>
      <c r="AG1893" t="s">
        <v>95</v>
      </c>
      <c r="AX1893" t="s">
        <v>523</v>
      </c>
      <c r="AY1893" t="s">
        <v>523</v>
      </c>
      <c r="BC1893">
        <v>1</v>
      </c>
      <c r="BH1893" t="s">
        <v>99</v>
      </c>
      <c r="BO1893" t="s">
        <v>111</v>
      </c>
      <c r="CD1893" t="s">
        <v>719</v>
      </c>
      <c r="CE1893">
        <v>184006</v>
      </c>
      <c r="CF1893" t="s">
        <v>720</v>
      </c>
      <c r="CG1893" t="s">
        <v>721</v>
      </c>
      <c r="CH1893">
        <v>2020</v>
      </c>
    </row>
    <row r="1894" spans="1:86" hidden="1" x14ac:dyDescent="0.25">
      <c r="A1894">
        <v>330541</v>
      </c>
      <c r="B1894" t="s">
        <v>86</v>
      </c>
      <c r="D1894" t="s">
        <v>115</v>
      </c>
      <c r="K1894" t="s">
        <v>1529</v>
      </c>
      <c r="L1894" t="s">
        <v>1530</v>
      </c>
      <c r="M1894" t="s">
        <v>1511</v>
      </c>
      <c r="N1894" t="s">
        <v>945</v>
      </c>
      <c r="W1894" t="s">
        <v>92</v>
      </c>
      <c r="X1894" t="s">
        <v>93</v>
      </c>
      <c r="Y1894">
        <v>3</v>
      </c>
      <c r="Z1894" t="s">
        <v>137</v>
      </c>
      <c r="AB1894">
        <v>5.0000000000000001E-3</v>
      </c>
      <c r="AG1894" t="s">
        <v>95</v>
      </c>
      <c r="AX1894" t="s">
        <v>1190</v>
      </c>
      <c r="AY1894" t="s">
        <v>1191</v>
      </c>
      <c r="BC1894">
        <v>1</v>
      </c>
      <c r="BH1894" t="s">
        <v>99</v>
      </c>
      <c r="BO1894" t="s">
        <v>111</v>
      </c>
      <c r="CD1894" t="s">
        <v>719</v>
      </c>
      <c r="CE1894">
        <v>184006</v>
      </c>
      <c r="CF1894" t="s">
        <v>720</v>
      </c>
      <c r="CG1894" t="s">
        <v>721</v>
      </c>
      <c r="CH1894">
        <v>2020</v>
      </c>
    </row>
    <row r="1895" spans="1:86" hidden="1" x14ac:dyDescent="0.25">
      <c r="A1895">
        <v>330541</v>
      </c>
      <c r="B1895" t="s">
        <v>86</v>
      </c>
      <c r="D1895" t="s">
        <v>115</v>
      </c>
      <c r="K1895" t="s">
        <v>1529</v>
      </c>
      <c r="L1895" t="s">
        <v>1530</v>
      </c>
      <c r="M1895" t="s">
        <v>1511</v>
      </c>
      <c r="N1895" t="s">
        <v>945</v>
      </c>
      <c r="W1895" t="s">
        <v>92</v>
      </c>
      <c r="X1895" t="s">
        <v>93</v>
      </c>
      <c r="Y1895">
        <v>3</v>
      </c>
      <c r="Z1895" t="s">
        <v>137</v>
      </c>
      <c r="AB1895">
        <v>5.0000000000000001E-3</v>
      </c>
      <c r="AG1895" t="s">
        <v>95</v>
      </c>
      <c r="AX1895" t="s">
        <v>1190</v>
      </c>
      <c r="AY1895" t="s">
        <v>1531</v>
      </c>
      <c r="BC1895">
        <v>0.16669999999999999</v>
      </c>
      <c r="BH1895" t="s">
        <v>99</v>
      </c>
      <c r="BO1895" t="s">
        <v>111</v>
      </c>
      <c r="CD1895" t="s">
        <v>719</v>
      </c>
      <c r="CE1895">
        <v>184006</v>
      </c>
      <c r="CF1895" t="s">
        <v>720</v>
      </c>
      <c r="CG1895" t="s">
        <v>721</v>
      </c>
      <c r="CH1895">
        <v>2020</v>
      </c>
    </row>
    <row r="1896" spans="1:86" hidden="1" x14ac:dyDescent="0.25">
      <c r="A1896">
        <v>330541</v>
      </c>
      <c r="B1896" t="s">
        <v>86</v>
      </c>
      <c r="D1896" t="s">
        <v>115</v>
      </c>
      <c r="K1896" t="s">
        <v>1529</v>
      </c>
      <c r="L1896" t="s">
        <v>1530</v>
      </c>
      <c r="M1896" t="s">
        <v>1511</v>
      </c>
      <c r="N1896" t="s">
        <v>945</v>
      </c>
      <c r="W1896" t="s">
        <v>92</v>
      </c>
      <c r="X1896" t="s">
        <v>93</v>
      </c>
      <c r="Y1896">
        <v>3</v>
      </c>
      <c r="Z1896" t="s">
        <v>137</v>
      </c>
      <c r="AB1896">
        <v>5.0000000000000001E-3</v>
      </c>
      <c r="AG1896" t="s">
        <v>95</v>
      </c>
      <c r="AX1896" t="s">
        <v>1190</v>
      </c>
      <c r="AY1896" t="s">
        <v>1531</v>
      </c>
      <c r="BC1896">
        <v>0.16669999999999999</v>
      </c>
      <c r="BH1896" t="s">
        <v>99</v>
      </c>
      <c r="BO1896" t="s">
        <v>111</v>
      </c>
      <c r="CD1896" t="s">
        <v>719</v>
      </c>
      <c r="CE1896">
        <v>184006</v>
      </c>
      <c r="CF1896" t="s">
        <v>720</v>
      </c>
      <c r="CG1896" t="s">
        <v>721</v>
      </c>
      <c r="CH1896">
        <v>2020</v>
      </c>
    </row>
    <row r="1897" spans="1:86" hidden="1" x14ac:dyDescent="0.25">
      <c r="A1897">
        <v>330541</v>
      </c>
      <c r="B1897" t="s">
        <v>86</v>
      </c>
      <c r="D1897" t="s">
        <v>115</v>
      </c>
      <c r="F1897">
        <v>99</v>
      </c>
      <c r="K1897" t="s">
        <v>1537</v>
      </c>
      <c r="L1897" t="s">
        <v>1538</v>
      </c>
      <c r="M1897" t="s">
        <v>1539</v>
      </c>
      <c r="N1897" t="s">
        <v>945</v>
      </c>
      <c r="P1897">
        <v>4</v>
      </c>
      <c r="U1897" t="s">
        <v>979</v>
      </c>
      <c r="V1897" t="s">
        <v>91</v>
      </c>
      <c r="W1897" t="s">
        <v>92</v>
      </c>
      <c r="X1897" t="s">
        <v>93</v>
      </c>
      <c r="Y1897">
        <v>6</v>
      </c>
      <c r="Z1897" t="s">
        <v>94</v>
      </c>
      <c r="AA1897" t="s">
        <v>106</v>
      </c>
      <c r="AB1897">
        <v>1</v>
      </c>
      <c r="AG1897" t="s">
        <v>95</v>
      </c>
      <c r="AX1897" t="s">
        <v>926</v>
      </c>
      <c r="AY1897" t="s">
        <v>1540</v>
      </c>
      <c r="AZ1897" t="s">
        <v>214</v>
      </c>
      <c r="BC1897">
        <v>4</v>
      </c>
      <c r="BH1897" t="s">
        <v>99</v>
      </c>
      <c r="BO1897" t="s">
        <v>111</v>
      </c>
      <c r="CD1897" t="s">
        <v>1541</v>
      </c>
      <c r="CE1897">
        <v>79402</v>
      </c>
      <c r="CF1897" t="s">
        <v>1542</v>
      </c>
      <c r="CG1897" t="s">
        <v>1543</v>
      </c>
      <c r="CH1897">
        <v>2004</v>
      </c>
    </row>
    <row r="1898" spans="1:86" hidden="1" x14ac:dyDescent="0.25">
      <c r="A1898">
        <v>330541</v>
      </c>
      <c r="B1898" t="s">
        <v>86</v>
      </c>
      <c r="D1898" t="s">
        <v>115</v>
      </c>
      <c r="K1898" t="s">
        <v>1544</v>
      </c>
      <c r="L1898" t="s">
        <v>1545</v>
      </c>
      <c r="M1898" t="s">
        <v>1539</v>
      </c>
      <c r="N1898" t="s">
        <v>945</v>
      </c>
      <c r="V1898" t="s">
        <v>168</v>
      </c>
      <c r="W1898" t="s">
        <v>92</v>
      </c>
      <c r="X1898" t="s">
        <v>93</v>
      </c>
      <c r="Z1898" t="s">
        <v>137</v>
      </c>
      <c r="AB1898">
        <v>1.2</v>
      </c>
      <c r="AG1898" t="s">
        <v>95</v>
      </c>
      <c r="AX1898" t="s">
        <v>523</v>
      </c>
      <c r="AY1898" t="s">
        <v>523</v>
      </c>
      <c r="AZ1898" t="s">
        <v>475</v>
      </c>
      <c r="BC1898">
        <v>4</v>
      </c>
      <c r="BH1898" t="s">
        <v>99</v>
      </c>
      <c r="BO1898" t="s">
        <v>111</v>
      </c>
      <c r="CD1898" t="s">
        <v>1077</v>
      </c>
      <c r="CE1898">
        <v>6270</v>
      </c>
      <c r="CF1898" t="s">
        <v>1078</v>
      </c>
      <c r="CG1898" t="s">
        <v>1079</v>
      </c>
      <c r="CH1898">
        <v>1974</v>
      </c>
    </row>
    <row r="1899" spans="1:86" hidden="1" x14ac:dyDescent="0.25">
      <c r="A1899">
        <v>330541</v>
      </c>
      <c r="B1899" t="s">
        <v>86</v>
      </c>
      <c r="C1899" t="s">
        <v>183</v>
      </c>
      <c r="D1899" t="s">
        <v>87</v>
      </c>
      <c r="F1899">
        <v>99.8</v>
      </c>
      <c r="K1899" t="s">
        <v>1537</v>
      </c>
      <c r="L1899" t="s">
        <v>1538</v>
      </c>
      <c r="M1899" t="s">
        <v>1539</v>
      </c>
      <c r="N1899" t="s">
        <v>945</v>
      </c>
      <c r="P1899">
        <v>2</v>
      </c>
      <c r="U1899" t="s">
        <v>99</v>
      </c>
      <c r="V1899" t="s">
        <v>507</v>
      </c>
      <c r="W1899" t="s">
        <v>92</v>
      </c>
      <c r="X1899" t="s">
        <v>93</v>
      </c>
      <c r="Z1899" t="s">
        <v>94</v>
      </c>
      <c r="AB1899">
        <v>3.3</v>
      </c>
      <c r="AD1899">
        <v>2.4</v>
      </c>
      <c r="AF1899">
        <v>4.5</v>
      </c>
      <c r="AG1899" t="s">
        <v>95</v>
      </c>
      <c r="AX1899" t="s">
        <v>523</v>
      </c>
      <c r="AY1899" t="s">
        <v>523</v>
      </c>
      <c r="AZ1899" t="s">
        <v>475</v>
      </c>
      <c r="BC1899">
        <v>10</v>
      </c>
      <c r="BH1899" t="s">
        <v>99</v>
      </c>
      <c r="BO1899" t="s">
        <v>111</v>
      </c>
      <c r="CD1899" t="s">
        <v>1065</v>
      </c>
      <c r="CE1899">
        <v>20182</v>
      </c>
      <c r="CF1899" t="s">
        <v>1066</v>
      </c>
      <c r="CG1899" t="s">
        <v>1067</v>
      </c>
      <c r="CH1899">
        <v>1998</v>
      </c>
    </row>
    <row r="1900" spans="1:86" hidden="1" x14ac:dyDescent="0.25">
      <c r="A1900">
        <v>330541</v>
      </c>
      <c r="B1900" t="s">
        <v>86</v>
      </c>
      <c r="C1900" t="s">
        <v>183</v>
      </c>
      <c r="D1900" t="s">
        <v>87</v>
      </c>
      <c r="F1900">
        <v>99.8</v>
      </c>
      <c r="K1900" t="s">
        <v>1537</v>
      </c>
      <c r="L1900" t="s">
        <v>1538</v>
      </c>
      <c r="M1900" t="s">
        <v>1539</v>
      </c>
      <c r="N1900" t="s">
        <v>945</v>
      </c>
      <c r="P1900">
        <v>2</v>
      </c>
      <c r="U1900" t="s">
        <v>99</v>
      </c>
      <c r="V1900" t="s">
        <v>507</v>
      </c>
      <c r="W1900" t="s">
        <v>92</v>
      </c>
      <c r="X1900" t="s">
        <v>93</v>
      </c>
      <c r="Z1900" t="s">
        <v>94</v>
      </c>
      <c r="AB1900">
        <v>7.1</v>
      </c>
      <c r="AG1900" t="s">
        <v>95</v>
      </c>
      <c r="AX1900" t="s">
        <v>196</v>
      </c>
      <c r="AY1900" t="s">
        <v>928</v>
      </c>
      <c r="AZ1900" t="s">
        <v>486</v>
      </c>
      <c r="BC1900">
        <v>10</v>
      </c>
      <c r="BH1900" t="s">
        <v>99</v>
      </c>
      <c r="BO1900" t="s">
        <v>111</v>
      </c>
      <c r="CD1900" t="s">
        <v>1065</v>
      </c>
      <c r="CE1900">
        <v>20182</v>
      </c>
      <c r="CF1900" t="s">
        <v>1066</v>
      </c>
      <c r="CG1900" t="s">
        <v>1067</v>
      </c>
      <c r="CH1900">
        <v>1998</v>
      </c>
    </row>
    <row r="1901" spans="1:86" hidden="1" x14ac:dyDescent="0.25">
      <c r="A1901">
        <v>330541</v>
      </c>
      <c r="B1901" t="s">
        <v>86</v>
      </c>
      <c r="C1901" t="s">
        <v>183</v>
      </c>
      <c r="D1901" t="s">
        <v>87</v>
      </c>
      <c r="F1901">
        <v>99.8</v>
      </c>
      <c r="K1901" t="s">
        <v>1537</v>
      </c>
      <c r="L1901" t="s">
        <v>1538</v>
      </c>
      <c r="M1901" t="s">
        <v>1539</v>
      </c>
      <c r="N1901" t="s">
        <v>945</v>
      </c>
      <c r="P1901">
        <v>2</v>
      </c>
      <c r="U1901" t="s">
        <v>99</v>
      </c>
      <c r="V1901" t="s">
        <v>507</v>
      </c>
      <c r="W1901" t="s">
        <v>92</v>
      </c>
      <c r="X1901" t="s">
        <v>93</v>
      </c>
      <c r="Z1901" t="s">
        <v>94</v>
      </c>
      <c r="AB1901">
        <v>3.4</v>
      </c>
      <c r="AG1901" t="s">
        <v>95</v>
      </c>
      <c r="AX1901" t="s">
        <v>523</v>
      </c>
      <c r="AY1901" t="s">
        <v>1013</v>
      </c>
      <c r="AZ1901" t="s">
        <v>486</v>
      </c>
      <c r="BC1901">
        <v>10</v>
      </c>
      <c r="BH1901" t="s">
        <v>99</v>
      </c>
      <c r="BO1901" t="s">
        <v>111</v>
      </c>
      <c r="CD1901" t="s">
        <v>1065</v>
      </c>
      <c r="CE1901">
        <v>20182</v>
      </c>
      <c r="CF1901" t="s">
        <v>1066</v>
      </c>
      <c r="CG1901" t="s">
        <v>1067</v>
      </c>
      <c r="CH1901">
        <v>1998</v>
      </c>
    </row>
    <row r="1902" spans="1:86" hidden="1" x14ac:dyDescent="0.25">
      <c r="A1902">
        <v>330541</v>
      </c>
      <c r="B1902" t="s">
        <v>86</v>
      </c>
      <c r="C1902" t="s">
        <v>183</v>
      </c>
      <c r="D1902" t="s">
        <v>87</v>
      </c>
      <c r="F1902">
        <v>99.8</v>
      </c>
      <c r="K1902" t="s">
        <v>1537</v>
      </c>
      <c r="L1902" t="s">
        <v>1538</v>
      </c>
      <c r="M1902" t="s">
        <v>1539</v>
      </c>
      <c r="N1902" t="s">
        <v>945</v>
      </c>
      <c r="P1902">
        <v>2</v>
      </c>
      <c r="U1902" t="s">
        <v>99</v>
      </c>
      <c r="V1902" t="s">
        <v>507</v>
      </c>
      <c r="W1902" t="s">
        <v>92</v>
      </c>
      <c r="X1902" t="s">
        <v>93</v>
      </c>
      <c r="Z1902" t="s">
        <v>94</v>
      </c>
      <c r="AB1902">
        <v>3.4</v>
      </c>
      <c r="AG1902" t="s">
        <v>95</v>
      </c>
      <c r="AX1902" t="s">
        <v>196</v>
      </c>
      <c r="AY1902" t="s">
        <v>928</v>
      </c>
      <c r="AZ1902" t="s">
        <v>586</v>
      </c>
      <c r="BC1902">
        <v>10</v>
      </c>
      <c r="BH1902" t="s">
        <v>99</v>
      </c>
      <c r="BO1902" t="s">
        <v>111</v>
      </c>
      <c r="CD1902" t="s">
        <v>1065</v>
      </c>
      <c r="CE1902">
        <v>20182</v>
      </c>
      <c r="CF1902" t="s">
        <v>1066</v>
      </c>
      <c r="CG1902" t="s">
        <v>1067</v>
      </c>
      <c r="CH1902">
        <v>1998</v>
      </c>
    </row>
    <row r="1903" spans="1:86" hidden="1" x14ac:dyDescent="0.25">
      <c r="A1903">
        <v>330541</v>
      </c>
      <c r="B1903" t="s">
        <v>86</v>
      </c>
      <c r="C1903" t="s">
        <v>183</v>
      </c>
      <c r="D1903" t="s">
        <v>87</v>
      </c>
      <c r="F1903">
        <v>99.8</v>
      </c>
      <c r="K1903" t="s">
        <v>1537</v>
      </c>
      <c r="L1903" t="s">
        <v>1538</v>
      </c>
      <c r="M1903" t="s">
        <v>1539</v>
      </c>
      <c r="N1903" t="s">
        <v>945</v>
      </c>
      <c r="P1903">
        <v>2</v>
      </c>
      <c r="U1903" t="s">
        <v>99</v>
      </c>
      <c r="V1903" t="s">
        <v>507</v>
      </c>
      <c r="W1903" t="s">
        <v>92</v>
      </c>
      <c r="X1903" t="s">
        <v>93</v>
      </c>
      <c r="Z1903" t="s">
        <v>94</v>
      </c>
      <c r="AA1903" t="s">
        <v>234</v>
      </c>
      <c r="AB1903">
        <v>3.4</v>
      </c>
      <c r="AG1903" t="s">
        <v>95</v>
      </c>
      <c r="AX1903" t="s">
        <v>523</v>
      </c>
      <c r="AY1903" t="s">
        <v>1013</v>
      </c>
      <c r="AZ1903" t="s">
        <v>586</v>
      </c>
      <c r="BC1903">
        <v>10</v>
      </c>
      <c r="BH1903" t="s">
        <v>99</v>
      </c>
      <c r="BO1903" t="s">
        <v>111</v>
      </c>
      <c r="CD1903" t="s">
        <v>1065</v>
      </c>
      <c r="CE1903">
        <v>20182</v>
      </c>
      <c r="CF1903" t="s">
        <v>1066</v>
      </c>
      <c r="CG1903" t="s">
        <v>1067</v>
      </c>
      <c r="CH1903">
        <v>1998</v>
      </c>
    </row>
    <row r="1904" spans="1:86" hidden="1" x14ac:dyDescent="0.25">
      <c r="A1904">
        <v>330541</v>
      </c>
      <c r="B1904" t="s">
        <v>86</v>
      </c>
      <c r="C1904" t="s">
        <v>183</v>
      </c>
      <c r="D1904" t="s">
        <v>87</v>
      </c>
      <c r="F1904">
        <v>99.8</v>
      </c>
      <c r="K1904" t="s">
        <v>1537</v>
      </c>
      <c r="L1904" t="s">
        <v>1538</v>
      </c>
      <c r="M1904" t="s">
        <v>1539</v>
      </c>
      <c r="N1904" t="s">
        <v>945</v>
      </c>
      <c r="P1904">
        <v>2</v>
      </c>
      <c r="U1904" t="s">
        <v>99</v>
      </c>
      <c r="V1904" t="s">
        <v>507</v>
      </c>
      <c r="W1904" t="s">
        <v>92</v>
      </c>
      <c r="X1904" t="s">
        <v>93</v>
      </c>
      <c r="Z1904" t="s">
        <v>94</v>
      </c>
      <c r="AA1904" t="s">
        <v>499</v>
      </c>
      <c r="AB1904">
        <v>7.1</v>
      </c>
      <c r="AG1904" t="s">
        <v>95</v>
      </c>
      <c r="AX1904" t="s">
        <v>523</v>
      </c>
      <c r="AY1904" t="s">
        <v>523</v>
      </c>
      <c r="AZ1904" t="s">
        <v>626</v>
      </c>
      <c r="BC1904">
        <v>10</v>
      </c>
      <c r="BH1904" t="s">
        <v>99</v>
      </c>
      <c r="BO1904" t="s">
        <v>111</v>
      </c>
      <c r="CD1904" t="s">
        <v>1065</v>
      </c>
      <c r="CE1904">
        <v>20182</v>
      </c>
      <c r="CF1904" t="s">
        <v>1066</v>
      </c>
      <c r="CG1904" t="s">
        <v>1067</v>
      </c>
      <c r="CH1904">
        <v>1998</v>
      </c>
    </row>
    <row r="1905" spans="1:86" hidden="1" x14ac:dyDescent="0.25">
      <c r="A1905">
        <v>330541</v>
      </c>
      <c r="B1905" t="s">
        <v>86</v>
      </c>
      <c r="C1905" t="s">
        <v>183</v>
      </c>
      <c r="D1905" t="s">
        <v>87</v>
      </c>
      <c r="F1905">
        <v>99.8</v>
      </c>
      <c r="K1905" t="s">
        <v>1537</v>
      </c>
      <c r="L1905" t="s">
        <v>1538</v>
      </c>
      <c r="M1905" t="s">
        <v>1539</v>
      </c>
      <c r="N1905" t="s">
        <v>945</v>
      </c>
      <c r="P1905">
        <v>2</v>
      </c>
      <c r="U1905" t="s">
        <v>99</v>
      </c>
      <c r="V1905" t="s">
        <v>507</v>
      </c>
      <c r="W1905" t="s">
        <v>92</v>
      </c>
      <c r="X1905" t="s">
        <v>93</v>
      </c>
      <c r="Z1905" t="s">
        <v>94</v>
      </c>
      <c r="AB1905"/>
      <c r="AD1905">
        <v>1.9</v>
      </c>
      <c r="AF1905">
        <v>3.4</v>
      </c>
      <c r="AG1905" t="s">
        <v>95</v>
      </c>
      <c r="AX1905" t="s">
        <v>912</v>
      </c>
      <c r="AY1905" t="s">
        <v>1546</v>
      </c>
      <c r="BC1905">
        <v>10</v>
      </c>
      <c r="BH1905" t="s">
        <v>99</v>
      </c>
      <c r="BO1905" t="s">
        <v>111</v>
      </c>
      <c r="CD1905" t="s">
        <v>1065</v>
      </c>
      <c r="CE1905">
        <v>20182</v>
      </c>
      <c r="CF1905" t="s">
        <v>1066</v>
      </c>
      <c r="CG1905" t="s">
        <v>1067</v>
      </c>
      <c r="CH1905">
        <v>1998</v>
      </c>
    </row>
    <row r="1906" spans="1:86" hidden="1" x14ac:dyDescent="0.25">
      <c r="A1906">
        <v>330541</v>
      </c>
      <c r="B1906" t="s">
        <v>86</v>
      </c>
      <c r="D1906" t="s">
        <v>115</v>
      </c>
      <c r="K1906" t="s">
        <v>1547</v>
      </c>
      <c r="L1906" t="s">
        <v>1548</v>
      </c>
      <c r="M1906" t="s">
        <v>1549</v>
      </c>
      <c r="V1906" t="s">
        <v>91</v>
      </c>
      <c r="W1906" t="s">
        <v>220</v>
      </c>
      <c r="X1906" t="s">
        <v>93</v>
      </c>
      <c r="Y1906">
        <v>12</v>
      </c>
      <c r="Z1906" t="s">
        <v>137</v>
      </c>
      <c r="AB1906">
        <v>5.9999999999999997E-7</v>
      </c>
      <c r="AG1906" t="s">
        <v>95</v>
      </c>
      <c r="AX1906" t="s">
        <v>108</v>
      </c>
      <c r="AY1906" t="s">
        <v>150</v>
      </c>
      <c r="AZ1906" t="s">
        <v>138</v>
      </c>
      <c r="BC1906">
        <v>5</v>
      </c>
      <c r="BH1906" t="s">
        <v>99</v>
      </c>
      <c r="BO1906" t="s">
        <v>111</v>
      </c>
      <c r="CD1906" t="s">
        <v>1550</v>
      </c>
      <c r="CE1906">
        <v>174258</v>
      </c>
      <c r="CF1906" t="s">
        <v>1551</v>
      </c>
      <c r="CG1906" t="s">
        <v>1552</v>
      </c>
      <c r="CH1906">
        <v>1986</v>
      </c>
    </row>
    <row r="1907" spans="1:86" hidden="1" x14ac:dyDescent="0.25">
      <c r="A1907">
        <v>330541</v>
      </c>
      <c r="B1907" t="s">
        <v>86</v>
      </c>
      <c r="D1907" t="s">
        <v>115</v>
      </c>
      <c r="K1907" t="s">
        <v>1553</v>
      </c>
      <c r="L1907" t="s">
        <v>1554</v>
      </c>
      <c r="M1907" t="s">
        <v>1549</v>
      </c>
      <c r="V1907" t="s">
        <v>91</v>
      </c>
      <c r="W1907" t="s">
        <v>107</v>
      </c>
      <c r="X1907" t="s">
        <v>93</v>
      </c>
      <c r="Y1907">
        <v>6</v>
      </c>
      <c r="Z1907" t="s">
        <v>137</v>
      </c>
      <c r="AB1907">
        <v>1.6000000000000001E-3</v>
      </c>
      <c r="AG1907" t="s">
        <v>95</v>
      </c>
      <c r="AX1907" t="s">
        <v>108</v>
      </c>
      <c r="AY1907" t="s">
        <v>311</v>
      </c>
      <c r="AZ1907" t="s">
        <v>203</v>
      </c>
      <c r="BC1907">
        <v>0.41670000000000001</v>
      </c>
      <c r="BH1907" t="s">
        <v>99</v>
      </c>
      <c r="BO1907" t="s">
        <v>111</v>
      </c>
      <c r="CD1907" t="s">
        <v>1555</v>
      </c>
      <c r="CE1907">
        <v>78651</v>
      </c>
      <c r="CF1907" t="s">
        <v>1556</v>
      </c>
      <c r="CG1907" t="s">
        <v>1557</v>
      </c>
      <c r="CH1907">
        <v>2003</v>
      </c>
    </row>
    <row r="1908" spans="1:86" hidden="1" x14ac:dyDescent="0.25">
      <c r="A1908">
        <v>330541</v>
      </c>
      <c r="B1908" t="s">
        <v>86</v>
      </c>
      <c r="D1908" t="s">
        <v>115</v>
      </c>
      <c r="K1908" t="s">
        <v>1558</v>
      </c>
      <c r="L1908" t="s">
        <v>1554</v>
      </c>
      <c r="M1908" t="s">
        <v>1549</v>
      </c>
      <c r="V1908" t="s">
        <v>91</v>
      </c>
      <c r="W1908" t="s">
        <v>107</v>
      </c>
      <c r="X1908" t="s">
        <v>93</v>
      </c>
      <c r="Y1908">
        <v>6</v>
      </c>
      <c r="Z1908" t="s">
        <v>137</v>
      </c>
      <c r="AB1908">
        <v>2E-3</v>
      </c>
      <c r="AG1908" t="s">
        <v>95</v>
      </c>
      <c r="AX1908" t="s">
        <v>108</v>
      </c>
      <c r="AY1908" t="s">
        <v>311</v>
      </c>
      <c r="AZ1908" t="s">
        <v>203</v>
      </c>
      <c r="BC1908">
        <v>0.41670000000000001</v>
      </c>
      <c r="BH1908" t="s">
        <v>99</v>
      </c>
      <c r="BO1908" t="s">
        <v>111</v>
      </c>
      <c r="CD1908" t="s">
        <v>1555</v>
      </c>
      <c r="CE1908">
        <v>78651</v>
      </c>
      <c r="CF1908" t="s">
        <v>1556</v>
      </c>
      <c r="CG1908" t="s">
        <v>1557</v>
      </c>
      <c r="CH1908">
        <v>2003</v>
      </c>
    </row>
    <row r="1909" spans="1:86" hidden="1" x14ac:dyDescent="0.25">
      <c r="A1909">
        <v>330541</v>
      </c>
      <c r="B1909" t="s">
        <v>86</v>
      </c>
      <c r="D1909" t="s">
        <v>115</v>
      </c>
      <c r="K1909" t="s">
        <v>1559</v>
      </c>
      <c r="L1909" t="s">
        <v>1560</v>
      </c>
      <c r="M1909" t="s">
        <v>1549</v>
      </c>
      <c r="V1909" t="s">
        <v>91</v>
      </c>
      <c r="W1909" t="s">
        <v>107</v>
      </c>
      <c r="X1909" t="s">
        <v>93</v>
      </c>
      <c r="Y1909">
        <v>6</v>
      </c>
      <c r="Z1909" t="s">
        <v>137</v>
      </c>
      <c r="AB1909">
        <v>1.5E-3</v>
      </c>
      <c r="AG1909" t="s">
        <v>95</v>
      </c>
      <c r="AX1909" t="s">
        <v>108</v>
      </c>
      <c r="AY1909" t="s">
        <v>311</v>
      </c>
      <c r="AZ1909" t="s">
        <v>203</v>
      </c>
      <c r="BC1909">
        <v>0.41670000000000001</v>
      </c>
      <c r="BH1909" t="s">
        <v>99</v>
      </c>
      <c r="BO1909" t="s">
        <v>111</v>
      </c>
      <c r="CD1909" t="s">
        <v>1555</v>
      </c>
      <c r="CE1909">
        <v>78651</v>
      </c>
      <c r="CF1909" t="s">
        <v>1556</v>
      </c>
      <c r="CG1909" t="s">
        <v>1557</v>
      </c>
      <c r="CH1909">
        <v>2003</v>
      </c>
    </row>
    <row r="1910" spans="1:86" hidden="1" x14ac:dyDescent="0.25">
      <c r="A1910">
        <v>330541</v>
      </c>
      <c r="B1910" t="s">
        <v>86</v>
      </c>
      <c r="D1910" t="s">
        <v>115</v>
      </c>
      <c r="K1910" t="s">
        <v>1559</v>
      </c>
      <c r="L1910" t="s">
        <v>1560</v>
      </c>
      <c r="M1910" t="s">
        <v>1549</v>
      </c>
      <c r="V1910" t="s">
        <v>91</v>
      </c>
      <c r="W1910" t="s">
        <v>107</v>
      </c>
      <c r="X1910" t="s">
        <v>93</v>
      </c>
      <c r="Y1910">
        <v>6</v>
      </c>
      <c r="Z1910" t="s">
        <v>137</v>
      </c>
      <c r="AB1910">
        <v>1E-3</v>
      </c>
      <c r="AG1910" t="s">
        <v>95</v>
      </c>
      <c r="AX1910" t="s">
        <v>108</v>
      </c>
      <c r="AY1910" t="s">
        <v>311</v>
      </c>
      <c r="AZ1910" t="s">
        <v>203</v>
      </c>
      <c r="BC1910">
        <v>0.41670000000000001</v>
      </c>
      <c r="BH1910" t="s">
        <v>99</v>
      </c>
      <c r="BO1910" t="s">
        <v>111</v>
      </c>
      <c r="CD1910" t="s">
        <v>1555</v>
      </c>
      <c r="CE1910">
        <v>78651</v>
      </c>
      <c r="CF1910" t="s">
        <v>1556</v>
      </c>
      <c r="CG1910" t="s">
        <v>1557</v>
      </c>
      <c r="CH1910">
        <v>2003</v>
      </c>
    </row>
    <row r="1911" spans="1:86" hidden="1" x14ac:dyDescent="0.25">
      <c r="A1911">
        <v>330541</v>
      </c>
      <c r="B1911" t="s">
        <v>86</v>
      </c>
      <c r="D1911" t="s">
        <v>115</v>
      </c>
      <c r="K1911" t="s">
        <v>1561</v>
      </c>
      <c r="L1911" t="s">
        <v>1554</v>
      </c>
      <c r="M1911" t="s">
        <v>1549</v>
      </c>
      <c r="V1911" t="s">
        <v>91</v>
      </c>
      <c r="W1911" t="s">
        <v>107</v>
      </c>
      <c r="X1911" t="s">
        <v>93</v>
      </c>
      <c r="Y1911">
        <v>6</v>
      </c>
      <c r="Z1911" t="s">
        <v>137</v>
      </c>
      <c r="AB1911">
        <v>2.2000000000000001E-3</v>
      </c>
      <c r="AG1911" t="s">
        <v>95</v>
      </c>
      <c r="AX1911" t="s">
        <v>108</v>
      </c>
      <c r="AY1911" t="s">
        <v>311</v>
      </c>
      <c r="AZ1911" t="s">
        <v>203</v>
      </c>
      <c r="BC1911">
        <v>0.41670000000000001</v>
      </c>
      <c r="BH1911" t="s">
        <v>99</v>
      </c>
      <c r="BO1911" t="s">
        <v>111</v>
      </c>
      <c r="CD1911" t="s">
        <v>1555</v>
      </c>
      <c r="CE1911">
        <v>78651</v>
      </c>
      <c r="CF1911" t="s">
        <v>1556</v>
      </c>
      <c r="CG1911" t="s">
        <v>1557</v>
      </c>
      <c r="CH1911">
        <v>2003</v>
      </c>
    </row>
    <row r="1912" spans="1:86" hidden="1" x14ac:dyDescent="0.25">
      <c r="A1912">
        <v>330541</v>
      </c>
      <c r="B1912" t="s">
        <v>86</v>
      </c>
      <c r="C1912" t="s">
        <v>158</v>
      </c>
      <c r="D1912" t="s">
        <v>115</v>
      </c>
      <c r="K1912" t="s">
        <v>1562</v>
      </c>
      <c r="L1912" t="s">
        <v>1563</v>
      </c>
      <c r="M1912" t="s">
        <v>1549</v>
      </c>
      <c r="N1912" t="s">
        <v>910</v>
      </c>
      <c r="V1912" t="s">
        <v>91</v>
      </c>
      <c r="W1912" t="s">
        <v>107</v>
      </c>
      <c r="X1912" t="s">
        <v>93</v>
      </c>
      <c r="Z1912" t="s">
        <v>94</v>
      </c>
      <c r="AB1912">
        <v>24.396999999999998</v>
      </c>
      <c r="AD1912">
        <v>21.959</v>
      </c>
      <c r="AF1912">
        <v>27.539000000000001</v>
      </c>
      <c r="AG1912" t="s">
        <v>95</v>
      </c>
      <c r="AX1912" t="s">
        <v>912</v>
      </c>
      <c r="AY1912" t="s">
        <v>1564</v>
      </c>
      <c r="AZ1912" t="s">
        <v>214</v>
      </c>
      <c r="BC1912">
        <v>0.83330000000000004</v>
      </c>
      <c r="BH1912" t="s">
        <v>99</v>
      </c>
      <c r="BO1912" t="s">
        <v>111</v>
      </c>
      <c r="CD1912" t="s">
        <v>1014</v>
      </c>
      <c r="CE1912">
        <v>102068</v>
      </c>
      <c r="CF1912" t="s">
        <v>1015</v>
      </c>
      <c r="CG1912" t="s">
        <v>1016</v>
      </c>
      <c r="CH1912">
        <v>2005</v>
      </c>
    </row>
    <row r="1913" spans="1:86" hidden="1" x14ac:dyDescent="0.25">
      <c r="A1913">
        <v>330541</v>
      </c>
      <c r="B1913" t="s">
        <v>86</v>
      </c>
      <c r="D1913" t="s">
        <v>115</v>
      </c>
      <c r="K1913" t="s">
        <v>1559</v>
      </c>
      <c r="L1913" t="s">
        <v>1560</v>
      </c>
      <c r="M1913" t="s">
        <v>1549</v>
      </c>
      <c r="V1913" t="s">
        <v>91</v>
      </c>
      <c r="W1913" t="s">
        <v>107</v>
      </c>
      <c r="X1913" t="s">
        <v>93</v>
      </c>
      <c r="Y1913">
        <v>6</v>
      </c>
      <c r="Z1913" t="s">
        <v>137</v>
      </c>
      <c r="AB1913">
        <v>3.7000000000000002E-3</v>
      </c>
      <c r="AG1913" t="s">
        <v>95</v>
      </c>
      <c r="AX1913" t="s">
        <v>108</v>
      </c>
      <c r="AY1913" t="s">
        <v>311</v>
      </c>
      <c r="AZ1913" t="s">
        <v>214</v>
      </c>
      <c r="BC1913">
        <v>0.41670000000000001</v>
      </c>
      <c r="BH1913" t="s">
        <v>99</v>
      </c>
      <c r="BO1913" t="s">
        <v>111</v>
      </c>
      <c r="CD1913" t="s">
        <v>1555</v>
      </c>
      <c r="CE1913">
        <v>78651</v>
      </c>
      <c r="CF1913" t="s">
        <v>1556</v>
      </c>
      <c r="CG1913" t="s">
        <v>1557</v>
      </c>
      <c r="CH1913">
        <v>2003</v>
      </c>
    </row>
    <row r="1914" spans="1:86" hidden="1" x14ac:dyDescent="0.25">
      <c r="A1914">
        <v>330541</v>
      </c>
      <c r="B1914" t="s">
        <v>86</v>
      </c>
      <c r="D1914" t="s">
        <v>115</v>
      </c>
      <c r="K1914" t="s">
        <v>1559</v>
      </c>
      <c r="L1914" t="s">
        <v>1560</v>
      </c>
      <c r="M1914" t="s">
        <v>1549</v>
      </c>
      <c r="V1914" t="s">
        <v>91</v>
      </c>
      <c r="W1914" t="s">
        <v>107</v>
      </c>
      <c r="X1914" t="s">
        <v>93</v>
      </c>
      <c r="Y1914">
        <v>6</v>
      </c>
      <c r="Z1914" t="s">
        <v>137</v>
      </c>
      <c r="AB1914">
        <v>2.8999999999999998E-3</v>
      </c>
      <c r="AG1914" t="s">
        <v>95</v>
      </c>
      <c r="AX1914" t="s">
        <v>108</v>
      </c>
      <c r="AY1914" t="s">
        <v>311</v>
      </c>
      <c r="AZ1914" t="s">
        <v>214</v>
      </c>
      <c r="BC1914">
        <v>0.41670000000000001</v>
      </c>
      <c r="BH1914" t="s">
        <v>99</v>
      </c>
      <c r="BO1914" t="s">
        <v>111</v>
      </c>
      <c r="CD1914" t="s">
        <v>1555</v>
      </c>
      <c r="CE1914">
        <v>78651</v>
      </c>
      <c r="CF1914" t="s">
        <v>1556</v>
      </c>
      <c r="CG1914" t="s">
        <v>1557</v>
      </c>
      <c r="CH1914">
        <v>2003</v>
      </c>
    </row>
    <row r="1915" spans="1:86" hidden="1" x14ac:dyDescent="0.25">
      <c r="A1915">
        <v>330541</v>
      </c>
      <c r="B1915" t="s">
        <v>86</v>
      </c>
      <c r="D1915" t="s">
        <v>115</v>
      </c>
      <c r="K1915" t="s">
        <v>1553</v>
      </c>
      <c r="L1915" t="s">
        <v>1554</v>
      </c>
      <c r="M1915" t="s">
        <v>1549</v>
      </c>
      <c r="V1915" t="s">
        <v>91</v>
      </c>
      <c r="W1915" t="s">
        <v>107</v>
      </c>
      <c r="X1915" t="s">
        <v>93</v>
      </c>
      <c r="Y1915">
        <v>6</v>
      </c>
      <c r="Z1915" t="s">
        <v>137</v>
      </c>
      <c r="AB1915">
        <v>4.3E-3</v>
      </c>
      <c r="AG1915" t="s">
        <v>95</v>
      </c>
      <c r="AX1915" t="s">
        <v>108</v>
      </c>
      <c r="AY1915" t="s">
        <v>311</v>
      </c>
      <c r="AZ1915" t="s">
        <v>214</v>
      </c>
      <c r="BC1915">
        <v>0.41670000000000001</v>
      </c>
      <c r="BH1915" t="s">
        <v>99</v>
      </c>
      <c r="BO1915" t="s">
        <v>111</v>
      </c>
      <c r="CD1915" t="s">
        <v>1555</v>
      </c>
      <c r="CE1915">
        <v>78651</v>
      </c>
      <c r="CF1915" t="s">
        <v>1556</v>
      </c>
      <c r="CG1915" t="s">
        <v>1557</v>
      </c>
      <c r="CH1915">
        <v>2003</v>
      </c>
    </row>
    <row r="1916" spans="1:86" hidden="1" x14ac:dyDescent="0.25">
      <c r="A1916">
        <v>330541</v>
      </c>
      <c r="B1916" t="s">
        <v>86</v>
      </c>
      <c r="D1916" t="s">
        <v>115</v>
      </c>
      <c r="K1916" t="s">
        <v>1561</v>
      </c>
      <c r="L1916" t="s">
        <v>1554</v>
      </c>
      <c r="M1916" t="s">
        <v>1549</v>
      </c>
      <c r="V1916" t="s">
        <v>91</v>
      </c>
      <c r="W1916" t="s">
        <v>107</v>
      </c>
      <c r="X1916" t="s">
        <v>93</v>
      </c>
      <c r="Y1916">
        <v>6</v>
      </c>
      <c r="Z1916" t="s">
        <v>137</v>
      </c>
      <c r="AB1916">
        <v>5.8999999999999999E-3</v>
      </c>
      <c r="AG1916" t="s">
        <v>95</v>
      </c>
      <c r="AX1916" t="s">
        <v>108</v>
      </c>
      <c r="AY1916" t="s">
        <v>311</v>
      </c>
      <c r="AZ1916" t="s">
        <v>214</v>
      </c>
      <c r="BC1916">
        <v>0.41670000000000001</v>
      </c>
      <c r="BH1916" t="s">
        <v>99</v>
      </c>
      <c r="BO1916" t="s">
        <v>111</v>
      </c>
      <c r="CD1916" t="s">
        <v>1555</v>
      </c>
      <c r="CE1916">
        <v>78651</v>
      </c>
      <c r="CF1916" t="s">
        <v>1556</v>
      </c>
      <c r="CG1916" t="s">
        <v>1557</v>
      </c>
      <c r="CH1916">
        <v>2003</v>
      </c>
    </row>
    <row r="1917" spans="1:86" hidden="1" x14ac:dyDescent="0.25">
      <c r="A1917">
        <v>330541</v>
      </c>
      <c r="B1917" t="s">
        <v>86</v>
      </c>
      <c r="D1917" t="s">
        <v>115</v>
      </c>
      <c r="K1917" t="s">
        <v>1558</v>
      </c>
      <c r="L1917" t="s">
        <v>1554</v>
      </c>
      <c r="M1917" t="s">
        <v>1549</v>
      </c>
      <c r="V1917" t="s">
        <v>91</v>
      </c>
      <c r="W1917" t="s">
        <v>107</v>
      </c>
      <c r="X1917" t="s">
        <v>93</v>
      </c>
      <c r="Y1917">
        <v>6</v>
      </c>
      <c r="Z1917" t="s">
        <v>137</v>
      </c>
      <c r="AB1917">
        <v>5.1000000000000004E-3</v>
      </c>
      <c r="AG1917" t="s">
        <v>95</v>
      </c>
      <c r="AX1917" t="s">
        <v>108</v>
      </c>
      <c r="AY1917" t="s">
        <v>311</v>
      </c>
      <c r="AZ1917" t="s">
        <v>214</v>
      </c>
      <c r="BC1917">
        <v>0.41670000000000001</v>
      </c>
      <c r="BH1917" t="s">
        <v>99</v>
      </c>
      <c r="BO1917" t="s">
        <v>111</v>
      </c>
      <c r="CD1917" t="s">
        <v>1555</v>
      </c>
      <c r="CE1917">
        <v>78651</v>
      </c>
      <c r="CF1917" t="s">
        <v>1556</v>
      </c>
      <c r="CG1917" t="s">
        <v>1557</v>
      </c>
      <c r="CH1917">
        <v>2003</v>
      </c>
    </row>
    <row r="1918" spans="1:86" hidden="1" x14ac:dyDescent="0.25">
      <c r="A1918">
        <v>330541</v>
      </c>
      <c r="B1918" t="s">
        <v>86</v>
      </c>
      <c r="D1918" t="s">
        <v>115</v>
      </c>
      <c r="F1918">
        <v>98</v>
      </c>
      <c r="K1918" t="s">
        <v>1565</v>
      </c>
      <c r="L1918" t="s">
        <v>1560</v>
      </c>
      <c r="M1918" t="s">
        <v>1549</v>
      </c>
      <c r="N1918" t="s">
        <v>945</v>
      </c>
      <c r="R1918">
        <v>2</v>
      </c>
      <c r="T1918">
        <v>3</v>
      </c>
      <c r="U1918" t="s">
        <v>1566</v>
      </c>
      <c r="V1918" t="s">
        <v>168</v>
      </c>
      <c r="W1918" t="s">
        <v>107</v>
      </c>
      <c r="X1918" t="s">
        <v>93</v>
      </c>
      <c r="Z1918" t="s">
        <v>94</v>
      </c>
      <c r="AB1918">
        <v>4.8</v>
      </c>
      <c r="AD1918">
        <v>0.67</v>
      </c>
      <c r="AF1918">
        <v>34</v>
      </c>
      <c r="AG1918" t="s">
        <v>95</v>
      </c>
      <c r="AX1918" t="s">
        <v>523</v>
      </c>
      <c r="AY1918" t="s">
        <v>523</v>
      </c>
      <c r="AZ1918" t="s">
        <v>987</v>
      </c>
      <c r="BC1918">
        <v>1</v>
      </c>
      <c r="BH1918" t="s">
        <v>99</v>
      </c>
      <c r="BO1918" t="s">
        <v>111</v>
      </c>
      <c r="CD1918" t="s">
        <v>169</v>
      </c>
      <c r="CE1918">
        <v>156339</v>
      </c>
      <c r="CF1918" t="s">
        <v>170</v>
      </c>
      <c r="CG1918" t="s">
        <v>171</v>
      </c>
      <c r="CH1918">
        <v>2011</v>
      </c>
    </row>
    <row r="1919" spans="1:86" hidden="1" x14ac:dyDescent="0.25">
      <c r="A1919">
        <v>330541</v>
      </c>
      <c r="B1919" t="s">
        <v>86</v>
      </c>
      <c r="D1919" t="s">
        <v>115</v>
      </c>
      <c r="F1919">
        <v>98</v>
      </c>
      <c r="K1919" t="s">
        <v>1567</v>
      </c>
      <c r="L1919" t="s">
        <v>1568</v>
      </c>
      <c r="M1919" t="s">
        <v>1549</v>
      </c>
      <c r="N1919" t="s">
        <v>1022</v>
      </c>
      <c r="V1919" t="s">
        <v>507</v>
      </c>
      <c r="W1919" t="s">
        <v>107</v>
      </c>
      <c r="X1919" t="s">
        <v>93</v>
      </c>
      <c r="Z1919" t="s">
        <v>94</v>
      </c>
      <c r="AA1919" t="s">
        <v>434</v>
      </c>
      <c r="AB1919">
        <v>18</v>
      </c>
      <c r="AG1919" t="s">
        <v>95</v>
      </c>
      <c r="AX1919" t="s">
        <v>523</v>
      </c>
      <c r="AY1919" t="s">
        <v>523</v>
      </c>
      <c r="AZ1919" t="s">
        <v>987</v>
      </c>
      <c r="BC1919">
        <v>4</v>
      </c>
      <c r="BH1919" t="s">
        <v>99</v>
      </c>
      <c r="BO1919" t="s">
        <v>111</v>
      </c>
      <c r="CD1919" t="s">
        <v>169</v>
      </c>
      <c r="CE1919">
        <v>156339</v>
      </c>
      <c r="CF1919" t="s">
        <v>170</v>
      </c>
      <c r="CG1919" t="s">
        <v>171</v>
      </c>
      <c r="CH1919">
        <v>2011</v>
      </c>
    </row>
    <row r="1920" spans="1:86" hidden="1" x14ac:dyDescent="0.25">
      <c r="A1920">
        <v>330541</v>
      </c>
      <c r="B1920" t="s">
        <v>86</v>
      </c>
      <c r="D1920" t="s">
        <v>115</v>
      </c>
      <c r="F1920">
        <v>98</v>
      </c>
      <c r="K1920" t="s">
        <v>1567</v>
      </c>
      <c r="L1920" t="s">
        <v>1568</v>
      </c>
      <c r="M1920" t="s">
        <v>1549</v>
      </c>
      <c r="N1920" t="s">
        <v>1022</v>
      </c>
      <c r="V1920" t="s">
        <v>507</v>
      </c>
      <c r="W1920" t="s">
        <v>107</v>
      </c>
      <c r="X1920" t="s">
        <v>93</v>
      </c>
      <c r="Z1920" t="s">
        <v>94</v>
      </c>
      <c r="AA1920" t="s">
        <v>434</v>
      </c>
      <c r="AB1920">
        <v>19</v>
      </c>
      <c r="AG1920" t="s">
        <v>95</v>
      </c>
      <c r="AX1920" t="s">
        <v>523</v>
      </c>
      <c r="AY1920" t="s">
        <v>523</v>
      </c>
      <c r="AZ1920" t="s">
        <v>475</v>
      </c>
      <c r="BC1920">
        <v>4</v>
      </c>
      <c r="BH1920" t="s">
        <v>99</v>
      </c>
      <c r="BO1920" t="s">
        <v>111</v>
      </c>
      <c r="CD1920" t="s">
        <v>169</v>
      </c>
      <c r="CE1920">
        <v>156339</v>
      </c>
      <c r="CF1920" t="s">
        <v>170</v>
      </c>
      <c r="CG1920" t="s">
        <v>171</v>
      </c>
      <c r="CH1920">
        <v>2011</v>
      </c>
    </row>
    <row r="1921" spans="1:86" hidden="1" x14ac:dyDescent="0.25">
      <c r="A1921">
        <v>330541</v>
      </c>
      <c r="B1921" t="s">
        <v>86</v>
      </c>
      <c r="D1921" t="s">
        <v>115</v>
      </c>
      <c r="F1921">
        <v>98</v>
      </c>
      <c r="K1921" t="s">
        <v>1565</v>
      </c>
      <c r="L1921" t="s">
        <v>1560</v>
      </c>
      <c r="M1921" t="s">
        <v>1549</v>
      </c>
      <c r="N1921" t="s">
        <v>945</v>
      </c>
      <c r="R1921">
        <v>2</v>
      </c>
      <c r="T1921">
        <v>3</v>
      </c>
      <c r="U1921" t="s">
        <v>1566</v>
      </c>
      <c r="V1921" t="s">
        <v>168</v>
      </c>
      <c r="W1921" t="s">
        <v>107</v>
      </c>
      <c r="X1921" t="s">
        <v>93</v>
      </c>
      <c r="Z1921" t="s">
        <v>94</v>
      </c>
      <c r="AB1921">
        <v>9.0999999999999998E-2</v>
      </c>
      <c r="AG1921" t="s">
        <v>95</v>
      </c>
      <c r="AX1921" t="s">
        <v>523</v>
      </c>
      <c r="AY1921" t="s">
        <v>523</v>
      </c>
      <c r="AZ1921" t="s">
        <v>475</v>
      </c>
      <c r="BC1921">
        <v>1</v>
      </c>
      <c r="BH1921" t="s">
        <v>99</v>
      </c>
      <c r="BO1921" t="s">
        <v>111</v>
      </c>
      <c r="CD1921" t="s">
        <v>169</v>
      </c>
      <c r="CE1921">
        <v>156339</v>
      </c>
      <c r="CF1921" t="s">
        <v>170</v>
      </c>
      <c r="CG1921" t="s">
        <v>171</v>
      </c>
      <c r="CH1921">
        <v>2011</v>
      </c>
    </row>
    <row r="1922" spans="1:86" hidden="1" x14ac:dyDescent="0.25">
      <c r="A1922">
        <v>330541</v>
      </c>
      <c r="B1922" t="s">
        <v>86</v>
      </c>
      <c r="D1922" t="s">
        <v>115</v>
      </c>
      <c r="K1922" t="s">
        <v>1547</v>
      </c>
      <c r="L1922" t="s">
        <v>1548</v>
      </c>
      <c r="M1922" t="s">
        <v>1549</v>
      </c>
      <c r="V1922" t="s">
        <v>91</v>
      </c>
      <c r="W1922" t="s">
        <v>220</v>
      </c>
      <c r="X1922" t="s">
        <v>93</v>
      </c>
      <c r="Y1922">
        <v>8</v>
      </c>
      <c r="Z1922" t="s">
        <v>137</v>
      </c>
      <c r="AB1922">
        <v>0.03</v>
      </c>
      <c r="AG1922" t="s">
        <v>95</v>
      </c>
      <c r="AX1922" t="s">
        <v>108</v>
      </c>
      <c r="AY1922" t="s">
        <v>150</v>
      </c>
      <c r="AZ1922" t="s">
        <v>486</v>
      </c>
      <c r="BC1922">
        <v>1</v>
      </c>
      <c r="BH1922" t="s">
        <v>99</v>
      </c>
      <c r="BO1922" t="s">
        <v>111</v>
      </c>
      <c r="CD1922" t="s">
        <v>1550</v>
      </c>
      <c r="CE1922">
        <v>174258</v>
      </c>
      <c r="CF1922" t="s">
        <v>1551</v>
      </c>
      <c r="CG1922" t="s">
        <v>1552</v>
      </c>
      <c r="CH1922">
        <v>1986</v>
      </c>
    </row>
    <row r="1923" spans="1:86" hidden="1" x14ac:dyDescent="0.25">
      <c r="A1923">
        <v>330541</v>
      </c>
      <c r="B1923" t="s">
        <v>86</v>
      </c>
      <c r="D1923" t="s">
        <v>115</v>
      </c>
      <c r="K1923" t="s">
        <v>1547</v>
      </c>
      <c r="L1923" t="s">
        <v>1548</v>
      </c>
      <c r="M1923" t="s">
        <v>1549</v>
      </c>
      <c r="V1923" t="s">
        <v>91</v>
      </c>
      <c r="W1923" t="s">
        <v>220</v>
      </c>
      <c r="X1923" t="s">
        <v>93</v>
      </c>
      <c r="Y1923">
        <v>8</v>
      </c>
      <c r="Z1923" t="s">
        <v>137</v>
      </c>
      <c r="AB1923">
        <v>7.4</v>
      </c>
      <c r="AG1923" t="s">
        <v>95</v>
      </c>
      <c r="AX1923" t="s">
        <v>108</v>
      </c>
      <c r="AY1923" t="s">
        <v>150</v>
      </c>
      <c r="AZ1923" t="s">
        <v>486</v>
      </c>
      <c r="BC1923">
        <v>2</v>
      </c>
      <c r="BH1923" t="s">
        <v>99</v>
      </c>
      <c r="BO1923" t="s">
        <v>111</v>
      </c>
      <c r="CD1923" t="s">
        <v>1550</v>
      </c>
      <c r="CE1923">
        <v>174258</v>
      </c>
      <c r="CF1923" t="s">
        <v>1551</v>
      </c>
      <c r="CG1923" t="s">
        <v>1552</v>
      </c>
      <c r="CH1923">
        <v>1986</v>
      </c>
    </row>
    <row r="1924" spans="1:86" hidden="1" x14ac:dyDescent="0.25">
      <c r="A1924">
        <v>330541</v>
      </c>
      <c r="B1924" t="s">
        <v>86</v>
      </c>
      <c r="D1924" t="s">
        <v>115</v>
      </c>
      <c r="K1924" t="s">
        <v>1547</v>
      </c>
      <c r="L1924" t="s">
        <v>1548</v>
      </c>
      <c r="M1924" t="s">
        <v>1549</v>
      </c>
      <c r="V1924" t="s">
        <v>91</v>
      </c>
      <c r="W1924" t="s">
        <v>220</v>
      </c>
      <c r="X1924" t="s">
        <v>93</v>
      </c>
      <c r="Y1924">
        <v>8</v>
      </c>
      <c r="Z1924" t="s">
        <v>137</v>
      </c>
      <c r="AB1924">
        <v>7.4</v>
      </c>
      <c r="AG1924" t="s">
        <v>95</v>
      </c>
      <c r="AX1924" t="s">
        <v>108</v>
      </c>
      <c r="AY1924" t="s">
        <v>150</v>
      </c>
      <c r="AZ1924" t="s">
        <v>486</v>
      </c>
      <c r="BC1924">
        <v>4</v>
      </c>
      <c r="BH1924" t="s">
        <v>99</v>
      </c>
      <c r="BO1924" t="s">
        <v>111</v>
      </c>
      <c r="CD1924" t="s">
        <v>1550</v>
      </c>
      <c r="CE1924">
        <v>174258</v>
      </c>
      <c r="CF1924" t="s">
        <v>1551</v>
      </c>
      <c r="CG1924" t="s">
        <v>1552</v>
      </c>
      <c r="CH1924">
        <v>1986</v>
      </c>
    </row>
    <row r="1925" spans="1:86" hidden="1" x14ac:dyDescent="0.25">
      <c r="A1925">
        <v>330541</v>
      </c>
      <c r="B1925" t="s">
        <v>86</v>
      </c>
      <c r="D1925" t="s">
        <v>115</v>
      </c>
      <c r="K1925" t="s">
        <v>1561</v>
      </c>
      <c r="L1925" t="s">
        <v>1554</v>
      </c>
      <c r="M1925" t="s">
        <v>1549</v>
      </c>
      <c r="V1925" t="s">
        <v>91</v>
      </c>
      <c r="W1925" t="s">
        <v>107</v>
      </c>
      <c r="X1925" t="s">
        <v>93</v>
      </c>
      <c r="Y1925">
        <v>6</v>
      </c>
      <c r="Z1925" t="s">
        <v>137</v>
      </c>
      <c r="AB1925">
        <v>1E-3</v>
      </c>
      <c r="AG1925" t="s">
        <v>95</v>
      </c>
      <c r="AX1925" t="s">
        <v>108</v>
      </c>
      <c r="AY1925" t="s">
        <v>311</v>
      </c>
      <c r="AZ1925" t="s">
        <v>486</v>
      </c>
      <c r="BC1925">
        <v>0.41670000000000001</v>
      </c>
      <c r="BH1925" t="s">
        <v>99</v>
      </c>
      <c r="BO1925" t="s">
        <v>111</v>
      </c>
      <c r="CD1925" t="s">
        <v>1555</v>
      </c>
      <c r="CE1925">
        <v>78651</v>
      </c>
      <c r="CF1925" t="s">
        <v>1556</v>
      </c>
      <c r="CG1925" t="s">
        <v>1557</v>
      </c>
      <c r="CH1925">
        <v>2003</v>
      </c>
    </row>
    <row r="1926" spans="1:86" hidden="1" x14ac:dyDescent="0.25">
      <c r="A1926">
        <v>330541</v>
      </c>
      <c r="B1926" t="s">
        <v>86</v>
      </c>
      <c r="D1926" t="s">
        <v>115</v>
      </c>
      <c r="K1926" t="s">
        <v>1569</v>
      </c>
      <c r="L1926" t="s">
        <v>1560</v>
      </c>
      <c r="M1926" t="s">
        <v>1549</v>
      </c>
      <c r="P1926">
        <v>17</v>
      </c>
      <c r="U1926" t="s">
        <v>99</v>
      </c>
      <c r="V1926" t="s">
        <v>507</v>
      </c>
      <c r="W1926" t="s">
        <v>107</v>
      </c>
      <c r="X1926" t="s">
        <v>93</v>
      </c>
      <c r="Y1926">
        <v>6</v>
      </c>
      <c r="Z1926" t="s">
        <v>137</v>
      </c>
      <c r="AB1926">
        <v>0.01</v>
      </c>
      <c r="AG1926" t="s">
        <v>95</v>
      </c>
      <c r="AX1926" t="s">
        <v>108</v>
      </c>
      <c r="AY1926" t="s">
        <v>308</v>
      </c>
      <c r="AZ1926" t="s">
        <v>486</v>
      </c>
      <c r="BA1926" t="s">
        <v>1570</v>
      </c>
      <c r="BC1926">
        <v>4</v>
      </c>
      <c r="BH1926" t="s">
        <v>99</v>
      </c>
      <c r="BO1926" t="s">
        <v>111</v>
      </c>
      <c r="CD1926" t="s">
        <v>578</v>
      </c>
      <c r="CE1926">
        <v>85949</v>
      </c>
      <c r="CF1926" t="s">
        <v>579</v>
      </c>
      <c r="CG1926" t="s">
        <v>580</v>
      </c>
      <c r="CH1926">
        <v>2005</v>
      </c>
    </row>
    <row r="1927" spans="1:86" hidden="1" x14ac:dyDescent="0.25">
      <c r="A1927">
        <v>330541</v>
      </c>
      <c r="B1927" t="s">
        <v>86</v>
      </c>
      <c r="D1927" t="s">
        <v>115</v>
      </c>
      <c r="K1927" t="s">
        <v>1569</v>
      </c>
      <c r="L1927" t="s">
        <v>1560</v>
      </c>
      <c r="M1927" t="s">
        <v>1549</v>
      </c>
      <c r="P1927">
        <v>17</v>
      </c>
      <c r="U1927" t="s">
        <v>99</v>
      </c>
      <c r="V1927" t="s">
        <v>507</v>
      </c>
      <c r="W1927" t="s">
        <v>107</v>
      </c>
      <c r="X1927" t="s">
        <v>93</v>
      </c>
      <c r="Y1927">
        <v>6</v>
      </c>
      <c r="Z1927" t="s">
        <v>137</v>
      </c>
      <c r="AB1927">
        <v>0.1</v>
      </c>
      <c r="AG1927" t="s">
        <v>95</v>
      </c>
      <c r="AX1927" t="s">
        <v>108</v>
      </c>
      <c r="AY1927" t="s">
        <v>308</v>
      </c>
      <c r="AZ1927" t="s">
        <v>486</v>
      </c>
      <c r="BA1927" t="s">
        <v>1570</v>
      </c>
      <c r="BC1927">
        <v>4</v>
      </c>
      <c r="BH1927" t="s">
        <v>99</v>
      </c>
      <c r="BO1927" t="s">
        <v>111</v>
      </c>
      <c r="CD1927" t="s">
        <v>578</v>
      </c>
      <c r="CE1927">
        <v>85949</v>
      </c>
      <c r="CF1927" t="s">
        <v>579</v>
      </c>
      <c r="CG1927" t="s">
        <v>580</v>
      </c>
      <c r="CH1927">
        <v>2005</v>
      </c>
    </row>
    <row r="1928" spans="1:86" hidden="1" x14ac:dyDescent="0.25">
      <c r="A1928">
        <v>330541</v>
      </c>
      <c r="B1928" t="s">
        <v>86</v>
      </c>
      <c r="D1928" t="s">
        <v>115</v>
      </c>
      <c r="K1928" t="s">
        <v>1569</v>
      </c>
      <c r="L1928" t="s">
        <v>1560</v>
      </c>
      <c r="M1928" t="s">
        <v>1549</v>
      </c>
      <c r="P1928">
        <v>17</v>
      </c>
      <c r="U1928" t="s">
        <v>99</v>
      </c>
      <c r="V1928" t="s">
        <v>507</v>
      </c>
      <c r="W1928" t="s">
        <v>107</v>
      </c>
      <c r="X1928" t="s">
        <v>93</v>
      </c>
      <c r="Y1928">
        <v>6</v>
      </c>
      <c r="Z1928" t="s">
        <v>137</v>
      </c>
      <c r="AB1928">
        <v>1E-3</v>
      </c>
      <c r="AG1928" t="s">
        <v>95</v>
      </c>
      <c r="AX1928" t="s">
        <v>144</v>
      </c>
      <c r="AY1928" t="s">
        <v>109</v>
      </c>
      <c r="AZ1928" t="s">
        <v>486</v>
      </c>
      <c r="BC1928">
        <v>4</v>
      </c>
      <c r="BH1928" t="s">
        <v>99</v>
      </c>
      <c r="BO1928" t="s">
        <v>111</v>
      </c>
      <c r="CD1928" t="s">
        <v>578</v>
      </c>
      <c r="CE1928">
        <v>85949</v>
      </c>
      <c r="CF1928" t="s">
        <v>579</v>
      </c>
      <c r="CG1928" t="s">
        <v>580</v>
      </c>
      <c r="CH1928">
        <v>2005</v>
      </c>
    </row>
    <row r="1929" spans="1:86" hidden="1" x14ac:dyDescent="0.25">
      <c r="A1929">
        <v>330541</v>
      </c>
      <c r="B1929" t="s">
        <v>86</v>
      </c>
      <c r="D1929" t="s">
        <v>115</v>
      </c>
      <c r="K1929" t="s">
        <v>1571</v>
      </c>
      <c r="L1929" t="s">
        <v>1560</v>
      </c>
      <c r="M1929" t="s">
        <v>1549</v>
      </c>
      <c r="N1929" t="s">
        <v>945</v>
      </c>
      <c r="P1929">
        <v>7</v>
      </c>
      <c r="U1929" t="s">
        <v>99</v>
      </c>
      <c r="V1929" t="s">
        <v>507</v>
      </c>
      <c r="W1929" t="s">
        <v>107</v>
      </c>
      <c r="X1929" t="s">
        <v>93</v>
      </c>
      <c r="Y1929">
        <v>6</v>
      </c>
      <c r="Z1929" t="s">
        <v>137</v>
      </c>
      <c r="AB1929">
        <v>1E-3</v>
      </c>
      <c r="AG1929" t="s">
        <v>95</v>
      </c>
      <c r="AX1929" t="s">
        <v>144</v>
      </c>
      <c r="AY1929" t="s">
        <v>109</v>
      </c>
      <c r="AZ1929" t="s">
        <v>486</v>
      </c>
      <c r="BC1929">
        <v>4</v>
      </c>
      <c r="BH1929" t="s">
        <v>99</v>
      </c>
      <c r="BO1929" t="s">
        <v>111</v>
      </c>
      <c r="CD1929" t="s">
        <v>578</v>
      </c>
      <c r="CE1929">
        <v>85949</v>
      </c>
      <c r="CF1929" t="s">
        <v>579</v>
      </c>
      <c r="CG1929" t="s">
        <v>580</v>
      </c>
      <c r="CH1929">
        <v>2005</v>
      </c>
    </row>
    <row r="1930" spans="1:86" hidden="1" x14ac:dyDescent="0.25">
      <c r="A1930">
        <v>330541</v>
      </c>
      <c r="B1930" t="s">
        <v>86</v>
      </c>
      <c r="D1930" t="s">
        <v>115</v>
      </c>
      <c r="K1930" t="s">
        <v>1569</v>
      </c>
      <c r="L1930" t="s">
        <v>1560</v>
      </c>
      <c r="M1930" t="s">
        <v>1549</v>
      </c>
      <c r="P1930">
        <v>17</v>
      </c>
      <c r="U1930" t="s">
        <v>99</v>
      </c>
      <c r="V1930" t="s">
        <v>507</v>
      </c>
      <c r="W1930" t="s">
        <v>107</v>
      </c>
      <c r="X1930" t="s">
        <v>93</v>
      </c>
      <c r="Y1930">
        <v>6</v>
      </c>
      <c r="Z1930" t="s">
        <v>137</v>
      </c>
      <c r="AB1930">
        <v>1E-3</v>
      </c>
      <c r="AG1930" t="s">
        <v>95</v>
      </c>
      <c r="AX1930" t="s">
        <v>144</v>
      </c>
      <c r="AY1930" t="s">
        <v>109</v>
      </c>
      <c r="AZ1930" t="s">
        <v>486</v>
      </c>
      <c r="BC1930">
        <v>4</v>
      </c>
      <c r="BH1930" t="s">
        <v>99</v>
      </c>
      <c r="BO1930" t="s">
        <v>111</v>
      </c>
      <c r="CD1930" t="s">
        <v>578</v>
      </c>
      <c r="CE1930">
        <v>85949</v>
      </c>
      <c r="CF1930" t="s">
        <v>579</v>
      </c>
      <c r="CG1930" t="s">
        <v>580</v>
      </c>
      <c r="CH1930">
        <v>2005</v>
      </c>
    </row>
    <row r="1931" spans="1:86" hidden="1" x14ac:dyDescent="0.25">
      <c r="A1931">
        <v>330541</v>
      </c>
      <c r="B1931" t="s">
        <v>86</v>
      </c>
      <c r="D1931" t="s">
        <v>115</v>
      </c>
      <c r="K1931" t="s">
        <v>1571</v>
      </c>
      <c r="L1931" t="s">
        <v>1560</v>
      </c>
      <c r="M1931" t="s">
        <v>1549</v>
      </c>
      <c r="N1931" t="s">
        <v>945</v>
      </c>
      <c r="R1931">
        <v>10</v>
      </c>
      <c r="T1931">
        <v>15</v>
      </c>
      <c r="U1931" t="s">
        <v>99</v>
      </c>
      <c r="V1931" t="s">
        <v>507</v>
      </c>
      <c r="W1931" t="s">
        <v>107</v>
      </c>
      <c r="X1931" t="s">
        <v>93</v>
      </c>
      <c r="Y1931">
        <v>5</v>
      </c>
      <c r="Z1931" t="s">
        <v>137</v>
      </c>
      <c r="AB1931">
        <v>0.3</v>
      </c>
      <c r="AG1931" t="s">
        <v>95</v>
      </c>
      <c r="AX1931" t="s">
        <v>912</v>
      </c>
      <c r="AY1931" t="s">
        <v>1019</v>
      </c>
      <c r="AZ1931" t="s">
        <v>486</v>
      </c>
      <c r="BA1931" t="s">
        <v>179</v>
      </c>
      <c r="BC1931">
        <v>1</v>
      </c>
      <c r="BH1931" t="s">
        <v>99</v>
      </c>
      <c r="BO1931" t="s">
        <v>111</v>
      </c>
      <c r="CD1931" t="s">
        <v>578</v>
      </c>
      <c r="CE1931">
        <v>85949</v>
      </c>
      <c r="CF1931" t="s">
        <v>579</v>
      </c>
      <c r="CG1931" t="s">
        <v>580</v>
      </c>
      <c r="CH1931">
        <v>2005</v>
      </c>
    </row>
    <row r="1932" spans="1:86" hidden="1" x14ac:dyDescent="0.25">
      <c r="A1932">
        <v>330541</v>
      </c>
      <c r="B1932" t="s">
        <v>86</v>
      </c>
      <c r="D1932" t="s">
        <v>115</v>
      </c>
      <c r="K1932" t="s">
        <v>1553</v>
      </c>
      <c r="L1932" t="s">
        <v>1554</v>
      </c>
      <c r="M1932" t="s">
        <v>1549</v>
      </c>
      <c r="V1932" t="s">
        <v>91</v>
      </c>
      <c r="W1932" t="s">
        <v>107</v>
      </c>
      <c r="X1932" t="s">
        <v>93</v>
      </c>
      <c r="Y1932">
        <v>6</v>
      </c>
      <c r="Z1932" t="s">
        <v>137</v>
      </c>
      <c r="AB1932">
        <v>1E-3</v>
      </c>
      <c r="AG1932" t="s">
        <v>95</v>
      </c>
      <c r="AX1932" t="s">
        <v>108</v>
      </c>
      <c r="AY1932" t="s">
        <v>311</v>
      </c>
      <c r="AZ1932" t="s">
        <v>486</v>
      </c>
      <c r="BC1932">
        <v>0.41670000000000001</v>
      </c>
      <c r="BH1932" t="s">
        <v>99</v>
      </c>
      <c r="BO1932" t="s">
        <v>111</v>
      </c>
      <c r="CD1932" t="s">
        <v>1555</v>
      </c>
      <c r="CE1932">
        <v>78651</v>
      </c>
      <c r="CF1932" t="s">
        <v>1556</v>
      </c>
      <c r="CG1932" t="s">
        <v>1557</v>
      </c>
      <c r="CH1932">
        <v>2003</v>
      </c>
    </row>
    <row r="1933" spans="1:86" hidden="1" x14ac:dyDescent="0.25">
      <c r="A1933">
        <v>330541</v>
      </c>
      <c r="B1933" t="s">
        <v>86</v>
      </c>
      <c r="D1933" t="s">
        <v>115</v>
      </c>
      <c r="K1933" t="s">
        <v>1569</v>
      </c>
      <c r="L1933" t="s">
        <v>1560</v>
      </c>
      <c r="M1933" t="s">
        <v>1549</v>
      </c>
      <c r="P1933">
        <v>17</v>
      </c>
      <c r="U1933" t="s">
        <v>99</v>
      </c>
      <c r="V1933" t="s">
        <v>507</v>
      </c>
      <c r="W1933" t="s">
        <v>107</v>
      </c>
      <c r="X1933" t="s">
        <v>93</v>
      </c>
      <c r="Y1933">
        <v>6</v>
      </c>
      <c r="Z1933" t="s">
        <v>137</v>
      </c>
      <c r="AB1933">
        <v>0.1</v>
      </c>
      <c r="AG1933" t="s">
        <v>95</v>
      </c>
      <c r="AX1933" t="s">
        <v>108</v>
      </c>
      <c r="AY1933" t="s">
        <v>150</v>
      </c>
      <c r="AZ1933" t="s">
        <v>486</v>
      </c>
      <c r="BA1933" t="s">
        <v>1570</v>
      </c>
      <c r="BC1933">
        <v>4</v>
      </c>
      <c r="BH1933" t="s">
        <v>99</v>
      </c>
      <c r="BO1933" t="s">
        <v>111</v>
      </c>
      <c r="CD1933" t="s">
        <v>578</v>
      </c>
      <c r="CE1933">
        <v>85949</v>
      </c>
      <c r="CF1933" t="s">
        <v>579</v>
      </c>
      <c r="CG1933" t="s">
        <v>580</v>
      </c>
      <c r="CH1933">
        <v>2005</v>
      </c>
    </row>
    <row r="1934" spans="1:86" hidden="1" x14ac:dyDescent="0.25">
      <c r="A1934">
        <v>330541</v>
      </c>
      <c r="B1934" t="s">
        <v>86</v>
      </c>
      <c r="D1934" t="s">
        <v>115</v>
      </c>
      <c r="K1934" t="s">
        <v>1571</v>
      </c>
      <c r="L1934" t="s">
        <v>1560</v>
      </c>
      <c r="M1934" t="s">
        <v>1549</v>
      </c>
      <c r="P1934">
        <v>17</v>
      </c>
      <c r="U1934" t="s">
        <v>99</v>
      </c>
      <c r="V1934" t="s">
        <v>507</v>
      </c>
      <c r="W1934" t="s">
        <v>107</v>
      </c>
      <c r="X1934" t="s">
        <v>93</v>
      </c>
      <c r="Y1934">
        <v>6</v>
      </c>
      <c r="Z1934" t="s">
        <v>137</v>
      </c>
      <c r="AB1934">
        <v>1E-3</v>
      </c>
      <c r="AG1934" t="s">
        <v>95</v>
      </c>
      <c r="AX1934" t="s">
        <v>144</v>
      </c>
      <c r="AY1934" t="s">
        <v>109</v>
      </c>
      <c r="AZ1934" t="s">
        <v>486</v>
      </c>
      <c r="BC1934">
        <v>4</v>
      </c>
      <c r="BH1934" t="s">
        <v>99</v>
      </c>
      <c r="BO1934" t="s">
        <v>111</v>
      </c>
      <c r="CD1934" t="s">
        <v>578</v>
      </c>
      <c r="CE1934">
        <v>85949</v>
      </c>
      <c r="CF1934" t="s">
        <v>579</v>
      </c>
      <c r="CG1934" t="s">
        <v>580</v>
      </c>
      <c r="CH1934">
        <v>2005</v>
      </c>
    </row>
    <row r="1935" spans="1:86" hidden="1" x14ac:dyDescent="0.25">
      <c r="A1935">
        <v>330541</v>
      </c>
      <c r="B1935" t="s">
        <v>86</v>
      </c>
      <c r="D1935" t="s">
        <v>115</v>
      </c>
      <c r="K1935" t="s">
        <v>1569</v>
      </c>
      <c r="L1935" t="s">
        <v>1560</v>
      </c>
      <c r="M1935" t="s">
        <v>1549</v>
      </c>
      <c r="P1935">
        <v>17</v>
      </c>
      <c r="U1935" t="s">
        <v>99</v>
      </c>
      <c r="V1935" t="s">
        <v>507</v>
      </c>
      <c r="W1935" t="s">
        <v>107</v>
      </c>
      <c r="X1935" t="s">
        <v>93</v>
      </c>
      <c r="Y1935">
        <v>6</v>
      </c>
      <c r="Z1935" t="s">
        <v>137</v>
      </c>
      <c r="AB1935">
        <v>1E-3</v>
      </c>
      <c r="AG1935" t="s">
        <v>95</v>
      </c>
      <c r="AX1935" t="s">
        <v>144</v>
      </c>
      <c r="AY1935" t="s">
        <v>109</v>
      </c>
      <c r="AZ1935" t="s">
        <v>486</v>
      </c>
      <c r="BC1935">
        <v>4</v>
      </c>
      <c r="BH1935" t="s">
        <v>99</v>
      </c>
      <c r="BO1935" t="s">
        <v>111</v>
      </c>
      <c r="CD1935" t="s">
        <v>578</v>
      </c>
      <c r="CE1935">
        <v>85949</v>
      </c>
      <c r="CF1935" t="s">
        <v>579</v>
      </c>
      <c r="CG1935" t="s">
        <v>580</v>
      </c>
      <c r="CH1935">
        <v>2005</v>
      </c>
    </row>
    <row r="1936" spans="1:86" hidden="1" x14ac:dyDescent="0.25">
      <c r="A1936">
        <v>330541</v>
      </c>
      <c r="B1936" t="s">
        <v>86</v>
      </c>
      <c r="D1936" t="s">
        <v>115</v>
      </c>
      <c r="K1936" t="s">
        <v>1559</v>
      </c>
      <c r="L1936" t="s">
        <v>1560</v>
      </c>
      <c r="M1936" t="s">
        <v>1549</v>
      </c>
      <c r="V1936" t="s">
        <v>91</v>
      </c>
      <c r="W1936" t="s">
        <v>107</v>
      </c>
      <c r="X1936" t="s">
        <v>93</v>
      </c>
      <c r="Y1936">
        <v>6</v>
      </c>
      <c r="Z1936" t="s">
        <v>137</v>
      </c>
      <c r="AB1936">
        <v>2.9999999999999997E-4</v>
      </c>
      <c r="AG1936" t="s">
        <v>95</v>
      </c>
      <c r="AX1936" t="s">
        <v>108</v>
      </c>
      <c r="AY1936" t="s">
        <v>311</v>
      </c>
      <c r="AZ1936" t="s">
        <v>486</v>
      </c>
      <c r="BC1936">
        <v>0.41670000000000001</v>
      </c>
      <c r="BH1936" t="s">
        <v>99</v>
      </c>
      <c r="BO1936" t="s">
        <v>111</v>
      </c>
      <c r="CD1936" t="s">
        <v>1555</v>
      </c>
      <c r="CE1936">
        <v>78651</v>
      </c>
      <c r="CF1936" t="s">
        <v>1556</v>
      </c>
      <c r="CG1936" t="s">
        <v>1557</v>
      </c>
      <c r="CH1936">
        <v>2003</v>
      </c>
    </row>
    <row r="1937" spans="1:86" hidden="1" x14ac:dyDescent="0.25">
      <c r="A1937">
        <v>330541</v>
      </c>
      <c r="B1937" t="s">
        <v>86</v>
      </c>
      <c r="D1937" t="s">
        <v>115</v>
      </c>
      <c r="K1937" t="s">
        <v>1559</v>
      </c>
      <c r="L1937" t="s">
        <v>1560</v>
      </c>
      <c r="M1937" t="s">
        <v>1549</v>
      </c>
      <c r="V1937" t="s">
        <v>91</v>
      </c>
      <c r="W1937" t="s">
        <v>107</v>
      </c>
      <c r="X1937" t="s">
        <v>93</v>
      </c>
      <c r="Y1937">
        <v>6</v>
      </c>
      <c r="Z1937" t="s">
        <v>137</v>
      </c>
      <c r="AB1937">
        <v>1E-3</v>
      </c>
      <c r="AG1937" t="s">
        <v>95</v>
      </c>
      <c r="AX1937" t="s">
        <v>108</v>
      </c>
      <c r="AY1937" t="s">
        <v>311</v>
      </c>
      <c r="AZ1937" t="s">
        <v>486</v>
      </c>
      <c r="BC1937">
        <v>0.41670000000000001</v>
      </c>
      <c r="BH1937" t="s">
        <v>99</v>
      </c>
      <c r="BO1937" t="s">
        <v>111</v>
      </c>
      <c r="CD1937" t="s">
        <v>1555</v>
      </c>
      <c r="CE1937">
        <v>78651</v>
      </c>
      <c r="CF1937" t="s">
        <v>1556</v>
      </c>
      <c r="CG1937" t="s">
        <v>1557</v>
      </c>
      <c r="CH1937">
        <v>2003</v>
      </c>
    </row>
    <row r="1938" spans="1:86" hidden="1" x14ac:dyDescent="0.25">
      <c r="A1938">
        <v>330541</v>
      </c>
      <c r="B1938" t="s">
        <v>86</v>
      </c>
      <c r="D1938" t="s">
        <v>115</v>
      </c>
      <c r="K1938" t="s">
        <v>1547</v>
      </c>
      <c r="L1938" t="s">
        <v>1548</v>
      </c>
      <c r="M1938" t="s">
        <v>1549</v>
      </c>
      <c r="V1938" t="s">
        <v>91</v>
      </c>
      <c r="W1938" t="s">
        <v>220</v>
      </c>
      <c r="X1938" t="s">
        <v>93</v>
      </c>
      <c r="Y1938">
        <v>12</v>
      </c>
      <c r="Z1938" t="s">
        <v>137</v>
      </c>
      <c r="AB1938">
        <v>1.5</v>
      </c>
      <c r="AG1938" t="s">
        <v>95</v>
      </c>
      <c r="AX1938" t="s">
        <v>108</v>
      </c>
      <c r="AY1938" t="s">
        <v>150</v>
      </c>
      <c r="AZ1938" t="s">
        <v>486</v>
      </c>
      <c r="BC1938">
        <v>5</v>
      </c>
      <c r="BH1938" t="s">
        <v>99</v>
      </c>
      <c r="BO1938" t="s">
        <v>111</v>
      </c>
      <c r="CD1938" t="s">
        <v>1550</v>
      </c>
      <c r="CE1938">
        <v>174258</v>
      </c>
      <c r="CF1938" t="s">
        <v>1551</v>
      </c>
      <c r="CG1938" t="s">
        <v>1552</v>
      </c>
      <c r="CH1938">
        <v>1986</v>
      </c>
    </row>
    <row r="1939" spans="1:86" hidden="1" x14ac:dyDescent="0.25">
      <c r="A1939">
        <v>330541</v>
      </c>
      <c r="B1939" t="s">
        <v>86</v>
      </c>
      <c r="D1939" t="s">
        <v>115</v>
      </c>
      <c r="K1939" t="s">
        <v>1547</v>
      </c>
      <c r="L1939" t="s">
        <v>1548</v>
      </c>
      <c r="M1939" t="s">
        <v>1549</v>
      </c>
      <c r="V1939" t="s">
        <v>91</v>
      </c>
      <c r="W1939" t="s">
        <v>220</v>
      </c>
      <c r="X1939" t="s">
        <v>93</v>
      </c>
      <c r="Y1939">
        <v>12</v>
      </c>
      <c r="Z1939" t="s">
        <v>137</v>
      </c>
      <c r="AB1939">
        <v>1.5</v>
      </c>
      <c r="AG1939" t="s">
        <v>95</v>
      </c>
      <c r="AX1939" t="s">
        <v>108</v>
      </c>
      <c r="AY1939" t="s">
        <v>150</v>
      </c>
      <c r="AZ1939" t="s">
        <v>486</v>
      </c>
      <c r="BC1939">
        <v>6</v>
      </c>
      <c r="BH1939" t="s">
        <v>99</v>
      </c>
      <c r="BO1939" t="s">
        <v>111</v>
      </c>
      <c r="CD1939" t="s">
        <v>1550</v>
      </c>
      <c r="CE1939">
        <v>174258</v>
      </c>
      <c r="CF1939" t="s">
        <v>1551</v>
      </c>
      <c r="CG1939" t="s">
        <v>1552</v>
      </c>
      <c r="CH1939">
        <v>1986</v>
      </c>
    </row>
    <row r="1940" spans="1:86" hidden="1" x14ac:dyDescent="0.25">
      <c r="A1940">
        <v>330541</v>
      </c>
      <c r="B1940" t="s">
        <v>86</v>
      </c>
      <c r="D1940" t="s">
        <v>115</v>
      </c>
      <c r="K1940" t="s">
        <v>1547</v>
      </c>
      <c r="L1940" t="s">
        <v>1548</v>
      </c>
      <c r="M1940" t="s">
        <v>1549</v>
      </c>
      <c r="V1940" t="s">
        <v>91</v>
      </c>
      <c r="W1940" t="s">
        <v>220</v>
      </c>
      <c r="X1940" t="s">
        <v>93</v>
      </c>
      <c r="Y1940">
        <v>12</v>
      </c>
      <c r="Z1940" t="s">
        <v>137</v>
      </c>
      <c r="AB1940">
        <v>1.5</v>
      </c>
      <c r="AG1940" t="s">
        <v>95</v>
      </c>
      <c r="AX1940" t="s">
        <v>108</v>
      </c>
      <c r="AY1940" t="s">
        <v>150</v>
      </c>
      <c r="AZ1940" t="s">
        <v>486</v>
      </c>
      <c r="BC1940">
        <v>4</v>
      </c>
      <c r="BH1940" t="s">
        <v>99</v>
      </c>
      <c r="BO1940" t="s">
        <v>111</v>
      </c>
      <c r="CD1940" t="s">
        <v>1550</v>
      </c>
      <c r="CE1940">
        <v>174258</v>
      </c>
      <c r="CF1940" t="s">
        <v>1551</v>
      </c>
      <c r="CG1940" t="s">
        <v>1552</v>
      </c>
      <c r="CH1940">
        <v>1986</v>
      </c>
    </row>
    <row r="1941" spans="1:86" hidden="1" x14ac:dyDescent="0.25">
      <c r="A1941">
        <v>330541</v>
      </c>
      <c r="B1941" t="s">
        <v>86</v>
      </c>
      <c r="C1941" t="s">
        <v>158</v>
      </c>
      <c r="D1941" t="s">
        <v>115</v>
      </c>
      <c r="K1941" t="s">
        <v>1562</v>
      </c>
      <c r="L1941" t="s">
        <v>1563</v>
      </c>
      <c r="M1941" t="s">
        <v>1549</v>
      </c>
      <c r="N1941" t="s">
        <v>910</v>
      </c>
      <c r="V1941" t="s">
        <v>91</v>
      </c>
      <c r="W1941" t="s">
        <v>107</v>
      </c>
      <c r="X1941" t="s">
        <v>93</v>
      </c>
      <c r="Z1941" t="s">
        <v>94</v>
      </c>
      <c r="AB1941">
        <v>3.2</v>
      </c>
      <c r="AG1941" t="s">
        <v>95</v>
      </c>
      <c r="AX1941" t="s">
        <v>912</v>
      </c>
      <c r="AY1941" t="s">
        <v>1564</v>
      </c>
      <c r="AZ1941" t="s">
        <v>486</v>
      </c>
      <c r="BC1941">
        <v>0.83330000000000004</v>
      </c>
      <c r="BH1941" t="s">
        <v>99</v>
      </c>
      <c r="BO1941" t="s">
        <v>111</v>
      </c>
      <c r="CD1941" t="s">
        <v>1014</v>
      </c>
      <c r="CE1941">
        <v>102068</v>
      </c>
      <c r="CF1941" t="s">
        <v>1015</v>
      </c>
      <c r="CG1941" t="s">
        <v>1016</v>
      </c>
      <c r="CH1941">
        <v>2005</v>
      </c>
    </row>
    <row r="1942" spans="1:86" hidden="1" x14ac:dyDescent="0.25">
      <c r="A1942">
        <v>330541</v>
      </c>
      <c r="B1942" t="s">
        <v>86</v>
      </c>
      <c r="D1942" t="s">
        <v>115</v>
      </c>
      <c r="K1942" t="s">
        <v>1558</v>
      </c>
      <c r="L1942" t="s">
        <v>1554</v>
      </c>
      <c r="M1942" t="s">
        <v>1549</v>
      </c>
      <c r="V1942" t="s">
        <v>91</v>
      </c>
      <c r="W1942" t="s">
        <v>107</v>
      </c>
      <c r="X1942" t="s">
        <v>93</v>
      </c>
      <c r="Y1942">
        <v>6</v>
      </c>
      <c r="Z1942" t="s">
        <v>137</v>
      </c>
      <c r="AB1942">
        <v>1E-3</v>
      </c>
      <c r="AG1942" t="s">
        <v>95</v>
      </c>
      <c r="AX1942" t="s">
        <v>108</v>
      </c>
      <c r="AY1942" t="s">
        <v>311</v>
      </c>
      <c r="AZ1942" t="s">
        <v>486</v>
      </c>
      <c r="BC1942">
        <v>0.41670000000000001</v>
      </c>
      <c r="BH1942" t="s">
        <v>99</v>
      </c>
      <c r="BO1942" t="s">
        <v>111</v>
      </c>
      <c r="CD1942" t="s">
        <v>1555</v>
      </c>
      <c r="CE1942">
        <v>78651</v>
      </c>
      <c r="CF1942" t="s">
        <v>1556</v>
      </c>
      <c r="CG1942" t="s">
        <v>1557</v>
      </c>
      <c r="CH1942">
        <v>2003</v>
      </c>
    </row>
    <row r="1943" spans="1:86" hidden="1" x14ac:dyDescent="0.25">
      <c r="A1943">
        <v>330541</v>
      </c>
      <c r="B1943" t="s">
        <v>86</v>
      </c>
      <c r="D1943" t="s">
        <v>115</v>
      </c>
      <c r="K1943" t="s">
        <v>1572</v>
      </c>
      <c r="L1943" t="s">
        <v>1560</v>
      </c>
      <c r="M1943" t="s">
        <v>1549</v>
      </c>
      <c r="N1943" t="s">
        <v>1000</v>
      </c>
      <c r="V1943" t="s">
        <v>507</v>
      </c>
      <c r="W1943" t="s">
        <v>107</v>
      </c>
      <c r="X1943" t="s">
        <v>93</v>
      </c>
      <c r="Y1943">
        <v>5</v>
      </c>
      <c r="Z1943" t="s">
        <v>137</v>
      </c>
      <c r="AB1943">
        <v>1E-3</v>
      </c>
      <c r="AG1943" t="s">
        <v>95</v>
      </c>
      <c r="AX1943" t="s">
        <v>144</v>
      </c>
      <c r="AY1943" t="s">
        <v>1573</v>
      </c>
      <c r="AZ1943" t="s">
        <v>555</v>
      </c>
      <c r="BC1943">
        <v>10</v>
      </c>
      <c r="BH1943" t="s">
        <v>99</v>
      </c>
      <c r="BO1943" t="s">
        <v>111</v>
      </c>
      <c r="CD1943" t="s">
        <v>1574</v>
      </c>
      <c r="CE1943">
        <v>102066</v>
      </c>
      <c r="CF1943" t="s">
        <v>1575</v>
      </c>
      <c r="CG1943" t="s">
        <v>1576</v>
      </c>
      <c r="CH1943">
        <v>2006</v>
      </c>
    </row>
    <row r="1944" spans="1:86" hidden="1" x14ac:dyDescent="0.25">
      <c r="A1944">
        <v>330541</v>
      </c>
      <c r="B1944" t="s">
        <v>86</v>
      </c>
      <c r="D1944" t="s">
        <v>115</v>
      </c>
      <c r="K1944" t="s">
        <v>1571</v>
      </c>
      <c r="L1944" t="s">
        <v>1560</v>
      </c>
      <c r="M1944" t="s">
        <v>1549</v>
      </c>
      <c r="N1944" t="s">
        <v>945</v>
      </c>
      <c r="R1944">
        <v>10</v>
      </c>
      <c r="T1944">
        <v>15</v>
      </c>
      <c r="U1944" t="s">
        <v>99</v>
      </c>
      <c r="V1944" t="s">
        <v>507</v>
      </c>
      <c r="W1944" t="s">
        <v>107</v>
      </c>
      <c r="X1944" t="s">
        <v>93</v>
      </c>
      <c r="Y1944">
        <v>8</v>
      </c>
      <c r="Z1944" t="s">
        <v>137</v>
      </c>
      <c r="AB1944">
        <v>0.3</v>
      </c>
      <c r="AG1944" t="s">
        <v>95</v>
      </c>
      <c r="AX1944" t="s">
        <v>912</v>
      </c>
      <c r="AY1944" t="s">
        <v>1019</v>
      </c>
      <c r="AZ1944" t="s">
        <v>555</v>
      </c>
      <c r="BA1944" t="s">
        <v>179</v>
      </c>
      <c r="BC1944">
        <v>1</v>
      </c>
      <c r="BH1944" t="s">
        <v>99</v>
      </c>
      <c r="BO1944" t="s">
        <v>111</v>
      </c>
      <c r="CD1944" t="s">
        <v>578</v>
      </c>
      <c r="CE1944">
        <v>85949</v>
      </c>
      <c r="CF1944" t="s">
        <v>579</v>
      </c>
      <c r="CG1944" t="s">
        <v>580</v>
      </c>
      <c r="CH1944">
        <v>2005</v>
      </c>
    </row>
    <row r="1945" spans="1:86" hidden="1" x14ac:dyDescent="0.25">
      <c r="A1945">
        <v>330541</v>
      </c>
      <c r="B1945" t="s">
        <v>86</v>
      </c>
      <c r="C1945" t="s">
        <v>560</v>
      </c>
      <c r="D1945" t="s">
        <v>87</v>
      </c>
      <c r="F1945">
        <v>98</v>
      </c>
      <c r="K1945" t="s">
        <v>1577</v>
      </c>
      <c r="L1945" t="s">
        <v>1554</v>
      </c>
      <c r="M1945" t="s">
        <v>1549</v>
      </c>
      <c r="V1945" t="s">
        <v>561</v>
      </c>
      <c r="W1945" t="s">
        <v>107</v>
      </c>
      <c r="X1945" t="s">
        <v>559</v>
      </c>
      <c r="Y1945">
        <v>3</v>
      </c>
      <c r="Z1945" t="s">
        <v>94</v>
      </c>
      <c r="AB1945">
        <v>9.1E-4</v>
      </c>
      <c r="AG1945" t="s">
        <v>95</v>
      </c>
      <c r="AX1945" t="s">
        <v>108</v>
      </c>
      <c r="AY1945" t="s">
        <v>109</v>
      </c>
      <c r="AZ1945" t="s">
        <v>555</v>
      </c>
      <c r="BC1945">
        <v>53</v>
      </c>
      <c r="BH1945" t="s">
        <v>99</v>
      </c>
      <c r="BO1945" t="s">
        <v>111</v>
      </c>
      <c r="CD1945" t="s">
        <v>562</v>
      </c>
      <c r="CE1945">
        <v>102076</v>
      </c>
      <c r="CF1945" t="s">
        <v>563</v>
      </c>
      <c r="CG1945" t="s">
        <v>564</v>
      </c>
      <c r="CH1945">
        <v>2007</v>
      </c>
    </row>
    <row r="1946" spans="1:86" hidden="1" x14ac:dyDescent="0.25">
      <c r="A1946">
        <v>330541</v>
      </c>
      <c r="B1946" t="s">
        <v>86</v>
      </c>
      <c r="C1946" t="s">
        <v>560</v>
      </c>
      <c r="D1946" t="s">
        <v>87</v>
      </c>
      <c r="F1946">
        <v>98</v>
      </c>
      <c r="K1946" t="s">
        <v>1577</v>
      </c>
      <c r="L1946" t="s">
        <v>1554</v>
      </c>
      <c r="M1946" t="s">
        <v>1549</v>
      </c>
      <c r="V1946" t="s">
        <v>561</v>
      </c>
      <c r="W1946" t="s">
        <v>107</v>
      </c>
      <c r="X1946" t="s">
        <v>559</v>
      </c>
      <c r="Y1946">
        <v>3</v>
      </c>
      <c r="Z1946" t="s">
        <v>94</v>
      </c>
      <c r="AB1946">
        <v>8.8000000000000005E-3</v>
      </c>
      <c r="AG1946" t="s">
        <v>95</v>
      </c>
      <c r="AX1946" t="s">
        <v>602</v>
      </c>
      <c r="AY1946" t="s">
        <v>1578</v>
      </c>
      <c r="AZ1946" t="s">
        <v>555</v>
      </c>
      <c r="BB1946" t="s">
        <v>234</v>
      </c>
      <c r="BC1946">
        <v>90</v>
      </c>
      <c r="BH1946" t="s">
        <v>99</v>
      </c>
      <c r="BO1946" t="s">
        <v>111</v>
      </c>
      <c r="CD1946" t="s">
        <v>562</v>
      </c>
      <c r="CE1946">
        <v>102076</v>
      </c>
      <c r="CF1946" t="s">
        <v>563</v>
      </c>
      <c r="CG1946" t="s">
        <v>564</v>
      </c>
      <c r="CH1946">
        <v>2007</v>
      </c>
    </row>
    <row r="1947" spans="1:86" hidden="1" x14ac:dyDescent="0.25">
      <c r="A1947">
        <v>330541</v>
      </c>
      <c r="B1947" t="s">
        <v>86</v>
      </c>
      <c r="C1947" t="s">
        <v>560</v>
      </c>
      <c r="D1947" t="s">
        <v>87</v>
      </c>
      <c r="F1947">
        <v>98</v>
      </c>
      <c r="K1947" t="s">
        <v>1572</v>
      </c>
      <c r="L1947" t="s">
        <v>1560</v>
      </c>
      <c r="M1947" t="s">
        <v>1549</v>
      </c>
      <c r="V1947" t="s">
        <v>561</v>
      </c>
      <c r="W1947" t="s">
        <v>107</v>
      </c>
      <c r="X1947" t="s">
        <v>559</v>
      </c>
      <c r="Y1947">
        <v>3</v>
      </c>
      <c r="Z1947" t="s">
        <v>94</v>
      </c>
      <c r="AB1947">
        <v>8.8000000000000005E-3</v>
      </c>
      <c r="AG1947" t="s">
        <v>95</v>
      </c>
      <c r="AX1947" t="s">
        <v>201</v>
      </c>
      <c r="AY1947" t="s">
        <v>646</v>
      </c>
      <c r="AZ1947" t="s">
        <v>555</v>
      </c>
      <c r="BB1947" t="s">
        <v>234</v>
      </c>
      <c r="BC1947">
        <v>53</v>
      </c>
      <c r="BH1947" t="s">
        <v>99</v>
      </c>
      <c r="BO1947" t="s">
        <v>111</v>
      </c>
      <c r="CD1947" t="s">
        <v>562</v>
      </c>
      <c r="CE1947">
        <v>102076</v>
      </c>
      <c r="CF1947" t="s">
        <v>563</v>
      </c>
      <c r="CG1947" t="s">
        <v>564</v>
      </c>
      <c r="CH1947">
        <v>2007</v>
      </c>
    </row>
    <row r="1948" spans="1:86" hidden="1" x14ac:dyDescent="0.25">
      <c r="A1948">
        <v>330541</v>
      </c>
      <c r="B1948" t="s">
        <v>86</v>
      </c>
      <c r="C1948" t="s">
        <v>560</v>
      </c>
      <c r="D1948" t="s">
        <v>87</v>
      </c>
      <c r="F1948">
        <v>98</v>
      </c>
      <c r="K1948" t="s">
        <v>1577</v>
      </c>
      <c r="L1948" t="s">
        <v>1554</v>
      </c>
      <c r="M1948" t="s">
        <v>1549</v>
      </c>
      <c r="V1948" t="s">
        <v>561</v>
      </c>
      <c r="W1948" t="s">
        <v>107</v>
      </c>
      <c r="X1948" t="s">
        <v>559</v>
      </c>
      <c r="Y1948">
        <v>3</v>
      </c>
      <c r="Z1948" t="s">
        <v>94</v>
      </c>
      <c r="AB1948">
        <v>9.1E-4</v>
      </c>
      <c r="AG1948" t="s">
        <v>95</v>
      </c>
      <c r="AX1948" t="s">
        <v>201</v>
      </c>
      <c r="AY1948" t="s">
        <v>646</v>
      </c>
      <c r="AZ1948" t="s">
        <v>555</v>
      </c>
      <c r="BB1948" t="s">
        <v>234</v>
      </c>
      <c r="BC1948">
        <v>90</v>
      </c>
      <c r="BH1948" t="s">
        <v>99</v>
      </c>
      <c r="BO1948" t="s">
        <v>111</v>
      </c>
      <c r="CD1948" t="s">
        <v>562</v>
      </c>
      <c r="CE1948">
        <v>102076</v>
      </c>
      <c r="CF1948" t="s">
        <v>563</v>
      </c>
      <c r="CG1948" t="s">
        <v>564</v>
      </c>
      <c r="CH1948">
        <v>2007</v>
      </c>
    </row>
    <row r="1949" spans="1:86" hidden="1" x14ac:dyDescent="0.25">
      <c r="A1949">
        <v>330541</v>
      </c>
      <c r="B1949" t="s">
        <v>86</v>
      </c>
      <c r="C1949" t="s">
        <v>560</v>
      </c>
      <c r="D1949" t="s">
        <v>87</v>
      </c>
      <c r="F1949">
        <v>98</v>
      </c>
      <c r="K1949" t="s">
        <v>1569</v>
      </c>
      <c r="L1949" t="s">
        <v>1560</v>
      </c>
      <c r="M1949" t="s">
        <v>1549</v>
      </c>
      <c r="V1949" t="s">
        <v>561</v>
      </c>
      <c r="W1949" t="s">
        <v>107</v>
      </c>
      <c r="X1949" t="s">
        <v>559</v>
      </c>
      <c r="Y1949">
        <v>3</v>
      </c>
      <c r="Z1949" t="s">
        <v>94</v>
      </c>
      <c r="AB1949">
        <v>9.1E-4</v>
      </c>
      <c r="AG1949" t="s">
        <v>95</v>
      </c>
      <c r="AX1949" t="s">
        <v>108</v>
      </c>
      <c r="AY1949" t="s">
        <v>109</v>
      </c>
      <c r="AZ1949" t="s">
        <v>555</v>
      </c>
      <c r="BC1949">
        <v>67</v>
      </c>
      <c r="BH1949" t="s">
        <v>99</v>
      </c>
      <c r="BO1949" t="s">
        <v>111</v>
      </c>
      <c r="CD1949" t="s">
        <v>562</v>
      </c>
      <c r="CE1949">
        <v>102076</v>
      </c>
      <c r="CF1949" t="s">
        <v>563</v>
      </c>
      <c r="CG1949" t="s">
        <v>564</v>
      </c>
      <c r="CH1949">
        <v>2007</v>
      </c>
    </row>
    <row r="1950" spans="1:86" hidden="1" x14ac:dyDescent="0.25">
      <c r="A1950">
        <v>330541</v>
      </c>
      <c r="B1950" t="s">
        <v>86</v>
      </c>
      <c r="C1950" t="s">
        <v>560</v>
      </c>
      <c r="D1950" t="s">
        <v>87</v>
      </c>
      <c r="F1950">
        <v>98</v>
      </c>
      <c r="K1950" t="s">
        <v>1572</v>
      </c>
      <c r="L1950" t="s">
        <v>1560</v>
      </c>
      <c r="M1950" t="s">
        <v>1549</v>
      </c>
      <c r="V1950" t="s">
        <v>561</v>
      </c>
      <c r="W1950" t="s">
        <v>107</v>
      </c>
      <c r="X1950" t="s">
        <v>559</v>
      </c>
      <c r="Y1950">
        <v>3</v>
      </c>
      <c r="Z1950" t="s">
        <v>94</v>
      </c>
      <c r="AB1950">
        <v>9.1E-4</v>
      </c>
      <c r="AG1950" t="s">
        <v>95</v>
      </c>
      <c r="AX1950" t="s">
        <v>108</v>
      </c>
      <c r="AY1950" t="s">
        <v>109</v>
      </c>
      <c r="AZ1950" t="s">
        <v>555</v>
      </c>
      <c r="BC1950">
        <v>53</v>
      </c>
      <c r="BH1950" t="s">
        <v>99</v>
      </c>
      <c r="BO1950" t="s">
        <v>111</v>
      </c>
      <c r="CD1950" t="s">
        <v>562</v>
      </c>
      <c r="CE1950">
        <v>102076</v>
      </c>
      <c r="CF1950" t="s">
        <v>563</v>
      </c>
      <c r="CG1950" t="s">
        <v>564</v>
      </c>
      <c r="CH1950">
        <v>2007</v>
      </c>
    </row>
    <row r="1951" spans="1:86" hidden="1" x14ac:dyDescent="0.25">
      <c r="A1951">
        <v>330541</v>
      </c>
      <c r="B1951" t="s">
        <v>86</v>
      </c>
      <c r="C1951" t="s">
        <v>560</v>
      </c>
      <c r="D1951" t="s">
        <v>87</v>
      </c>
      <c r="F1951">
        <v>98</v>
      </c>
      <c r="K1951" t="s">
        <v>1569</v>
      </c>
      <c r="L1951" t="s">
        <v>1560</v>
      </c>
      <c r="M1951" t="s">
        <v>1549</v>
      </c>
      <c r="V1951" t="s">
        <v>561</v>
      </c>
      <c r="W1951" t="s">
        <v>107</v>
      </c>
      <c r="X1951" t="s">
        <v>559</v>
      </c>
      <c r="Y1951">
        <v>3</v>
      </c>
      <c r="Z1951" t="s">
        <v>94</v>
      </c>
      <c r="AB1951">
        <v>8.8000000000000005E-3</v>
      </c>
      <c r="AG1951" t="s">
        <v>95</v>
      </c>
      <c r="AX1951" t="s">
        <v>201</v>
      </c>
      <c r="AY1951" t="s">
        <v>646</v>
      </c>
      <c r="AZ1951" t="s">
        <v>555</v>
      </c>
      <c r="BB1951" t="s">
        <v>234</v>
      </c>
      <c r="BC1951">
        <v>67</v>
      </c>
      <c r="BH1951" t="s">
        <v>99</v>
      </c>
      <c r="BO1951" t="s">
        <v>111</v>
      </c>
      <c r="CD1951" t="s">
        <v>562</v>
      </c>
      <c r="CE1951">
        <v>102076</v>
      </c>
      <c r="CF1951" t="s">
        <v>563</v>
      </c>
      <c r="CG1951" t="s">
        <v>564</v>
      </c>
      <c r="CH1951">
        <v>2007</v>
      </c>
    </row>
    <row r="1952" spans="1:86" hidden="1" x14ac:dyDescent="0.25">
      <c r="A1952">
        <v>330541</v>
      </c>
      <c r="B1952" t="s">
        <v>86</v>
      </c>
      <c r="D1952" t="s">
        <v>115</v>
      </c>
      <c r="K1952" t="s">
        <v>1553</v>
      </c>
      <c r="L1952" t="s">
        <v>1554</v>
      </c>
      <c r="M1952" t="s">
        <v>1549</v>
      </c>
      <c r="V1952" t="s">
        <v>257</v>
      </c>
      <c r="W1952" t="s">
        <v>107</v>
      </c>
      <c r="X1952" t="s">
        <v>93</v>
      </c>
      <c r="Y1952">
        <v>4</v>
      </c>
      <c r="Z1952" t="s">
        <v>137</v>
      </c>
      <c r="AB1952">
        <v>0.01</v>
      </c>
      <c r="AG1952" t="s">
        <v>95</v>
      </c>
      <c r="AX1952" t="s">
        <v>602</v>
      </c>
      <c r="AY1952" t="s">
        <v>1579</v>
      </c>
      <c r="AZ1952" t="s">
        <v>555</v>
      </c>
      <c r="BC1952">
        <v>2</v>
      </c>
      <c r="BH1952" t="s">
        <v>99</v>
      </c>
      <c r="BO1952" t="s">
        <v>111</v>
      </c>
      <c r="CD1952" t="s">
        <v>1580</v>
      </c>
      <c r="CE1952">
        <v>72766</v>
      </c>
      <c r="CF1952" t="s">
        <v>1581</v>
      </c>
      <c r="CG1952" t="s">
        <v>1582</v>
      </c>
      <c r="CH1952">
        <v>2003</v>
      </c>
    </row>
    <row r="1953" spans="1:86" hidden="1" x14ac:dyDescent="0.25">
      <c r="A1953">
        <v>330541</v>
      </c>
      <c r="B1953" t="s">
        <v>86</v>
      </c>
      <c r="D1953" t="s">
        <v>115</v>
      </c>
      <c r="K1953" t="s">
        <v>1553</v>
      </c>
      <c r="L1953" t="s">
        <v>1554</v>
      </c>
      <c r="M1953" t="s">
        <v>1549</v>
      </c>
      <c r="V1953" t="s">
        <v>257</v>
      </c>
      <c r="W1953" t="s">
        <v>107</v>
      </c>
      <c r="X1953" t="s">
        <v>93</v>
      </c>
      <c r="Y1953">
        <v>4</v>
      </c>
      <c r="Z1953" t="s">
        <v>137</v>
      </c>
      <c r="AB1953">
        <v>0.05</v>
      </c>
      <c r="AG1953" t="s">
        <v>95</v>
      </c>
      <c r="AX1953" t="s">
        <v>144</v>
      </c>
      <c r="AY1953" t="s">
        <v>455</v>
      </c>
      <c r="AZ1953" t="s">
        <v>555</v>
      </c>
      <c r="BC1953">
        <v>2</v>
      </c>
      <c r="BH1953" t="s">
        <v>99</v>
      </c>
      <c r="BO1953" t="s">
        <v>111</v>
      </c>
      <c r="CD1953" t="s">
        <v>1580</v>
      </c>
      <c r="CE1953">
        <v>72766</v>
      </c>
      <c r="CF1953" t="s">
        <v>1581</v>
      </c>
      <c r="CG1953" t="s">
        <v>1582</v>
      </c>
      <c r="CH1953">
        <v>2003</v>
      </c>
    </row>
    <row r="1954" spans="1:86" hidden="1" x14ac:dyDescent="0.25">
      <c r="A1954">
        <v>330541</v>
      </c>
      <c r="B1954" t="s">
        <v>86</v>
      </c>
      <c r="D1954" t="s">
        <v>115</v>
      </c>
      <c r="K1954" t="s">
        <v>1572</v>
      </c>
      <c r="L1954" t="s">
        <v>1560</v>
      </c>
      <c r="M1954" t="s">
        <v>1549</v>
      </c>
      <c r="N1954" t="s">
        <v>1000</v>
      </c>
      <c r="V1954" t="s">
        <v>507</v>
      </c>
      <c r="W1954" t="s">
        <v>107</v>
      </c>
      <c r="X1954" t="s">
        <v>93</v>
      </c>
      <c r="Y1954">
        <v>6</v>
      </c>
      <c r="Z1954" t="s">
        <v>137</v>
      </c>
      <c r="AB1954">
        <v>1E-3</v>
      </c>
      <c r="AG1954" t="s">
        <v>95</v>
      </c>
      <c r="AX1954" t="s">
        <v>196</v>
      </c>
      <c r="AY1954" t="s">
        <v>1583</v>
      </c>
      <c r="AZ1954" t="s">
        <v>555</v>
      </c>
      <c r="BC1954">
        <v>50</v>
      </c>
      <c r="BH1954" t="s">
        <v>99</v>
      </c>
      <c r="BO1954" t="s">
        <v>111</v>
      </c>
      <c r="CD1954" t="s">
        <v>1584</v>
      </c>
      <c r="CE1954">
        <v>102078</v>
      </c>
      <c r="CF1954" t="s">
        <v>1585</v>
      </c>
      <c r="CG1954" t="s">
        <v>1586</v>
      </c>
      <c r="CH1954">
        <v>2007</v>
      </c>
    </row>
    <row r="1955" spans="1:86" hidden="1" x14ac:dyDescent="0.25">
      <c r="A1955">
        <v>330541</v>
      </c>
      <c r="B1955" t="s">
        <v>86</v>
      </c>
      <c r="D1955" t="s">
        <v>115</v>
      </c>
      <c r="K1955" t="s">
        <v>1571</v>
      </c>
      <c r="L1955" t="s">
        <v>1560</v>
      </c>
      <c r="M1955" t="s">
        <v>1549</v>
      </c>
      <c r="N1955" t="s">
        <v>945</v>
      </c>
      <c r="R1955">
        <v>10</v>
      </c>
      <c r="T1955">
        <v>15</v>
      </c>
      <c r="U1955" t="s">
        <v>99</v>
      </c>
      <c r="V1955" t="s">
        <v>507</v>
      </c>
      <c r="W1955" t="s">
        <v>107</v>
      </c>
      <c r="X1955" t="s">
        <v>93</v>
      </c>
      <c r="Y1955">
        <v>5</v>
      </c>
      <c r="Z1955" t="s">
        <v>137</v>
      </c>
      <c r="AB1955">
        <v>0.1</v>
      </c>
      <c r="AG1955" t="s">
        <v>95</v>
      </c>
      <c r="AX1955" t="s">
        <v>912</v>
      </c>
      <c r="AY1955" t="s">
        <v>1019</v>
      </c>
      <c r="AZ1955" t="s">
        <v>586</v>
      </c>
      <c r="BA1955" t="s">
        <v>179</v>
      </c>
      <c r="BC1955">
        <v>1</v>
      </c>
      <c r="BH1955" t="s">
        <v>99</v>
      </c>
      <c r="BO1955" t="s">
        <v>111</v>
      </c>
      <c r="CD1955" t="s">
        <v>578</v>
      </c>
      <c r="CE1955">
        <v>85949</v>
      </c>
      <c r="CF1955" t="s">
        <v>579</v>
      </c>
      <c r="CG1955" t="s">
        <v>580</v>
      </c>
      <c r="CH1955">
        <v>2005</v>
      </c>
    </row>
    <row r="1956" spans="1:86" hidden="1" x14ac:dyDescent="0.25">
      <c r="A1956">
        <v>330541</v>
      </c>
      <c r="B1956" t="s">
        <v>86</v>
      </c>
      <c r="D1956" t="s">
        <v>87</v>
      </c>
      <c r="K1956" t="s">
        <v>1549</v>
      </c>
      <c r="L1956" t="s">
        <v>1549</v>
      </c>
      <c r="M1956" t="s">
        <v>1549</v>
      </c>
      <c r="V1956" t="s">
        <v>491</v>
      </c>
      <c r="W1956" t="s">
        <v>92</v>
      </c>
      <c r="X1956" t="s">
        <v>559</v>
      </c>
      <c r="Y1956">
        <v>3</v>
      </c>
      <c r="Z1956" t="s">
        <v>94</v>
      </c>
      <c r="AB1956"/>
      <c r="AD1956">
        <v>1.082E-2</v>
      </c>
      <c r="AF1956">
        <v>1.136E-2</v>
      </c>
      <c r="AG1956" t="s">
        <v>95</v>
      </c>
      <c r="AX1956" t="s">
        <v>108</v>
      </c>
      <c r="AY1956" t="s">
        <v>174</v>
      </c>
      <c r="AZ1956" t="s">
        <v>586</v>
      </c>
      <c r="BC1956">
        <v>5</v>
      </c>
      <c r="BH1956" t="s">
        <v>99</v>
      </c>
      <c r="BO1956" t="s">
        <v>111</v>
      </c>
      <c r="CD1956" t="s">
        <v>728</v>
      </c>
      <c r="CE1956">
        <v>172395</v>
      </c>
      <c r="CF1956" t="s">
        <v>729</v>
      </c>
      <c r="CG1956" t="s">
        <v>730</v>
      </c>
      <c r="CH1956">
        <v>2011</v>
      </c>
    </row>
    <row r="1957" spans="1:86" hidden="1" x14ac:dyDescent="0.25">
      <c r="A1957">
        <v>330541</v>
      </c>
      <c r="B1957" t="s">
        <v>86</v>
      </c>
      <c r="D1957" t="s">
        <v>115</v>
      </c>
      <c r="K1957" t="s">
        <v>1553</v>
      </c>
      <c r="L1957" t="s">
        <v>1554</v>
      </c>
      <c r="M1957" t="s">
        <v>1549</v>
      </c>
      <c r="V1957" t="s">
        <v>91</v>
      </c>
      <c r="W1957" t="s">
        <v>107</v>
      </c>
      <c r="X1957" t="s">
        <v>93</v>
      </c>
      <c r="Y1957">
        <v>6</v>
      </c>
      <c r="Z1957" t="s">
        <v>137</v>
      </c>
      <c r="AB1957">
        <v>2.9999999999999997E-4</v>
      </c>
      <c r="AG1957" t="s">
        <v>95</v>
      </c>
      <c r="AX1957" t="s">
        <v>108</v>
      </c>
      <c r="AY1957" t="s">
        <v>311</v>
      </c>
      <c r="AZ1957" t="s">
        <v>586</v>
      </c>
      <c r="BC1957">
        <v>0.41670000000000001</v>
      </c>
      <c r="BH1957" t="s">
        <v>99</v>
      </c>
      <c r="BO1957" t="s">
        <v>111</v>
      </c>
      <c r="CD1957" t="s">
        <v>1555</v>
      </c>
      <c r="CE1957">
        <v>78651</v>
      </c>
      <c r="CF1957" t="s">
        <v>1556</v>
      </c>
      <c r="CG1957" t="s">
        <v>1557</v>
      </c>
      <c r="CH1957">
        <v>2003</v>
      </c>
    </row>
    <row r="1958" spans="1:86" hidden="1" x14ac:dyDescent="0.25">
      <c r="A1958">
        <v>330541</v>
      </c>
      <c r="B1958" t="s">
        <v>86</v>
      </c>
      <c r="D1958" t="s">
        <v>115</v>
      </c>
      <c r="K1958" t="s">
        <v>1569</v>
      </c>
      <c r="L1958" t="s">
        <v>1560</v>
      </c>
      <c r="M1958" t="s">
        <v>1549</v>
      </c>
      <c r="P1958">
        <v>17</v>
      </c>
      <c r="U1958" t="s">
        <v>99</v>
      </c>
      <c r="V1958" t="s">
        <v>507</v>
      </c>
      <c r="W1958" t="s">
        <v>107</v>
      </c>
      <c r="X1958" t="s">
        <v>93</v>
      </c>
      <c r="Y1958">
        <v>6</v>
      </c>
      <c r="Z1958" t="s">
        <v>137</v>
      </c>
      <c r="AB1958">
        <v>0.01</v>
      </c>
      <c r="AG1958" t="s">
        <v>95</v>
      </c>
      <c r="AX1958" t="s">
        <v>108</v>
      </c>
      <c r="AY1958" t="s">
        <v>150</v>
      </c>
      <c r="AZ1958" t="s">
        <v>586</v>
      </c>
      <c r="BA1958" t="s">
        <v>1570</v>
      </c>
      <c r="BC1958">
        <v>4</v>
      </c>
      <c r="BH1958" t="s">
        <v>99</v>
      </c>
      <c r="BO1958" t="s">
        <v>111</v>
      </c>
      <c r="CD1958" t="s">
        <v>578</v>
      </c>
      <c r="CE1958">
        <v>85949</v>
      </c>
      <c r="CF1958" t="s">
        <v>579</v>
      </c>
      <c r="CG1958" t="s">
        <v>580</v>
      </c>
      <c r="CH1958">
        <v>2005</v>
      </c>
    </row>
    <row r="1959" spans="1:86" hidden="1" x14ac:dyDescent="0.25">
      <c r="A1959">
        <v>330541</v>
      </c>
      <c r="B1959" t="s">
        <v>86</v>
      </c>
      <c r="D1959" t="s">
        <v>115</v>
      </c>
      <c r="K1959" t="s">
        <v>1571</v>
      </c>
      <c r="L1959" t="s">
        <v>1560</v>
      </c>
      <c r="M1959" t="s">
        <v>1549</v>
      </c>
      <c r="P1959">
        <v>17</v>
      </c>
      <c r="U1959" t="s">
        <v>99</v>
      </c>
      <c r="V1959" t="s">
        <v>507</v>
      </c>
      <c r="W1959" t="s">
        <v>107</v>
      </c>
      <c r="X1959" t="s">
        <v>93</v>
      </c>
      <c r="Y1959">
        <v>6</v>
      </c>
      <c r="Z1959" t="s">
        <v>137</v>
      </c>
      <c r="AB1959">
        <v>1E-4</v>
      </c>
      <c r="AG1959" t="s">
        <v>95</v>
      </c>
      <c r="AX1959" t="s">
        <v>144</v>
      </c>
      <c r="AY1959" t="s">
        <v>109</v>
      </c>
      <c r="AZ1959" t="s">
        <v>586</v>
      </c>
      <c r="BC1959">
        <v>4</v>
      </c>
      <c r="BH1959" t="s">
        <v>99</v>
      </c>
      <c r="BO1959" t="s">
        <v>111</v>
      </c>
      <c r="CD1959" t="s">
        <v>578</v>
      </c>
      <c r="CE1959">
        <v>85949</v>
      </c>
      <c r="CF1959" t="s">
        <v>579</v>
      </c>
      <c r="CG1959" t="s">
        <v>580</v>
      </c>
      <c r="CH1959">
        <v>2005</v>
      </c>
    </row>
    <row r="1960" spans="1:86" hidden="1" x14ac:dyDescent="0.25">
      <c r="A1960">
        <v>330541</v>
      </c>
      <c r="B1960" t="s">
        <v>86</v>
      </c>
      <c r="D1960" t="s">
        <v>115</v>
      </c>
      <c r="K1960" t="s">
        <v>1571</v>
      </c>
      <c r="L1960" t="s">
        <v>1560</v>
      </c>
      <c r="M1960" t="s">
        <v>1549</v>
      </c>
      <c r="P1960">
        <v>17</v>
      </c>
      <c r="U1960" t="s">
        <v>99</v>
      </c>
      <c r="V1960" t="s">
        <v>507</v>
      </c>
      <c r="W1960" t="s">
        <v>107</v>
      </c>
      <c r="X1960" t="s">
        <v>93</v>
      </c>
      <c r="Y1960">
        <v>5</v>
      </c>
      <c r="Z1960" t="s">
        <v>137</v>
      </c>
      <c r="AB1960">
        <v>0.1</v>
      </c>
      <c r="AG1960" t="s">
        <v>95</v>
      </c>
      <c r="AX1960" t="s">
        <v>523</v>
      </c>
      <c r="AY1960" t="s">
        <v>1013</v>
      </c>
      <c r="AZ1960" t="s">
        <v>586</v>
      </c>
      <c r="BA1960" t="s">
        <v>179</v>
      </c>
      <c r="BC1960">
        <v>4</v>
      </c>
      <c r="BH1960" t="s">
        <v>99</v>
      </c>
      <c r="BO1960" t="s">
        <v>111</v>
      </c>
      <c r="CD1960" t="s">
        <v>578</v>
      </c>
      <c r="CE1960">
        <v>85949</v>
      </c>
      <c r="CF1960" t="s">
        <v>579</v>
      </c>
      <c r="CG1960" t="s">
        <v>580</v>
      </c>
      <c r="CH1960">
        <v>2005</v>
      </c>
    </row>
    <row r="1961" spans="1:86" hidden="1" x14ac:dyDescent="0.25">
      <c r="A1961">
        <v>330541</v>
      </c>
      <c r="B1961" t="s">
        <v>86</v>
      </c>
      <c r="D1961" t="s">
        <v>115</v>
      </c>
      <c r="K1961" t="s">
        <v>1571</v>
      </c>
      <c r="L1961" t="s">
        <v>1560</v>
      </c>
      <c r="M1961" t="s">
        <v>1549</v>
      </c>
      <c r="N1961" t="s">
        <v>945</v>
      </c>
      <c r="P1961">
        <v>7</v>
      </c>
      <c r="U1961" t="s">
        <v>99</v>
      </c>
      <c r="V1961" t="s">
        <v>507</v>
      </c>
      <c r="W1961" t="s">
        <v>107</v>
      </c>
      <c r="X1961" t="s">
        <v>93</v>
      </c>
      <c r="Y1961">
        <v>5</v>
      </c>
      <c r="Z1961" t="s">
        <v>137</v>
      </c>
      <c r="AB1961">
        <v>1</v>
      </c>
      <c r="AG1961" t="s">
        <v>95</v>
      </c>
      <c r="AX1961" t="s">
        <v>523</v>
      </c>
      <c r="AY1961" t="s">
        <v>1013</v>
      </c>
      <c r="AZ1961" t="s">
        <v>586</v>
      </c>
      <c r="BA1961" t="s">
        <v>179</v>
      </c>
      <c r="BC1961">
        <v>4</v>
      </c>
      <c r="BH1961" t="s">
        <v>99</v>
      </c>
      <c r="BO1961" t="s">
        <v>111</v>
      </c>
      <c r="CD1961" t="s">
        <v>578</v>
      </c>
      <c r="CE1961">
        <v>85949</v>
      </c>
      <c r="CF1961" t="s">
        <v>579</v>
      </c>
      <c r="CG1961" t="s">
        <v>580</v>
      </c>
      <c r="CH1961">
        <v>2005</v>
      </c>
    </row>
    <row r="1962" spans="1:86" hidden="1" x14ac:dyDescent="0.25">
      <c r="A1962">
        <v>330541</v>
      </c>
      <c r="B1962" t="s">
        <v>86</v>
      </c>
      <c r="D1962" t="s">
        <v>115</v>
      </c>
      <c r="K1962" t="s">
        <v>1569</v>
      </c>
      <c r="L1962" t="s">
        <v>1560</v>
      </c>
      <c r="M1962" t="s">
        <v>1549</v>
      </c>
      <c r="P1962">
        <v>17</v>
      </c>
      <c r="U1962" t="s">
        <v>99</v>
      </c>
      <c r="V1962" t="s">
        <v>507</v>
      </c>
      <c r="W1962" t="s">
        <v>107</v>
      </c>
      <c r="X1962" t="s">
        <v>93</v>
      </c>
      <c r="Y1962">
        <v>6</v>
      </c>
      <c r="Z1962" t="s">
        <v>137</v>
      </c>
      <c r="AB1962">
        <v>1E-4</v>
      </c>
      <c r="AG1962" t="s">
        <v>95</v>
      </c>
      <c r="AX1962" t="s">
        <v>144</v>
      </c>
      <c r="AY1962" t="s">
        <v>109</v>
      </c>
      <c r="AZ1962" t="s">
        <v>586</v>
      </c>
      <c r="BC1962">
        <v>4</v>
      </c>
      <c r="BH1962" t="s">
        <v>99</v>
      </c>
      <c r="BO1962" t="s">
        <v>111</v>
      </c>
      <c r="CD1962" t="s">
        <v>578</v>
      </c>
      <c r="CE1962">
        <v>85949</v>
      </c>
      <c r="CF1962" t="s">
        <v>579</v>
      </c>
      <c r="CG1962" t="s">
        <v>580</v>
      </c>
      <c r="CH1962">
        <v>2005</v>
      </c>
    </row>
    <row r="1963" spans="1:86" hidden="1" x14ac:dyDescent="0.25">
      <c r="A1963">
        <v>330541</v>
      </c>
      <c r="B1963" t="s">
        <v>86</v>
      </c>
      <c r="D1963" t="s">
        <v>115</v>
      </c>
      <c r="K1963" t="s">
        <v>1559</v>
      </c>
      <c r="L1963" t="s">
        <v>1560</v>
      </c>
      <c r="M1963" t="s">
        <v>1549</v>
      </c>
      <c r="V1963" t="s">
        <v>91</v>
      </c>
      <c r="W1963" t="s">
        <v>107</v>
      </c>
      <c r="X1963" t="s">
        <v>93</v>
      </c>
      <c r="Y1963">
        <v>6</v>
      </c>
      <c r="Z1963" t="s">
        <v>137</v>
      </c>
      <c r="AA1963" t="s">
        <v>234</v>
      </c>
      <c r="AB1963">
        <v>2.9999999999999997E-4</v>
      </c>
      <c r="AG1963" t="s">
        <v>95</v>
      </c>
      <c r="AX1963" t="s">
        <v>108</v>
      </c>
      <c r="AY1963" t="s">
        <v>311</v>
      </c>
      <c r="AZ1963" t="s">
        <v>586</v>
      </c>
      <c r="BC1963">
        <v>0.41670000000000001</v>
      </c>
      <c r="BH1963" t="s">
        <v>99</v>
      </c>
      <c r="BO1963" t="s">
        <v>111</v>
      </c>
      <c r="CD1963" t="s">
        <v>1555</v>
      </c>
      <c r="CE1963">
        <v>78651</v>
      </c>
      <c r="CF1963" t="s">
        <v>1556</v>
      </c>
      <c r="CG1963" t="s">
        <v>1557</v>
      </c>
      <c r="CH1963">
        <v>2003</v>
      </c>
    </row>
    <row r="1964" spans="1:86" hidden="1" x14ac:dyDescent="0.25">
      <c r="A1964">
        <v>330541</v>
      </c>
      <c r="B1964" t="s">
        <v>86</v>
      </c>
      <c r="D1964" t="s">
        <v>115</v>
      </c>
      <c r="K1964" t="s">
        <v>1569</v>
      </c>
      <c r="L1964" t="s">
        <v>1560</v>
      </c>
      <c r="M1964" t="s">
        <v>1549</v>
      </c>
      <c r="P1964">
        <v>17</v>
      </c>
      <c r="U1964" t="s">
        <v>99</v>
      </c>
      <c r="V1964" t="s">
        <v>507</v>
      </c>
      <c r="W1964" t="s">
        <v>107</v>
      </c>
      <c r="X1964" t="s">
        <v>93</v>
      </c>
      <c r="Y1964">
        <v>5</v>
      </c>
      <c r="Z1964" t="s">
        <v>137</v>
      </c>
      <c r="AB1964">
        <v>0.1</v>
      </c>
      <c r="AG1964" t="s">
        <v>95</v>
      </c>
      <c r="AX1964" t="s">
        <v>523</v>
      </c>
      <c r="AY1964" t="s">
        <v>1013</v>
      </c>
      <c r="AZ1964" t="s">
        <v>586</v>
      </c>
      <c r="BA1964" t="s">
        <v>179</v>
      </c>
      <c r="BC1964">
        <v>4</v>
      </c>
      <c r="BH1964" t="s">
        <v>99</v>
      </c>
      <c r="BO1964" t="s">
        <v>111</v>
      </c>
      <c r="CD1964" t="s">
        <v>578</v>
      </c>
      <c r="CE1964">
        <v>85949</v>
      </c>
      <c r="CF1964" t="s">
        <v>579</v>
      </c>
      <c r="CG1964" t="s">
        <v>580</v>
      </c>
      <c r="CH1964">
        <v>2005</v>
      </c>
    </row>
    <row r="1965" spans="1:86" hidden="1" x14ac:dyDescent="0.25">
      <c r="A1965">
        <v>330541</v>
      </c>
      <c r="B1965" t="s">
        <v>86</v>
      </c>
      <c r="D1965" t="s">
        <v>115</v>
      </c>
      <c r="K1965" t="s">
        <v>1559</v>
      </c>
      <c r="L1965" t="s">
        <v>1560</v>
      </c>
      <c r="M1965" t="s">
        <v>1549</v>
      </c>
      <c r="V1965" t="s">
        <v>91</v>
      </c>
      <c r="W1965" t="s">
        <v>107</v>
      </c>
      <c r="X1965" t="s">
        <v>93</v>
      </c>
      <c r="Y1965">
        <v>6</v>
      </c>
      <c r="Z1965" t="s">
        <v>137</v>
      </c>
      <c r="AB1965">
        <v>2.9999999999999997E-4</v>
      </c>
      <c r="AG1965" t="s">
        <v>95</v>
      </c>
      <c r="AX1965" t="s">
        <v>108</v>
      </c>
      <c r="AY1965" t="s">
        <v>311</v>
      </c>
      <c r="AZ1965" t="s">
        <v>586</v>
      </c>
      <c r="BC1965">
        <v>0.41670000000000001</v>
      </c>
      <c r="BH1965" t="s">
        <v>99</v>
      </c>
      <c r="BO1965" t="s">
        <v>111</v>
      </c>
      <c r="CD1965" t="s">
        <v>1555</v>
      </c>
      <c r="CE1965">
        <v>78651</v>
      </c>
      <c r="CF1965" t="s">
        <v>1556</v>
      </c>
      <c r="CG1965" t="s">
        <v>1557</v>
      </c>
      <c r="CH1965">
        <v>2003</v>
      </c>
    </row>
    <row r="1966" spans="1:86" hidden="1" x14ac:dyDescent="0.25">
      <c r="A1966">
        <v>330541</v>
      </c>
      <c r="B1966" t="s">
        <v>86</v>
      </c>
      <c r="D1966" t="s">
        <v>115</v>
      </c>
      <c r="K1966" t="s">
        <v>1547</v>
      </c>
      <c r="L1966" t="s">
        <v>1548</v>
      </c>
      <c r="M1966" t="s">
        <v>1549</v>
      </c>
      <c r="V1966" t="s">
        <v>91</v>
      </c>
      <c r="W1966" t="s">
        <v>220</v>
      </c>
      <c r="X1966" t="s">
        <v>93</v>
      </c>
      <c r="Y1966">
        <v>8</v>
      </c>
      <c r="Z1966" t="s">
        <v>137</v>
      </c>
      <c r="AB1966">
        <v>1.5</v>
      </c>
      <c r="AG1966" t="s">
        <v>95</v>
      </c>
      <c r="AX1966" t="s">
        <v>108</v>
      </c>
      <c r="AY1966" t="s">
        <v>150</v>
      </c>
      <c r="AZ1966" t="s">
        <v>586</v>
      </c>
      <c r="BC1966">
        <v>4</v>
      </c>
      <c r="BH1966" t="s">
        <v>99</v>
      </c>
      <c r="BO1966" t="s">
        <v>111</v>
      </c>
      <c r="CD1966" t="s">
        <v>1550</v>
      </c>
      <c r="CE1966">
        <v>174258</v>
      </c>
      <c r="CF1966" t="s">
        <v>1551</v>
      </c>
      <c r="CG1966" t="s">
        <v>1552</v>
      </c>
      <c r="CH1966">
        <v>1986</v>
      </c>
    </row>
    <row r="1967" spans="1:86" hidden="1" x14ac:dyDescent="0.25">
      <c r="A1967">
        <v>330541</v>
      </c>
      <c r="B1967" t="s">
        <v>86</v>
      </c>
      <c r="D1967" t="s">
        <v>115</v>
      </c>
      <c r="K1967" t="s">
        <v>1569</v>
      </c>
      <c r="L1967" t="s">
        <v>1560</v>
      </c>
      <c r="M1967" t="s">
        <v>1549</v>
      </c>
      <c r="N1967" t="s">
        <v>794</v>
      </c>
      <c r="V1967" t="s">
        <v>507</v>
      </c>
      <c r="W1967" t="s">
        <v>107</v>
      </c>
      <c r="X1967" t="s">
        <v>93</v>
      </c>
      <c r="Y1967">
        <v>8</v>
      </c>
      <c r="Z1967" t="s">
        <v>137</v>
      </c>
      <c r="AB1967">
        <v>1</v>
      </c>
      <c r="AG1967" t="s">
        <v>95</v>
      </c>
      <c r="AX1967" t="s">
        <v>912</v>
      </c>
      <c r="AY1967" t="s">
        <v>1019</v>
      </c>
      <c r="AZ1967" t="s">
        <v>586</v>
      </c>
      <c r="BA1967" t="s">
        <v>179</v>
      </c>
      <c r="BC1967">
        <v>1</v>
      </c>
      <c r="BH1967" t="s">
        <v>99</v>
      </c>
      <c r="BO1967" t="s">
        <v>111</v>
      </c>
      <c r="CD1967" t="s">
        <v>578</v>
      </c>
      <c r="CE1967">
        <v>85949</v>
      </c>
      <c r="CF1967" t="s">
        <v>579</v>
      </c>
      <c r="CG1967" t="s">
        <v>580</v>
      </c>
      <c r="CH1967">
        <v>2005</v>
      </c>
    </row>
    <row r="1968" spans="1:86" hidden="1" x14ac:dyDescent="0.25">
      <c r="A1968">
        <v>330541</v>
      </c>
      <c r="B1968" t="s">
        <v>86</v>
      </c>
      <c r="D1968" t="s">
        <v>115</v>
      </c>
      <c r="K1968" t="s">
        <v>1571</v>
      </c>
      <c r="L1968" t="s">
        <v>1560</v>
      </c>
      <c r="M1968" t="s">
        <v>1549</v>
      </c>
      <c r="N1968" t="s">
        <v>794</v>
      </c>
      <c r="V1968" t="s">
        <v>507</v>
      </c>
      <c r="W1968" t="s">
        <v>107</v>
      </c>
      <c r="X1968" t="s">
        <v>93</v>
      </c>
      <c r="Y1968">
        <v>8</v>
      </c>
      <c r="Z1968" t="s">
        <v>137</v>
      </c>
      <c r="AB1968">
        <v>1</v>
      </c>
      <c r="AG1968" t="s">
        <v>95</v>
      </c>
      <c r="AX1968" t="s">
        <v>602</v>
      </c>
      <c r="AY1968" t="s">
        <v>1587</v>
      </c>
      <c r="AZ1968" t="s">
        <v>586</v>
      </c>
      <c r="BA1968" t="s">
        <v>1588</v>
      </c>
      <c r="BC1968">
        <v>0.16669999999999999</v>
      </c>
      <c r="BH1968" t="s">
        <v>99</v>
      </c>
      <c r="BO1968" t="s">
        <v>111</v>
      </c>
      <c r="CD1968" t="s">
        <v>578</v>
      </c>
      <c r="CE1968">
        <v>85949</v>
      </c>
      <c r="CF1968" t="s">
        <v>579</v>
      </c>
      <c r="CG1968" t="s">
        <v>580</v>
      </c>
      <c r="CH1968">
        <v>2005</v>
      </c>
    </row>
    <row r="1969" spans="1:86" hidden="1" x14ac:dyDescent="0.25">
      <c r="A1969">
        <v>330541</v>
      </c>
      <c r="B1969" t="s">
        <v>86</v>
      </c>
      <c r="D1969" t="s">
        <v>115</v>
      </c>
      <c r="K1969" t="s">
        <v>1547</v>
      </c>
      <c r="L1969" t="s">
        <v>1548</v>
      </c>
      <c r="M1969" t="s">
        <v>1549</v>
      </c>
      <c r="V1969" t="s">
        <v>91</v>
      </c>
      <c r="W1969" t="s">
        <v>220</v>
      </c>
      <c r="X1969" t="s">
        <v>93</v>
      </c>
      <c r="Y1969">
        <v>12</v>
      </c>
      <c r="Z1969" t="s">
        <v>137</v>
      </c>
      <c r="AB1969">
        <v>0.3</v>
      </c>
      <c r="AG1969" t="s">
        <v>95</v>
      </c>
      <c r="AX1969" t="s">
        <v>108</v>
      </c>
      <c r="AY1969" t="s">
        <v>150</v>
      </c>
      <c r="AZ1969" t="s">
        <v>586</v>
      </c>
      <c r="BC1969">
        <v>5</v>
      </c>
      <c r="BH1969" t="s">
        <v>99</v>
      </c>
      <c r="BO1969" t="s">
        <v>111</v>
      </c>
      <c r="CD1969" t="s">
        <v>1550</v>
      </c>
      <c r="CE1969">
        <v>174258</v>
      </c>
      <c r="CF1969" t="s">
        <v>1551</v>
      </c>
      <c r="CG1969" t="s">
        <v>1552</v>
      </c>
      <c r="CH1969">
        <v>1986</v>
      </c>
    </row>
    <row r="1970" spans="1:86" hidden="1" x14ac:dyDescent="0.25">
      <c r="A1970">
        <v>330541</v>
      </c>
      <c r="B1970" t="s">
        <v>86</v>
      </c>
      <c r="D1970" t="s">
        <v>115</v>
      </c>
      <c r="K1970" t="s">
        <v>1547</v>
      </c>
      <c r="L1970" t="s">
        <v>1548</v>
      </c>
      <c r="M1970" t="s">
        <v>1549</v>
      </c>
      <c r="V1970" t="s">
        <v>91</v>
      </c>
      <c r="W1970" t="s">
        <v>220</v>
      </c>
      <c r="X1970" t="s">
        <v>93</v>
      </c>
      <c r="Y1970">
        <v>12</v>
      </c>
      <c r="Z1970" t="s">
        <v>137</v>
      </c>
      <c r="AB1970">
        <v>32</v>
      </c>
      <c r="AG1970" t="s">
        <v>95</v>
      </c>
      <c r="AX1970" t="s">
        <v>108</v>
      </c>
      <c r="AY1970" t="s">
        <v>150</v>
      </c>
      <c r="AZ1970" t="s">
        <v>586</v>
      </c>
      <c r="BC1970">
        <v>2</v>
      </c>
      <c r="BH1970" t="s">
        <v>99</v>
      </c>
      <c r="BO1970" t="s">
        <v>111</v>
      </c>
      <c r="CD1970" t="s">
        <v>1550</v>
      </c>
      <c r="CE1970">
        <v>174258</v>
      </c>
      <c r="CF1970" t="s">
        <v>1551</v>
      </c>
      <c r="CG1970" t="s">
        <v>1552</v>
      </c>
      <c r="CH1970">
        <v>1986</v>
      </c>
    </row>
    <row r="1971" spans="1:86" hidden="1" x14ac:dyDescent="0.25">
      <c r="A1971">
        <v>330541</v>
      </c>
      <c r="B1971" t="s">
        <v>86</v>
      </c>
      <c r="D1971" t="s">
        <v>115</v>
      </c>
      <c r="K1971" t="s">
        <v>1547</v>
      </c>
      <c r="L1971" t="s">
        <v>1548</v>
      </c>
      <c r="M1971" t="s">
        <v>1549</v>
      </c>
      <c r="V1971" t="s">
        <v>91</v>
      </c>
      <c r="W1971" t="s">
        <v>220</v>
      </c>
      <c r="X1971" t="s">
        <v>93</v>
      </c>
      <c r="Y1971">
        <v>12</v>
      </c>
      <c r="Z1971" t="s">
        <v>137</v>
      </c>
      <c r="AB1971">
        <v>0.3</v>
      </c>
      <c r="AG1971" t="s">
        <v>95</v>
      </c>
      <c r="AX1971" t="s">
        <v>108</v>
      </c>
      <c r="AY1971" t="s">
        <v>150</v>
      </c>
      <c r="AZ1971" t="s">
        <v>586</v>
      </c>
      <c r="BC1971">
        <v>4</v>
      </c>
      <c r="BH1971" t="s">
        <v>99</v>
      </c>
      <c r="BO1971" t="s">
        <v>111</v>
      </c>
      <c r="CD1971" t="s">
        <v>1550</v>
      </c>
      <c r="CE1971">
        <v>174258</v>
      </c>
      <c r="CF1971" t="s">
        <v>1551</v>
      </c>
      <c r="CG1971" t="s">
        <v>1552</v>
      </c>
      <c r="CH1971">
        <v>1986</v>
      </c>
    </row>
    <row r="1972" spans="1:86" hidden="1" x14ac:dyDescent="0.25">
      <c r="A1972">
        <v>330541</v>
      </c>
      <c r="B1972" t="s">
        <v>86</v>
      </c>
      <c r="D1972" t="s">
        <v>115</v>
      </c>
      <c r="K1972" t="s">
        <v>1547</v>
      </c>
      <c r="L1972" t="s">
        <v>1548</v>
      </c>
      <c r="M1972" t="s">
        <v>1549</v>
      </c>
      <c r="V1972" t="s">
        <v>91</v>
      </c>
      <c r="W1972" t="s">
        <v>220</v>
      </c>
      <c r="X1972" t="s">
        <v>93</v>
      </c>
      <c r="Y1972">
        <v>12</v>
      </c>
      <c r="Z1972" t="s">
        <v>137</v>
      </c>
      <c r="AB1972">
        <v>32</v>
      </c>
      <c r="AG1972" t="s">
        <v>95</v>
      </c>
      <c r="AX1972" t="s">
        <v>108</v>
      </c>
      <c r="AY1972" t="s">
        <v>150</v>
      </c>
      <c r="AZ1972" t="s">
        <v>586</v>
      </c>
      <c r="BC1972">
        <v>1</v>
      </c>
      <c r="BH1972" t="s">
        <v>99</v>
      </c>
      <c r="BO1972" t="s">
        <v>111</v>
      </c>
      <c r="CD1972" t="s">
        <v>1550</v>
      </c>
      <c r="CE1972">
        <v>174258</v>
      </c>
      <c r="CF1972" t="s">
        <v>1551</v>
      </c>
      <c r="CG1972" t="s">
        <v>1552</v>
      </c>
      <c r="CH1972">
        <v>1986</v>
      </c>
    </row>
    <row r="1973" spans="1:86" hidden="1" x14ac:dyDescent="0.25">
      <c r="A1973">
        <v>330541</v>
      </c>
      <c r="B1973" t="s">
        <v>86</v>
      </c>
      <c r="D1973" t="s">
        <v>115</v>
      </c>
      <c r="K1973" t="s">
        <v>1547</v>
      </c>
      <c r="L1973" t="s">
        <v>1548</v>
      </c>
      <c r="M1973" t="s">
        <v>1549</v>
      </c>
      <c r="V1973" t="s">
        <v>91</v>
      </c>
      <c r="W1973" t="s">
        <v>220</v>
      </c>
      <c r="X1973" t="s">
        <v>93</v>
      </c>
      <c r="Y1973">
        <v>12</v>
      </c>
      <c r="Z1973" t="s">
        <v>137</v>
      </c>
      <c r="AB1973">
        <v>0.3</v>
      </c>
      <c r="AG1973" t="s">
        <v>95</v>
      </c>
      <c r="AX1973" t="s">
        <v>108</v>
      </c>
      <c r="AY1973" t="s">
        <v>150</v>
      </c>
      <c r="AZ1973" t="s">
        <v>586</v>
      </c>
      <c r="BC1973">
        <v>6</v>
      </c>
      <c r="BH1973" t="s">
        <v>99</v>
      </c>
      <c r="BO1973" t="s">
        <v>111</v>
      </c>
      <c r="CD1973" t="s">
        <v>1550</v>
      </c>
      <c r="CE1973">
        <v>174258</v>
      </c>
      <c r="CF1973" t="s">
        <v>1551</v>
      </c>
      <c r="CG1973" t="s">
        <v>1552</v>
      </c>
      <c r="CH1973">
        <v>1986</v>
      </c>
    </row>
    <row r="1974" spans="1:86" hidden="1" x14ac:dyDescent="0.25">
      <c r="A1974">
        <v>330541</v>
      </c>
      <c r="B1974" t="s">
        <v>86</v>
      </c>
      <c r="C1974" t="s">
        <v>158</v>
      </c>
      <c r="D1974" t="s">
        <v>115</v>
      </c>
      <c r="K1974" t="s">
        <v>1562</v>
      </c>
      <c r="L1974" t="s">
        <v>1563</v>
      </c>
      <c r="M1974" t="s">
        <v>1549</v>
      </c>
      <c r="N1974" t="s">
        <v>910</v>
      </c>
      <c r="V1974" t="s">
        <v>91</v>
      </c>
      <c r="W1974" t="s">
        <v>107</v>
      </c>
      <c r="X1974" t="s">
        <v>93</v>
      </c>
      <c r="Z1974" t="s">
        <v>94</v>
      </c>
      <c r="AB1974">
        <v>6.4</v>
      </c>
      <c r="AG1974" t="s">
        <v>95</v>
      </c>
      <c r="AX1974" t="s">
        <v>912</v>
      </c>
      <c r="AY1974" t="s">
        <v>1564</v>
      </c>
      <c r="AZ1974" t="s">
        <v>586</v>
      </c>
      <c r="BC1974">
        <v>0.83330000000000004</v>
      </c>
      <c r="BH1974" t="s">
        <v>99</v>
      </c>
      <c r="BO1974" t="s">
        <v>111</v>
      </c>
      <c r="CD1974" t="s">
        <v>1014</v>
      </c>
      <c r="CE1974">
        <v>102068</v>
      </c>
      <c r="CF1974" t="s">
        <v>1015</v>
      </c>
      <c r="CG1974" t="s">
        <v>1016</v>
      </c>
      <c r="CH1974">
        <v>2005</v>
      </c>
    </row>
    <row r="1975" spans="1:86" hidden="1" x14ac:dyDescent="0.25">
      <c r="A1975">
        <v>330541</v>
      </c>
      <c r="B1975" t="s">
        <v>86</v>
      </c>
      <c r="D1975" t="s">
        <v>115</v>
      </c>
      <c r="K1975" t="s">
        <v>1569</v>
      </c>
      <c r="L1975" t="s">
        <v>1560</v>
      </c>
      <c r="M1975" t="s">
        <v>1549</v>
      </c>
      <c r="P1975">
        <v>17</v>
      </c>
      <c r="U1975" t="s">
        <v>99</v>
      </c>
      <c r="V1975" t="s">
        <v>507</v>
      </c>
      <c r="W1975" t="s">
        <v>107</v>
      </c>
      <c r="X1975" t="s">
        <v>93</v>
      </c>
      <c r="Y1975">
        <v>6</v>
      </c>
      <c r="Z1975" t="s">
        <v>137</v>
      </c>
      <c r="AB1975">
        <v>1E-4</v>
      </c>
      <c r="AG1975" t="s">
        <v>95</v>
      </c>
      <c r="AX1975" t="s">
        <v>144</v>
      </c>
      <c r="AY1975" t="s">
        <v>109</v>
      </c>
      <c r="AZ1975" t="s">
        <v>586</v>
      </c>
      <c r="BC1975">
        <v>4</v>
      </c>
      <c r="BH1975" t="s">
        <v>99</v>
      </c>
      <c r="BO1975" t="s">
        <v>111</v>
      </c>
      <c r="CD1975" t="s">
        <v>578</v>
      </c>
      <c r="CE1975">
        <v>85949</v>
      </c>
      <c r="CF1975" t="s">
        <v>579</v>
      </c>
      <c r="CG1975" t="s">
        <v>580</v>
      </c>
      <c r="CH1975">
        <v>2005</v>
      </c>
    </row>
    <row r="1976" spans="1:86" hidden="1" x14ac:dyDescent="0.25">
      <c r="A1976">
        <v>330541</v>
      </c>
      <c r="B1976" t="s">
        <v>86</v>
      </c>
      <c r="D1976" t="s">
        <v>87</v>
      </c>
      <c r="K1976" t="s">
        <v>1589</v>
      </c>
      <c r="L1976" t="s">
        <v>1590</v>
      </c>
      <c r="M1976" t="s">
        <v>1549</v>
      </c>
      <c r="V1976" t="s">
        <v>491</v>
      </c>
      <c r="W1976" t="s">
        <v>92</v>
      </c>
      <c r="X1976" t="s">
        <v>559</v>
      </c>
      <c r="Y1976">
        <v>3</v>
      </c>
      <c r="Z1976" t="s">
        <v>94</v>
      </c>
      <c r="AB1976"/>
      <c r="AD1976">
        <v>1.082E-2</v>
      </c>
      <c r="AF1976">
        <v>1.136E-2</v>
      </c>
      <c r="AG1976" t="s">
        <v>95</v>
      </c>
      <c r="AX1976" t="s">
        <v>108</v>
      </c>
      <c r="AY1976" t="s">
        <v>174</v>
      </c>
      <c r="AZ1976" t="s">
        <v>586</v>
      </c>
      <c r="BC1976">
        <v>5</v>
      </c>
      <c r="BH1976" t="s">
        <v>99</v>
      </c>
      <c r="BO1976" t="s">
        <v>111</v>
      </c>
      <c r="CD1976" t="s">
        <v>728</v>
      </c>
      <c r="CE1976">
        <v>172395</v>
      </c>
      <c r="CF1976" t="s">
        <v>729</v>
      </c>
      <c r="CG1976" t="s">
        <v>730</v>
      </c>
      <c r="CH1976">
        <v>2011</v>
      </c>
    </row>
    <row r="1977" spans="1:86" hidden="1" x14ac:dyDescent="0.25">
      <c r="A1977">
        <v>330541</v>
      </c>
      <c r="B1977" t="s">
        <v>86</v>
      </c>
      <c r="D1977" t="s">
        <v>115</v>
      </c>
      <c r="K1977" t="s">
        <v>1571</v>
      </c>
      <c r="L1977" t="s">
        <v>1560</v>
      </c>
      <c r="M1977" t="s">
        <v>1549</v>
      </c>
      <c r="N1977" t="s">
        <v>945</v>
      </c>
      <c r="P1977">
        <v>7</v>
      </c>
      <c r="U1977" t="s">
        <v>99</v>
      </c>
      <c r="V1977" t="s">
        <v>507</v>
      </c>
      <c r="W1977" t="s">
        <v>107</v>
      </c>
      <c r="X1977" t="s">
        <v>93</v>
      </c>
      <c r="Y1977">
        <v>6</v>
      </c>
      <c r="Z1977" t="s">
        <v>137</v>
      </c>
      <c r="AB1977">
        <v>1E-4</v>
      </c>
      <c r="AG1977" t="s">
        <v>95</v>
      </c>
      <c r="AX1977" t="s">
        <v>144</v>
      </c>
      <c r="AY1977" t="s">
        <v>109</v>
      </c>
      <c r="AZ1977" t="s">
        <v>586</v>
      </c>
      <c r="BC1977">
        <v>4</v>
      </c>
      <c r="BH1977" t="s">
        <v>99</v>
      </c>
      <c r="BO1977" t="s">
        <v>111</v>
      </c>
      <c r="CD1977" t="s">
        <v>578</v>
      </c>
      <c r="CE1977">
        <v>85949</v>
      </c>
      <c r="CF1977" t="s">
        <v>579</v>
      </c>
      <c r="CG1977" t="s">
        <v>580</v>
      </c>
      <c r="CH1977">
        <v>2005</v>
      </c>
    </row>
    <row r="1978" spans="1:86" hidden="1" x14ac:dyDescent="0.25">
      <c r="A1978">
        <v>330541</v>
      </c>
      <c r="B1978" t="s">
        <v>86</v>
      </c>
      <c r="D1978" t="s">
        <v>115</v>
      </c>
      <c r="K1978" t="s">
        <v>1569</v>
      </c>
      <c r="L1978" t="s">
        <v>1560</v>
      </c>
      <c r="M1978" t="s">
        <v>1549</v>
      </c>
      <c r="P1978">
        <v>17</v>
      </c>
      <c r="U1978" t="s">
        <v>99</v>
      </c>
      <c r="V1978" t="s">
        <v>507</v>
      </c>
      <c r="W1978" t="s">
        <v>107</v>
      </c>
      <c r="X1978" t="s">
        <v>93</v>
      </c>
      <c r="Y1978">
        <v>6</v>
      </c>
      <c r="Z1978" t="s">
        <v>137</v>
      </c>
      <c r="AB1978">
        <v>1E-4</v>
      </c>
      <c r="AG1978" t="s">
        <v>95</v>
      </c>
      <c r="AX1978" t="s">
        <v>144</v>
      </c>
      <c r="AY1978" t="s">
        <v>109</v>
      </c>
      <c r="AZ1978" t="s">
        <v>586</v>
      </c>
      <c r="BC1978">
        <v>4</v>
      </c>
      <c r="BH1978" t="s">
        <v>99</v>
      </c>
      <c r="BO1978" t="s">
        <v>111</v>
      </c>
      <c r="CD1978" t="s">
        <v>578</v>
      </c>
      <c r="CE1978">
        <v>85949</v>
      </c>
      <c r="CF1978" t="s">
        <v>579</v>
      </c>
      <c r="CG1978" t="s">
        <v>580</v>
      </c>
      <c r="CH1978">
        <v>2005</v>
      </c>
    </row>
    <row r="1979" spans="1:86" hidden="1" x14ac:dyDescent="0.25">
      <c r="A1979">
        <v>330541</v>
      </c>
      <c r="B1979" t="s">
        <v>86</v>
      </c>
      <c r="D1979" t="s">
        <v>115</v>
      </c>
      <c r="K1979" t="s">
        <v>1569</v>
      </c>
      <c r="L1979" t="s">
        <v>1560</v>
      </c>
      <c r="M1979" t="s">
        <v>1549</v>
      </c>
      <c r="P1979">
        <v>17</v>
      </c>
      <c r="U1979" t="s">
        <v>99</v>
      </c>
      <c r="V1979" t="s">
        <v>507</v>
      </c>
      <c r="W1979" t="s">
        <v>107</v>
      </c>
      <c r="X1979" t="s">
        <v>93</v>
      </c>
      <c r="Y1979">
        <v>8</v>
      </c>
      <c r="Z1979" t="s">
        <v>137</v>
      </c>
      <c r="AB1979">
        <v>1</v>
      </c>
      <c r="AG1979" t="s">
        <v>95</v>
      </c>
      <c r="AX1979" t="s">
        <v>523</v>
      </c>
      <c r="AY1979" t="s">
        <v>1013</v>
      </c>
      <c r="AZ1979" t="s">
        <v>586</v>
      </c>
      <c r="BA1979" t="s">
        <v>179</v>
      </c>
      <c r="BC1979">
        <v>4</v>
      </c>
      <c r="BH1979" t="s">
        <v>99</v>
      </c>
      <c r="BO1979" t="s">
        <v>111</v>
      </c>
      <c r="CD1979" t="s">
        <v>578</v>
      </c>
      <c r="CE1979">
        <v>85949</v>
      </c>
      <c r="CF1979" t="s">
        <v>579</v>
      </c>
      <c r="CG1979" t="s">
        <v>580</v>
      </c>
      <c r="CH1979">
        <v>2005</v>
      </c>
    </row>
    <row r="1980" spans="1:86" hidden="1" x14ac:dyDescent="0.25">
      <c r="A1980">
        <v>330541</v>
      </c>
      <c r="B1980" t="s">
        <v>86</v>
      </c>
      <c r="D1980" t="s">
        <v>115</v>
      </c>
      <c r="K1980" t="s">
        <v>1591</v>
      </c>
      <c r="L1980" t="s">
        <v>1554</v>
      </c>
      <c r="M1980" t="s">
        <v>1549</v>
      </c>
      <c r="N1980" t="s">
        <v>794</v>
      </c>
      <c r="V1980" t="s">
        <v>507</v>
      </c>
      <c r="W1980" t="s">
        <v>107</v>
      </c>
      <c r="X1980" t="s">
        <v>93</v>
      </c>
      <c r="Y1980">
        <v>8</v>
      </c>
      <c r="Z1980" t="s">
        <v>137</v>
      </c>
      <c r="AB1980">
        <v>1</v>
      </c>
      <c r="AG1980" t="s">
        <v>95</v>
      </c>
      <c r="AX1980" t="s">
        <v>602</v>
      </c>
      <c r="AY1980" t="s">
        <v>1587</v>
      </c>
      <c r="AZ1980" t="s">
        <v>586</v>
      </c>
      <c r="BA1980" t="s">
        <v>1588</v>
      </c>
      <c r="BC1980">
        <v>0.25</v>
      </c>
      <c r="BH1980" t="s">
        <v>99</v>
      </c>
      <c r="BO1980" t="s">
        <v>111</v>
      </c>
      <c r="CD1980" t="s">
        <v>578</v>
      </c>
      <c r="CE1980">
        <v>85949</v>
      </c>
      <c r="CF1980" t="s">
        <v>579</v>
      </c>
      <c r="CG1980" t="s">
        <v>580</v>
      </c>
      <c r="CH1980">
        <v>2005</v>
      </c>
    </row>
    <row r="1981" spans="1:86" hidden="1" x14ac:dyDescent="0.25">
      <c r="A1981">
        <v>330541</v>
      </c>
      <c r="B1981" t="s">
        <v>86</v>
      </c>
      <c r="D1981" t="s">
        <v>115</v>
      </c>
      <c r="K1981" t="s">
        <v>1569</v>
      </c>
      <c r="L1981" t="s">
        <v>1560</v>
      </c>
      <c r="M1981" t="s">
        <v>1549</v>
      </c>
      <c r="P1981">
        <v>17</v>
      </c>
      <c r="U1981" t="s">
        <v>99</v>
      </c>
      <c r="V1981" t="s">
        <v>507</v>
      </c>
      <c r="W1981" t="s">
        <v>107</v>
      </c>
      <c r="X1981" t="s">
        <v>93</v>
      </c>
      <c r="Y1981">
        <v>6</v>
      </c>
      <c r="Z1981" t="s">
        <v>137</v>
      </c>
      <c r="AB1981">
        <v>0.01</v>
      </c>
      <c r="AG1981" t="s">
        <v>95</v>
      </c>
      <c r="AX1981" t="s">
        <v>108</v>
      </c>
      <c r="AY1981" t="s">
        <v>308</v>
      </c>
      <c r="AZ1981" t="s">
        <v>586</v>
      </c>
      <c r="BA1981" t="s">
        <v>1570</v>
      </c>
      <c r="BC1981">
        <v>4</v>
      </c>
      <c r="BH1981" t="s">
        <v>99</v>
      </c>
      <c r="BO1981" t="s">
        <v>111</v>
      </c>
      <c r="CD1981" t="s">
        <v>578</v>
      </c>
      <c r="CE1981">
        <v>85949</v>
      </c>
      <c r="CF1981" t="s">
        <v>579</v>
      </c>
      <c r="CG1981" t="s">
        <v>580</v>
      </c>
      <c r="CH1981">
        <v>2005</v>
      </c>
    </row>
    <row r="1982" spans="1:86" hidden="1" x14ac:dyDescent="0.25">
      <c r="A1982">
        <v>330541</v>
      </c>
      <c r="B1982" t="s">
        <v>86</v>
      </c>
      <c r="D1982" t="s">
        <v>115</v>
      </c>
      <c r="K1982" t="s">
        <v>1561</v>
      </c>
      <c r="L1982" t="s">
        <v>1554</v>
      </c>
      <c r="M1982" t="s">
        <v>1549</v>
      </c>
      <c r="V1982" t="s">
        <v>91</v>
      </c>
      <c r="W1982" t="s">
        <v>107</v>
      </c>
      <c r="X1982" t="s">
        <v>93</v>
      </c>
      <c r="Y1982">
        <v>6</v>
      </c>
      <c r="Z1982" t="s">
        <v>137</v>
      </c>
      <c r="AB1982">
        <v>2.9999999999999997E-4</v>
      </c>
      <c r="AG1982" t="s">
        <v>95</v>
      </c>
      <c r="AX1982" t="s">
        <v>108</v>
      </c>
      <c r="AY1982" t="s">
        <v>311</v>
      </c>
      <c r="AZ1982" t="s">
        <v>586</v>
      </c>
      <c r="BC1982">
        <v>0.41670000000000001</v>
      </c>
      <c r="BH1982" t="s">
        <v>99</v>
      </c>
      <c r="BO1982" t="s">
        <v>111</v>
      </c>
      <c r="CD1982" t="s">
        <v>1555</v>
      </c>
      <c r="CE1982">
        <v>78651</v>
      </c>
      <c r="CF1982" t="s">
        <v>1556</v>
      </c>
      <c r="CG1982" t="s">
        <v>1557</v>
      </c>
      <c r="CH1982">
        <v>2003</v>
      </c>
    </row>
    <row r="1983" spans="1:86" hidden="1" x14ac:dyDescent="0.25">
      <c r="A1983">
        <v>330541</v>
      </c>
      <c r="B1983" t="s">
        <v>86</v>
      </c>
      <c r="D1983" t="s">
        <v>115</v>
      </c>
      <c r="K1983" t="s">
        <v>1569</v>
      </c>
      <c r="L1983" t="s">
        <v>1560</v>
      </c>
      <c r="M1983" t="s">
        <v>1549</v>
      </c>
      <c r="P1983">
        <v>17</v>
      </c>
      <c r="U1983" t="s">
        <v>99</v>
      </c>
      <c r="V1983" t="s">
        <v>507</v>
      </c>
      <c r="W1983" t="s">
        <v>107</v>
      </c>
      <c r="X1983" t="s">
        <v>93</v>
      </c>
      <c r="Y1983">
        <v>6</v>
      </c>
      <c r="Z1983" t="s">
        <v>137</v>
      </c>
      <c r="AB1983">
        <v>1E-3</v>
      </c>
      <c r="AG1983" t="s">
        <v>95</v>
      </c>
      <c r="AX1983" t="s">
        <v>108</v>
      </c>
      <c r="AY1983" t="s">
        <v>308</v>
      </c>
      <c r="AZ1983" t="s">
        <v>586</v>
      </c>
      <c r="BA1983" t="s">
        <v>1570</v>
      </c>
      <c r="BC1983">
        <v>4</v>
      </c>
      <c r="BH1983" t="s">
        <v>99</v>
      </c>
      <c r="BO1983" t="s">
        <v>111</v>
      </c>
      <c r="CD1983" t="s">
        <v>578</v>
      </c>
      <c r="CE1983">
        <v>85949</v>
      </c>
      <c r="CF1983" t="s">
        <v>579</v>
      </c>
      <c r="CG1983" t="s">
        <v>580</v>
      </c>
      <c r="CH1983">
        <v>2005</v>
      </c>
    </row>
    <row r="1984" spans="1:86" hidden="1" x14ac:dyDescent="0.25">
      <c r="A1984">
        <v>330541</v>
      </c>
      <c r="B1984" t="s">
        <v>86</v>
      </c>
      <c r="D1984" t="s">
        <v>115</v>
      </c>
      <c r="K1984" t="s">
        <v>1547</v>
      </c>
      <c r="L1984" t="s">
        <v>1548</v>
      </c>
      <c r="M1984" t="s">
        <v>1549</v>
      </c>
      <c r="V1984" t="s">
        <v>91</v>
      </c>
      <c r="W1984" t="s">
        <v>220</v>
      </c>
      <c r="X1984" t="s">
        <v>93</v>
      </c>
      <c r="Y1984">
        <v>8</v>
      </c>
      <c r="Z1984" t="s">
        <v>137</v>
      </c>
      <c r="AB1984">
        <v>1.5</v>
      </c>
      <c r="AG1984" t="s">
        <v>95</v>
      </c>
      <c r="AX1984" t="s">
        <v>108</v>
      </c>
      <c r="AY1984" t="s">
        <v>150</v>
      </c>
      <c r="AZ1984" t="s">
        <v>586</v>
      </c>
      <c r="BC1984">
        <v>2</v>
      </c>
      <c r="BH1984" t="s">
        <v>99</v>
      </c>
      <c r="BO1984" t="s">
        <v>111</v>
      </c>
      <c r="CD1984" t="s">
        <v>1550</v>
      </c>
      <c r="CE1984">
        <v>174258</v>
      </c>
      <c r="CF1984" t="s">
        <v>1551</v>
      </c>
      <c r="CG1984" t="s">
        <v>1552</v>
      </c>
      <c r="CH1984">
        <v>1986</v>
      </c>
    </row>
    <row r="1985" spans="1:86" hidden="1" x14ac:dyDescent="0.25">
      <c r="A1985">
        <v>330541</v>
      </c>
      <c r="B1985" t="s">
        <v>86</v>
      </c>
      <c r="D1985" t="s">
        <v>115</v>
      </c>
      <c r="K1985" t="s">
        <v>1547</v>
      </c>
      <c r="L1985" t="s">
        <v>1548</v>
      </c>
      <c r="M1985" t="s">
        <v>1549</v>
      </c>
      <c r="V1985" t="s">
        <v>91</v>
      </c>
      <c r="W1985" t="s">
        <v>220</v>
      </c>
      <c r="X1985" t="s">
        <v>93</v>
      </c>
      <c r="Y1985">
        <v>8</v>
      </c>
      <c r="Z1985" t="s">
        <v>137</v>
      </c>
      <c r="AB1985">
        <v>29.4</v>
      </c>
      <c r="AG1985" t="s">
        <v>95</v>
      </c>
      <c r="AX1985" t="s">
        <v>108</v>
      </c>
      <c r="AY1985" t="s">
        <v>160</v>
      </c>
      <c r="AZ1985" t="s">
        <v>586</v>
      </c>
      <c r="BC1985">
        <v>5</v>
      </c>
      <c r="BH1985" t="s">
        <v>99</v>
      </c>
      <c r="BO1985" t="s">
        <v>111</v>
      </c>
      <c r="CD1985" t="s">
        <v>1550</v>
      </c>
      <c r="CE1985">
        <v>174258</v>
      </c>
      <c r="CF1985" t="s">
        <v>1551</v>
      </c>
      <c r="CG1985" t="s">
        <v>1552</v>
      </c>
      <c r="CH1985">
        <v>1986</v>
      </c>
    </row>
    <row r="1986" spans="1:86" hidden="1" x14ac:dyDescent="0.25">
      <c r="A1986">
        <v>330541</v>
      </c>
      <c r="B1986" t="s">
        <v>86</v>
      </c>
      <c r="D1986" t="s">
        <v>115</v>
      </c>
      <c r="K1986" t="s">
        <v>1558</v>
      </c>
      <c r="L1986" t="s">
        <v>1554</v>
      </c>
      <c r="M1986" t="s">
        <v>1549</v>
      </c>
      <c r="V1986" t="s">
        <v>91</v>
      </c>
      <c r="W1986" t="s">
        <v>107</v>
      </c>
      <c r="X1986" t="s">
        <v>93</v>
      </c>
      <c r="Y1986">
        <v>6</v>
      </c>
      <c r="Z1986" t="s">
        <v>137</v>
      </c>
      <c r="AB1986">
        <v>2.9999999999999997E-4</v>
      </c>
      <c r="AG1986" t="s">
        <v>95</v>
      </c>
      <c r="AX1986" t="s">
        <v>108</v>
      </c>
      <c r="AY1986" t="s">
        <v>311</v>
      </c>
      <c r="AZ1986" t="s">
        <v>586</v>
      </c>
      <c r="BC1986">
        <v>0.41670000000000001</v>
      </c>
      <c r="BH1986" t="s">
        <v>99</v>
      </c>
      <c r="BO1986" t="s">
        <v>111</v>
      </c>
      <c r="CD1986" t="s">
        <v>1555</v>
      </c>
      <c r="CE1986">
        <v>78651</v>
      </c>
      <c r="CF1986" t="s">
        <v>1556</v>
      </c>
      <c r="CG1986" t="s">
        <v>1557</v>
      </c>
      <c r="CH1986">
        <v>2003</v>
      </c>
    </row>
    <row r="1987" spans="1:86" hidden="1" x14ac:dyDescent="0.25">
      <c r="A1987">
        <v>330541</v>
      </c>
      <c r="B1987" t="s">
        <v>86</v>
      </c>
      <c r="D1987" t="s">
        <v>115</v>
      </c>
      <c r="K1987" t="s">
        <v>1547</v>
      </c>
      <c r="L1987" t="s">
        <v>1548</v>
      </c>
      <c r="M1987" t="s">
        <v>1549</v>
      </c>
      <c r="V1987" t="s">
        <v>91</v>
      </c>
      <c r="W1987" t="s">
        <v>220</v>
      </c>
      <c r="X1987" t="s">
        <v>93</v>
      </c>
      <c r="Y1987">
        <v>8</v>
      </c>
      <c r="Z1987" t="s">
        <v>137</v>
      </c>
      <c r="AB1987">
        <v>29.4</v>
      </c>
      <c r="AG1987" t="s">
        <v>95</v>
      </c>
      <c r="AX1987" t="s">
        <v>108</v>
      </c>
      <c r="AY1987" t="s">
        <v>150</v>
      </c>
      <c r="AZ1987" t="s">
        <v>586</v>
      </c>
      <c r="BC1987">
        <v>5</v>
      </c>
      <c r="BH1987" t="s">
        <v>99</v>
      </c>
      <c r="BO1987" t="s">
        <v>111</v>
      </c>
      <c r="CD1987" t="s">
        <v>1550</v>
      </c>
      <c r="CE1987">
        <v>174258</v>
      </c>
      <c r="CF1987" t="s">
        <v>1551</v>
      </c>
      <c r="CG1987" t="s">
        <v>1552</v>
      </c>
      <c r="CH1987">
        <v>1986</v>
      </c>
    </row>
    <row r="1988" spans="1:86" hidden="1" x14ac:dyDescent="0.25">
      <c r="A1988">
        <v>330541</v>
      </c>
      <c r="B1988" t="s">
        <v>86</v>
      </c>
      <c r="C1988" t="s">
        <v>560</v>
      </c>
      <c r="D1988" t="s">
        <v>87</v>
      </c>
      <c r="F1988">
        <v>98</v>
      </c>
      <c r="K1988" t="s">
        <v>1572</v>
      </c>
      <c r="L1988" t="s">
        <v>1560</v>
      </c>
      <c r="M1988" t="s">
        <v>1549</v>
      </c>
      <c r="V1988" t="s">
        <v>561</v>
      </c>
      <c r="W1988" t="s">
        <v>107</v>
      </c>
      <c r="X1988" t="s">
        <v>559</v>
      </c>
      <c r="Y1988">
        <v>3</v>
      </c>
      <c r="Z1988" t="s">
        <v>94</v>
      </c>
      <c r="AB1988">
        <v>9.1E-4</v>
      </c>
      <c r="AG1988" t="s">
        <v>95</v>
      </c>
      <c r="AX1988" t="s">
        <v>201</v>
      </c>
      <c r="AY1988" t="s">
        <v>646</v>
      </c>
      <c r="AZ1988" t="s">
        <v>609</v>
      </c>
      <c r="BB1988" t="s">
        <v>234</v>
      </c>
      <c r="BC1988">
        <v>53</v>
      </c>
      <c r="BH1988" t="s">
        <v>99</v>
      </c>
      <c r="BO1988" t="s">
        <v>111</v>
      </c>
      <c r="CD1988" t="s">
        <v>562</v>
      </c>
      <c r="CE1988">
        <v>102076</v>
      </c>
      <c r="CF1988" t="s">
        <v>563</v>
      </c>
      <c r="CG1988" t="s">
        <v>564</v>
      </c>
      <c r="CH1988">
        <v>2007</v>
      </c>
    </row>
    <row r="1989" spans="1:86" hidden="1" x14ac:dyDescent="0.25">
      <c r="A1989">
        <v>330541</v>
      </c>
      <c r="B1989" t="s">
        <v>86</v>
      </c>
      <c r="D1989" t="s">
        <v>115</v>
      </c>
      <c r="K1989" t="s">
        <v>1553</v>
      </c>
      <c r="L1989" t="s">
        <v>1554</v>
      </c>
      <c r="M1989" t="s">
        <v>1549</v>
      </c>
      <c r="V1989" t="s">
        <v>257</v>
      </c>
      <c r="W1989" t="s">
        <v>107</v>
      </c>
      <c r="X1989" t="s">
        <v>93</v>
      </c>
      <c r="Y1989">
        <v>4</v>
      </c>
      <c r="Z1989" t="s">
        <v>137</v>
      </c>
      <c r="AB1989">
        <v>0.01</v>
      </c>
      <c r="AG1989" t="s">
        <v>95</v>
      </c>
      <c r="AX1989" t="s">
        <v>144</v>
      </c>
      <c r="AY1989" t="s">
        <v>455</v>
      </c>
      <c r="AZ1989" t="s">
        <v>609</v>
      </c>
      <c r="BC1989">
        <v>2</v>
      </c>
      <c r="BH1989" t="s">
        <v>99</v>
      </c>
      <c r="BO1989" t="s">
        <v>111</v>
      </c>
      <c r="CD1989" t="s">
        <v>1580</v>
      </c>
      <c r="CE1989">
        <v>72766</v>
      </c>
      <c r="CF1989" t="s">
        <v>1581</v>
      </c>
      <c r="CG1989" t="s">
        <v>1582</v>
      </c>
      <c r="CH1989">
        <v>2003</v>
      </c>
    </row>
    <row r="1990" spans="1:86" hidden="1" x14ac:dyDescent="0.25">
      <c r="A1990">
        <v>330541</v>
      </c>
      <c r="B1990" t="s">
        <v>86</v>
      </c>
      <c r="C1990" t="s">
        <v>560</v>
      </c>
      <c r="D1990" t="s">
        <v>87</v>
      </c>
      <c r="F1990">
        <v>98</v>
      </c>
      <c r="K1990" t="s">
        <v>1577</v>
      </c>
      <c r="L1990" t="s">
        <v>1554</v>
      </c>
      <c r="M1990" t="s">
        <v>1549</v>
      </c>
      <c r="V1990" t="s">
        <v>561</v>
      </c>
      <c r="W1990" t="s">
        <v>107</v>
      </c>
      <c r="X1990" t="s">
        <v>559</v>
      </c>
      <c r="Y1990">
        <v>3</v>
      </c>
      <c r="Z1990" t="s">
        <v>94</v>
      </c>
      <c r="AB1990">
        <v>8.8000000000000005E-3</v>
      </c>
      <c r="AG1990" t="s">
        <v>95</v>
      </c>
      <c r="AX1990" t="s">
        <v>966</v>
      </c>
      <c r="AY1990" t="s">
        <v>883</v>
      </c>
      <c r="AZ1990" t="s">
        <v>609</v>
      </c>
      <c r="BA1990" t="s">
        <v>1110</v>
      </c>
      <c r="BB1990" t="s">
        <v>234</v>
      </c>
      <c r="BC1990">
        <v>90</v>
      </c>
      <c r="BH1990" t="s">
        <v>99</v>
      </c>
      <c r="BO1990" t="s">
        <v>111</v>
      </c>
      <c r="CD1990" t="s">
        <v>562</v>
      </c>
      <c r="CE1990">
        <v>102076</v>
      </c>
      <c r="CF1990" t="s">
        <v>563</v>
      </c>
      <c r="CG1990" t="s">
        <v>564</v>
      </c>
      <c r="CH1990">
        <v>2007</v>
      </c>
    </row>
    <row r="1991" spans="1:86" hidden="1" x14ac:dyDescent="0.25">
      <c r="A1991">
        <v>330541</v>
      </c>
      <c r="B1991" t="s">
        <v>86</v>
      </c>
      <c r="C1991" t="s">
        <v>560</v>
      </c>
      <c r="D1991" t="s">
        <v>87</v>
      </c>
      <c r="F1991">
        <v>98</v>
      </c>
      <c r="K1991" t="s">
        <v>1572</v>
      </c>
      <c r="L1991" t="s">
        <v>1560</v>
      </c>
      <c r="M1991" t="s">
        <v>1549</v>
      </c>
      <c r="V1991" t="s">
        <v>561</v>
      </c>
      <c r="W1991" t="s">
        <v>107</v>
      </c>
      <c r="X1991" t="s">
        <v>559</v>
      </c>
      <c r="Y1991">
        <v>3</v>
      </c>
      <c r="Z1991" t="s">
        <v>94</v>
      </c>
      <c r="AB1991">
        <v>8.8000000000000005E-3</v>
      </c>
      <c r="AG1991" t="s">
        <v>95</v>
      </c>
      <c r="AX1991" t="s">
        <v>602</v>
      </c>
      <c r="AY1991" t="s">
        <v>1578</v>
      </c>
      <c r="AZ1991" t="s">
        <v>609</v>
      </c>
      <c r="BB1991" t="s">
        <v>234</v>
      </c>
      <c r="BC1991">
        <v>53</v>
      </c>
      <c r="BH1991" t="s">
        <v>99</v>
      </c>
      <c r="BO1991" t="s">
        <v>111</v>
      </c>
      <c r="CD1991" t="s">
        <v>562</v>
      </c>
      <c r="CE1991">
        <v>102076</v>
      </c>
      <c r="CF1991" t="s">
        <v>563</v>
      </c>
      <c r="CG1991" t="s">
        <v>564</v>
      </c>
      <c r="CH1991">
        <v>2007</v>
      </c>
    </row>
    <row r="1992" spans="1:86" hidden="1" x14ac:dyDescent="0.25">
      <c r="A1992">
        <v>330541</v>
      </c>
      <c r="B1992" t="s">
        <v>86</v>
      </c>
      <c r="D1992" t="s">
        <v>115</v>
      </c>
      <c r="K1992" t="s">
        <v>1569</v>
      </c>
      <c r="L1992" t="s">
        <v>1560</v>
      </c>
      <c r="M1992" t="s">
        <v>1549</v>
      </c>
      <c r="N1992" t="s">
        <v>945</v>
      </c>
      <c r="P1992">
        <v>7</v>
      </c>
      <c r="U1992" t="s">
        <v>99</v>
      </c>
      <c r="V1992" t="s">
        <v>507</v>
      </c>
      <c r="W1992" t="s">
        <v>107</v>
      </c>
      <c r="X1992" t="s">
        <v>93</v>
      </c>
      <c r="Y1992">
        <v>5</v>
      </c>
      <c r="Z1992" t="s">
        <v>137</v>
      </c>
      <c r="AB1992">
        <v>1</v>
      </c>
      <c r="AG1992" t="s">
        <v>95</v>
      </c>
      <c r="AX1992" t="s">
        <v>523</v>
      </c>
      <c r="AY1992" t="s">
        <v>1013</v>
      </c>
      <c r="AZ1992" t="s">
        <v>609</v>
      </c>
      <c r="BA1992" t="s">
        <v>179</v>
      </c>
      <c r="BC1992">
        <v>4</v>
      </c>
      <c r="BH1992" t="s">
        <v>99</v>
      </c>
      <c r="BO1992" t="s">
        <v>111</v>
      </c>
      <c r="CD1992" t="s">
        <v>578</v>
      </c>
      <c r="CE1992">
        <v>85949</v>
      </c>
      <c r="CF1992" t="s">
        <v>579</v>
      </c>
      <c r="CG1992" t="s">
        <v>580</v>
      </c>
      <c r="CH1992">
        <v>2005</v>
      </c>
    </row>
    <row r="1993" spans="1:86" hidden="1" x14ac:dyDescent="0.25">
      <c r="A1993">
        <v>330541</v>
      </c>
      <c r="B1993" t="s">
        <v>86</v>
      </c>
      <c r="D1993" t="s">
        <v>115</v>
      </c>
      <c r="K1993" t="s">
        <v>1572</v>
      </c>
      <c r="L1993" t="s">
        <v>1560</v>
      </c>
      <c r="M1993" t="s">
        <v>1549</v>
      </c>
      <c r="N1993" t="s">
        <v>1000</v>
      </c>
      <c r="V1993" t="s">
        <v>507</v>
      </c>
      <c r="W1993" t="s">
        <v>107</v>
      </c>
      <c r="X1993" t="s">
        <v>93</v>
      </c>
      <c r="Y1993">
        <v>6</v>
      </c>
      <c r="Z1993" t="s">
        <v>137</v>
      </c>
      <c r="AB1993">
        <v>2.9999999999999997E-4</v>
      </c>
      <c r="AG1993" t="s">
        <v>95</v>
      </c>
      <c r="AX1993" t="s">
        <v>196</v>
      </c>
      <c r="AY1993" t="s">
        <v>1583</v>
      </c>
      <c r="AZ1993" t="s">
        <v>609</v>
      </c>
      <c r="BC1993">
        <v>50</v>
      </c>
      <c r="BH1993" t="s">
        <v>99</v>
      </c>
      <c r="BO1993" t="s">
        <v>111</v>
      </c>
      <c r="CD1993" t="s">
        <v>1584</v>
      </c>
      <c r="CE1993">
        <v>102078</v>
      </c>
      <c r="CF1993" t="s">
        <v>1585</v>
      </c>
      <c r="CG1993" t="s">
        <v>1586</v>
      </c>
      <c r="CH1993">
        <v>2007</v>
      </c>
    </row>
    <row r="1994" spans="1:86" hidden="1" x14ac:dyDescent="0.25">
      <c r="A1994">
        <v>330541</v>
      </c>
      <c r="B1994" t="s">
        <v>86</v>
      </c>
      <c r="C1994" t="s">
        <v>560</v>
      </c>
      <c r="D1994" t="s">
        <v>87</v>
      </c>
      <c r="F1994">
        <v>98</v>
      </c>
      <c r="K1994" t="s">
        <v>1577</v>
      </c>
      <c r="L1994" t="s">
        <v>1554</v>
      </c>
      <c r="M1994" t="s">
        <v>1549</v>
      </c>
      <c r="V1994" t="s">
        <v>561</v>
      </c>
      <c r="W1994" t="s">
        <v>107</v>
      </c>
      <c r="X1994" t="s">
        <v>559</v>
      </c>
      <c r="Y1994">
        <v>3</v>
      </c>
      <c r="Z1994" t="s">
        <v>94</v>
      </c>
      <c r="AB1994">
        <v>9.1E-4</v>
      </c>
      <c r="AG1994" t="s">
        <v>95</v>
      </c>
      <c r="AX1994" t="s">
        <v>602</v>
      </c>
      <c r="AY1994" t="s">
        <v>1578</v>
      </c>
      <c r="AZ1994" t="s">
        <v>609</v>
      </c>
      <c r="BB1994" t="s">
        <v>234</v>
      </c>
      <c r="BC1994">
        <v>90</v>
      </c>
      <c r="BH1994" t="s">
        <v>99</v>
      </c>
      <c r="BO1994" t="s">
        <v>111</v>
      </c>
      <c r="CD1994" t="s">
        <v>562</v>
      </c>
      <c r="CE1994">
        <v>102076</v>
      </c>
      <c r="CF1994" t="s">
        <v>563</v>
      </c>
      <c r="CG1994" t="s">
        <v>564</v>
      </c>
      <c r="CH1994">
        <v>2007</v>
      </c>
    </row>
    <row r="1995" spans="1:86" hidden="1" x14ac:dyDescent="0.25">
      <c r="A1995">
        <v>330541</v>
      </c>
      <c r="B1995" t="s">
        <v>86</v>
      </c>
      <c r="D1995" t="s">
        <v>115</v>
      </c>
      <c r="K1995" t="s">
        <v>1569</v>
      </c>
      <c r="L1995" t="s">
        <v>1560</v>
      </c>
      <c r="M1995" t="s">
        <v>1549</v>
      </c>
      <c r="N1995" t="s">
        <v>794</v>
      </c>
      <c r="V1995" t="s">
        <v>507</v>
      </c>
      <c r="W1995" t="s">
        <v>107</v>
      </c>
      <c r="X1995" t="s">
        <v>93</v>
      </c>
      <c r="Y1995">
        <v>8</v>
      </c>
      <c r="Z1995" t="s">
        <v>137</v>
      </c>
      <c r="AB1995">
        <v>1</v>
      </c>
      <c r="AG1995" t="s">
        <v>95</v>
      </c>
      <c r="AX1995" t="s">
        <v>912</v>
      </c>
      <c r="AY1995" t="s">
        <v>1019</v>
      </c>
      <c r="AZ1995" t="s">
        <v>609</v>
      </c>
      <c r="BA1995" t="s">
        <v>179</v>
      </c>
      <c r="BC1995">
        <v>1</v>
      </c>
      <c r="BH1995" t="s">
        <v>99</v>
      </c>
      <c r="BO1995" t="s">
        <v>111</v>
      </c>
      <c r="CD1995" t="s">
        <v>578</v>
      </c>
      <c r="CE1995">
        <v>85949</v>
      </c>
      <c r="CF1995" t="s">
        <v>579</v>
      </c>
      <c r="CG1995" t="s">
        <v>580</v>
      </c>
      <c r="CH1995">
        <v>2005</v>
      </c>
    </row>
    <row r="1996" spans="1:86" hidden="1" x14ac:dyDescent="0.25">
      <c r="A1996">
        <v>330541</v>
      </c>
      <c r="B1996" t="s">
        <v>86</v>
      </c>
      <c r="C1996" t="s">
        <v>560</v>
      </c>
      <c r="D1996" t="s">
        <v>87</v>
      </c>
      <c r="F1996">
        <v>98</v>
      </c>
      <c r="K1996" t="s">
        <v>1569</v>
      </c>
      <c r="L1996" t="s">
        <v>1560</v>
      </c>
      <c r="M1996" t="s">
        <v>1549</v>
      </c>
      <c r="V1996" t="s">
        <v>561</v>
      </c>
      <c r="W1996" t="s">
        <v>107</v>
      </c>
      <c r="X1996" t="s">
        <v>559</v>
      </c>
      <c r="Y1996">
        <v>3</v>
      </c>
      <c r="Z1996" t="s">
        <v>94</v>
      </c>
      <c r="AB1996">
        <v>8.8000000000000005E-3</v>
      </c>
      <c r="AG1996" t="s">
        <v>95</v>
      </c>
      <c r="AX1996" t="s">
        <v>966</v>
      </c>
      <c r="AY1996" t="s">
        <v>883</v>
      </c>
      <c r="AZ1996" t="s">
        <v>609</v>
      </c>
      <c r="BA1996" t="s">
        <v>1592</v>
      </c>
      <c r="BB1996" t="s">
        <v>234</v>
      </c>
      <c r="BC1996">
        <v>67</v>
      </c>
      <c r="BH1996" t="s">
        <v>99</v>
      </c>
      <c r="BO1996" t="s">
        <v>111</v>
      </c>
      <c r="CD1996" t="s">
        <v>562</v>
      </c>
      <c r="CE1996">
        <v>102076</v>
      </c>
      <c r="CF1996" t="s">
        <v>563</v>
      </c>
      <c r="CG1996" t="s">
        <v>564</v>
      </c>
      <c r="CH1996">
        <v>2007</v>
      </c>
    </row>
    <row r="1997" spans="1:86" hidden="1" x14ac:dyDescent="0.25">
      <c r="A1997">
        <v>330541</v>
      </c>
      <c r="B1997" t="s">
        <v>86</v>
      </c>
      <c r="C1997" t="s">
        <v>560</v>
      </c>
      <c r="D1997" t="s">
        <v>87</v>
      </c>
      <c r="F1997">
        <v>98</v>
      </c>
      <c r="K1997" t="s">
        <v>1572</v>
      </c>
      <c r="L1997" t="s">
        <v>1560</v>
      </c>
      <c r="M1997" t="s">
        <v>1549</v>
      </c>
      <c r="V1997" t="s">
        <v>561</v>
      </c>
      <c r="W1997" t="s">
        <v>107</v>
      </c>
      <c r="X1997" t="s">
        <v>559</v>
      </c>
      <c r="Y1997">
        <v>3</v>
      </c>
      <c r="Z1997" t="s">
        <v>94</v>
      </c>
      <c r="AB1997">
        <v>8.8000000000000005E-3</v>
      </c>
      <c r="AG1997" t="s">
        <v>95</v>
      </c>
      <c r="AX1997" t="s">
        <v>966</v>
      </c>
      <c r="AY1997" t="s">
        <v>883</v>
      </c>
      <c r="AZ1997" t="s">
        <v>609</v>
      </c>
      <c r="BA1997" t="s">
        <v>1110</v>
      </c>
      <c r="BB1997" t="s">
        <v>234</v>
      </c>
      <c r="BC1997">
        <v>53</v>
      </c>
      <c r="BH1997" t="s">
        <v>99</v>
      </c>
      <c r="BO1997" t="s">
        <v>111</v>
      </c>
      <c r="CD1997" t="s">
        <v>562</v>
      </c>
      <c r="CE1997">
        <v>102076</v>
      </c>
      <c r="CF1997" t="s">
        <v>563</v>
      </c>
      <c r="CG1997" t="s">
        <v>564</v>
      </c>
      <c r="CH1997">
        <v>2007</v>
      </c>
    </row>
    <row r="1998" spans="1:86" hidden="1" x14ac:dyDescent="0.25">
      <c r="A1998">
        <v>330541</v>
      </c>
      <c r="B1998" t="s">
        <v>86</v>
      </c>
      <c r="C1998" t="s">
        <v>560</v>
      </c>
      <c r="D1998" t="s">
        <v>87</v>
      </c>
      <c r="F1998">
        <v>98</v>
      </c>
      <c r="K1998" t="s">
        <v>1569</v>
      </c>
      <c r="L1998" t="s">
        <v>1560</v>
      </c>
      <c r="M1998" t="s">
        <v>1549</v>
      </c>
      <c r="V1998" t="s">
        <v>561</v>
      </c>
      <c r="W1998" t="s">
        <v>107</v>
      </c>
      <c r="X1998" t="s">
        <v>559</v>
      </c>
      <c r="Y1998">
        <v>3</v>
      </c>
      <c r="Z1998" t="s">
        <v>94</v>
      </c>
      <c r="AB1998">
        <v>8.8000000000000005E-3</v>
      </c>
      <c r="AG1998" t="s">
        <v>95</v>
      </c>
      <c r="AX1998" t="s">
        <v>602</v>
      </c>
      <c r="AY1998" t="s">
        <v>1578</v>
      </c>
      <c r="AZ1998" t="s">
        <v>609</v>
      </c>
      <c r="BB1998" t="s">
        <v>234</v>
      </c>
      <c r="BC1998">
        <v>67</v>
      </c>
      <c r="BH1998" t="s">
        <v>99</v>
      </c>
      <c r="BO1998" t="s">
        <v>111</v>
      </c>
      <c r="CD1998" t="s">
        <v>562</v>
      </c>
      <c r="CE1998">
        <v>102076</v>
      </c>
      <c r="CF1998" t="s">
        <v>563</v>
      </c>
      <c r="CG1998" t="s">
        <v>564</v>
      </c>
      <c r="CH1998">
        <v>2007</v>
      </c>
    </row>
    <row r="1999" spans="1:86" hidden="1" x14ac:dyDescent="0.25">
      <c r="A1999">
        <v>330541</v>
      </c>
      <c r="B1999" t="s">
        <v>86</v>
      </c>
      <c r="D1999" t="s">
        <v>115</v>
      </c>
      <c r="K1999" t="s">
        <v>1591</v>
      </c>
      <c r="L1999" t="s">
        <v>1554</v>
      </c>
      <c r="M1999" t="s">
        <v>1549</v>
      </c>
      <c r="N1999" t="s">
        <v>794</v>
      </c>
      <c r="V1999" t="s">
        <v>507</v>
      </c>
      <c r="W1999" t="s">
        <v>107</v>
      </c>
      <c r="X1999" t="s">
        <v>93</v>
      </c>
      <c r="Y1999">
        <v>8</v>
      </c>
      <c r="Z1999" t="s">
        <v>137</v>
      </c>
      <c r="AB1999">
        <v>1</v>
      </c>
      <c r="AG1999" t="s">
        <v>95</v>
      </c>
      <c r="AX1999" t="s">
        <v>602</v>
      </c>
      <c r="AY1999" t="s">
        <v>1587</v>
      </c>
      <c r="AZ1999" t="s">
        <v>609</v>
      </c>
      <c r="BA1999" t="s">
        <v>1588</v>
      </c>
      <c r="BC1999">
        <v>0.25</v>
      </c>
      <c r="BH1999" t="s">
        <v>99</v>
      </c>
      <c r="BO1999" t="s">
        <v>111</v>
      </c>
      <c r="CD1999" t="s">
        <v>578</v>
      </c>
      <c r="CE1999">
        <v>85949</v>
      </c>
      <c r="CF1999" t="s">
        <v>579</v>
      </c>
      <c r="CG1999" t="s">
        <v>580</v>
      </c>
      <c r="CH1999">
        <v>2005</v>
      </c>
    </row>
    <row r="2000" spans="1:86" hidden="1" x14ac:dyDescent="0.25">
      <c r="A2000">
        <v>330541</v>
      </c>
      <c r="B2000" t="s">
        <v>86</v>
      </c>
      <c r="D2000" t="s">
        <v>115</v>
      </c>
      <c r="K2000" t="s">
        <v>1571</v>
      </c>
      <c r="L2000" t="s">
        <v>1560</v>
      </c>
      <c r="M2000" t="s">
        <v>1549</v>
      </c>
      <c r="N2000" t="s">
        <v>945</v>
      </c>
      <c r="P2000">
        <v>7</v>
      </c>
      <c r="U2000" t="s">
        <v>99</v>
      </c>
      <c r="V2000" t="s">
        <v>507</v>
      </c>
      <c r="W2000" t="s">
        <v>107</v>
      </c>
      <c r="X2000" t="s">
        <v>93</v>
      </c>
      <c r="Y2000">
        <v>5</v>
      </c>
      <c r="Z2000" t="s">
        <v>137</v>
      </c>
      <c r="AB2000">
        <v>1</v>
      </c>
      <c r="AG2000" t="s">
        <v>95</v>
      </c>
      <c r="AX2000" t="s">
        <v>523</v>
      </c>
      <c r="AY2000" t="s">
        <v>1013</v>
      </c>
      <c r="AZ2000" t="s">
        <v>609</v>
      </c>
      <c r="BA2000" t="s">
        <v>179</v>
      </c>
      <c r="BC2000">
        <v>4</v>
      </c>
      <c r="BH2000" t="s">
        <v>99</v>
      </c>
      <c r="BO2000" t="s">
        <v>111</v>
      </c>
      <c r="CD2000" t="s">
        <v>578</v>
      </c>
      <c r="CE2000">
        <v>85949</v>
      </c>
      <c r="CF2000" t="s">
        <v>579</v>
      </c>
      <c r="CG2000" t="s">
        <v>580</v>
      </c>
      <c r="CH2000">
        <v>2005</v>
      </c>
    </row>
    <row r="2001" spans="1:86" hidden="1" x14ac:dyDescent="0.25">
      <c r="A2001">
        <v>330541</v>
      </c>
      <c r="B2001" t="s">
        <v>86</v>
      </c>
      <c r="D2001" t="s">
        <v>115</v>
      </c>
      <c r="K2001" t="s">
        <v>1571</v>
      </c>
      <c r="L2001" t="s">
        <v>1560</v>
      </c>
      <c r="M2001" t="s">
        <v>1549</v>
      </c>
      <c r="N2001" t="s">
        <v>945</v>
      </c>
      <c r="R2001">
        <v>10</v>
      </c>
      <c r="T2001">
        <v>15</v>
      </c>
      <c r="U2001" t="s">
        <v>99</v>
      </c>
      <c r="V2001" t="s">
        <v>507</v>
      </c>
      <c r="W2001" t="s">
        <v>107</v>
      </c>
      <c r="X2001" t="s">
        <v>93</v>
      </c>
      <c r="Y2001">
        <v>8</v>
      </c>
      <c r="Z2001" t="s">
        <v>137</v>
      </c>
      <c r="AB2001">
        <v>0.1</v>
      </c>
      <c r="AG2001" t="s">
        <v>95</v>
      </c>
      <c r="AX2001" t="s">
        <v>912</v>
      </c>
      <c r="AY2001" t="s">
        <v>1019</v>
      </c>
      <c r="AZ2001" t="s">
        <v>609</v>
      </c>
      <c r="BA2001" t="s">
        <v>179</v>
      </c>
      <c r="BC2001">
        <v>1</v>
      </c>
      <c r="BH2001" t="s">
        <v>99</v>
      </c>
      <c r="BO2001" t="s">
        <v>111</v>
      </c>
      <c r="CD2001" t="s">
        <v>578</v>
      </c>
      <c r="CE2001">
        <v>85949</v>
      </c>
      <c r="CF2001" t="s">
        <v>579</v>
      </c>
      <c r="CG2001" t="s">
        <v>580</v>
      </c>
      <c r="CH2001">
        <v>2005</v>
      </c>
    </row>
    <row r="2002" spans="1:86" hidden="1" x14ac:dyDescent="0.25">
      <c r="A2002">
        <v>330541</v>
      </c>
      <c r="B2002" t="s">
        <v>86</v>
      </c>
      <c r="D2002" t="s">
        <v>115</v>
      </c>
      <c r="K2002" t="s">
        <v>1571</v>
      </c>
      <c r="L2002" t="s">
        <v>1560</v>
      </c>
      <c r="M2002" t="s">
        <v>1549</v>
      </c>
      <c r="N2002" t="s">
        <v>794</v>
      </c>
      <c r="V2002" t="s">
        <v>507</v>
      </c>
      <c r="W2002" t="s">
        <v>107</v>
      </c>
      <c r="X2002" t="s">
        <v>93</v>
      </c>
      <c r="Y2002">
        <v>8</v>
      </c>
      <c r="Z2002" t="s">
        <v>137</v>
      </c>
      <c r="AB2002">
        <v>1</v>
      </c>
      <c r="AG2002" t="s">
        <v>95</v>
      </c>
      <c r="AX2002" t="s">
        <v>602</v>
      </c>
      <c r="AY2002" t="s">
        <v>1587</v>
      </c>
      <c r="AZ2002" t="s">
        <v>609</v>
      </c>
      <c r="BA2002" t="s">
        <v>1588</v>
      </c>
      <c r="BC2002">
        <v>0.16669999999999999</v>
      </c>
      <c r="BH2002" t="s">
        <v>99</v>
      </c>
      <c r="BO2002" t="s">
        <v>111</v>
      </c>
      <c r="CD2002" t="s">
        <v>578</v>
      </c>
      <c r="CE2002">
        <v>85949</v>
      </c>
      <c r="CF2002" t="s">
        <v>579</v>
      </c>
      <c r="CG2002" t="s">
        <v>580</v>
      </c>
      <c r="CH2002">
        <v>2005</v>
      </c>
    </row>
    <row r="2003" spans="1:86" hidden="1" x14ac:dyDescent="0.25">
      <c r="A2003">
        <v>330541</v>
      </c>
      <c r="B2003" t="s">
        <v>86</v>
      </c>
      <c r="D2003" t="s">
        <v>115</v>
      </c>
      <c r="K2003" t="s">
        <v>1572</v>
      </c>
      <c r="L2003" t="s">
        <v>1560</v>
      </c>
      <c r="M2003" t="s">
        <v>1549</v>
      </c>
      <c r="N2003" t="s">
        <v>1000</v>
      </c>
      <c r="V2003" t="s">
        <v>507</v>
      </c>
      <c r="W2003" t="s">
        <v>107</v>
      </c>
      <c r="X2003" t="s">
        <v>93</v>
      </c>
      <c r="Y2003">
        <v>5</v>
      </c>
      <c r="Z2003" t="s">
        <v>137</v>
      </c>
      <c r="AB2003">
        <v>1E-4</v>
      </c>
      <c r="AG2003" t="s">
        <v>95</v>
      </c>
      <c r="AX2003" t="s">
        <v>144</v>
      </c>
      <c r="AY2003" t="s">
        <v>1573</v>
      </c>
      <c r="AZ2003" t="s">
        <v>609</v>
      </c>
      <c r="BC2003">
        <v>10</v>
      </c>
      <c r="BH2003" t="s">
        <v>99</v>
      </c>
      <c r="BO2003" t="s">
        <v>111</v>
      </c>
      <c r="CD2003" t="s">
        <v>1574</v>
      </c>
      <c r="CE2003">
        <v>102066</v>
      </c>
      <c r="CF2003" t="s">
        <v>1575</v>
      </c>
      <c r="CG2003" t="s">
        <v>1576</v>
      </c>
      <c r="CH2003">
        <v>2006</v>
      </c>
    </row>
    <row r="2004" spans="1:86" hidden="1" x14ac:dyDescent="0.25">
      <c r="A2004">
        <v>330541</v>
      </c>
      <c r="B2004" t="s">
        <v>86</v>
      </c>
      <c r="D2004" t="s">
        <v>115</v>
      </c>
      <c r="K2004" t="s">
        <v>1589</v>
      </c>
      <c r="L2004" t="s">
        <v>1590</v>
      </c>
      <c r="M2004" t="s">
        <v>1549</v>
      </c>
      <c r="V2004" t="s">
        <v>491</v>
      </c>
      <c r="W2004" t="s">
        <v>92</v>
      </c>
      <c r="X2004" t="s">
        <v>559</v>
      </c>
      <c r="Y2004">
        <v>4</v>
      </c>
      <c r="Z2004" t="s">
        <v>94</v>
      </c>
      <c r="AB2004">
        <v>1.4</v>
      </c>
      <c r="AG2004" t="s">
        <v>567</v>
      </c>
      <c r="AX2004" t="s">
        <v>108</v>
      </c>
      <c r="AY2004" t="s">
        <v>150</v>
      </c>
      <c r="AZ2004" t="s">
        <v>609</v>
      </c>
      <c r="BC2004">
        <v>28</v>
      </c>
      <c r="BH2004" t="s">
        <v>99</v>
      </c>
      <c r="BO2004" t="s">
        <v>111</v>
      </c>
      <c r="CD2004" t="s">
        <v>568</v>
      </c>
      <c r="CE2004">
        <v>102117</v>
      </c>
      <c r="CF2004" t="s">
        <v>569</v>
      </c>
      <c r="CG2004" t="s">
        <v>570</v>
      </c>
      <c r="CH2004">
        <v>2004</v>
      </c>
    </row>
    <row r="2005" spans="1:86" hidden="1" x14ac:dyDescent="0.25">
      <c r="A2005">
        <v>330541</v>
      </c>
      <c r="B2005" t="s">
        <v>86</v>
      </c>
      <c r="D2005" t="s">
        <v>115</v>
      </c>
      <c r="K2005" t="s">
        <v>1569</v>
      </c>
      <c r="L2005" t="s">
        <v>1560</v>
      </c>
      <c r="M2005" t="s">
        <v>1549</v>
      </c>
      <c r="P2005">
        <v>17</v>
      </c>
      <c r="U2005" t="s">
        <v>99</v>
      </c>
      <c r="V2005" t="s">
        <v>507</v>
      </c>
      <c r="W2005" t="s">
        <v>107</v>
      </c>
      <c r="X2005" t="s">
        <v>93</v>
      </c>
      <c r="Y2005">
        <v>3</v>
      </c>
      <c r="Z2005" t="s">
        <v>137</v>
      </c>
      <c r="AB2005">
        <v>1</v>
      </c>
      <c r="AG2005" t="s">
        <v>95</v>
      </c>
      <c r="AX2005" t="s">
        <v>523</v>
      </c>
      <c r="AY2005" t="s">
        <v>523</v>
      </c>
      <c r="AZ2005" t="s">
        <v>626</v>
      </c>
      <c r="BA2005" t="s">
        <v>179</v>
      </c>
      <c r="BC2005">
        <v>4</v>
      </c>
      <c r="BH2005" t="s">
        <v>99</v>
      </c>
      <c r="BO2005" t="s">
        <v>111</v>
      </c>
      <c r="CD2005" t="s">
        <v>578</v>
      </c>
      <c r="CE2005">
        <v>85949</v>
      </c>
      <c r="CF2005" t="s">
        <v>579</v>
      </c>
      <c r="CG2005" t="s">
        <v>580</v>
      </c>
      <c r="CH2005">
        <v>2005</v>
      </c>
    </row>
    <row r="2006" spans="1:86" hidden="1" x14ac:dyDescent="0.25">
      <c r="A2006">
        <v>330541</v>
      </c>
      <c r="B2006" t="s">
        <v>86</v>
      </c>
      <c r="C2006" t="s">
        <v>560</v>
      </c>
      <c r="D2006" t="s">
        <v>87</v>
      </c>
      <c r="F2006">
        <v>98</v>
      </c>
      <c r="K2006" t="s">
        <v>1572</v>
      </c>
      <c r="L2006" t="s">
        <v>1560</v>
      </c>
      <c r="M2006" t="s">
        <v>1549</v>
      </c>
      <c r="V2006" t="s">
        <v>561</v>
      </c>
      <c r="W2006" t="s">
        <v>107</v>
      </c>
      <c r="X2006" t="s">
        <v>559</v>
      </c>
      <c r="Y2006">
        <v>3</v>
      </c>
      <c r="Z2006" t="s">
        <v>94</v>
      </c>
      <c r="AB2006">
        <v>8.8000000000000005E-3</v>
      </c>
      <c r="AG2006" t="s">
        <v>95</v>
      </c>
      <c r="AX2006" t="s">
        <v>523</v>
      </c>
      <c r="AY2006" t="s">
        <v>523</v>
      </c>
      <c r="AZ2006" t="s">
        <v>1094</v>
      </c>
      <c r="BC2006">
        <v>53</v>
      </c>
      <c r="BH2006" t="s">
        <v>99</v>
      </c>
      <c r="BO2006" t="s">
        <v>111</v>
      </c>
      <c r="CD2006" t="s">
        <v>562</v>
      </c>
      <c r="CE2006">
        <v>102076</v>
      </c>
      <c r="CF2006" t="s">
        <v>563</v>
      </c>
      <c r="CG2006" t="s">
        <v>564</v>
      </c>
      <c r="CH2006">
        <v>2007</v>
      </c>
    </row>
    <row r="2007" spans="1:86" hidden="1" x14ac:dyDescent="0.25">
      <c r="A2007">
        <v>330541</v>
      </c>
      <c r="B2007" t="s">
        <v>86</v>
      </c>
      <c r="C2007" t="s">
        <v>560</v>
      </c>
      <c r="D2007" t="s">
        <v>87</v>
      </c>
      <c r="F2007">
        <v>98</v>
      </c>
      <c r="K2007" t="s">
        <v>1569</v>
      </c>
      <c r="L2007" t="s">
        <v>1560</v>
      </c>
      <c r="M2007" t="s">
        <v>1549</v>
      </c>
      <c r="V2007" t="s">
        <v>561</v>
      </c>
      <c r="W2007" t="s">
        <v>107</v>
      </c>
      <c r="X2007" t="s">
        <v>559</v>
      </c>
      <c r="Y2007">
        <v>3</v>
      </c>
      <c r="Z2007" t="s">
        <v>94</v>
      </c>
      <c r="AB2007">
        <v>8.8000000000000005E-3</v>
      </c>
      <c r="AG2007" t="s">
        <v>95</v>
      </c>
      <c r="AX2007" t="s">
        <v>523</v>
      </c>
      <c r="AY2007" t="s">
        <v>523</v>
      </c>
      <c r="AZ2007" t="s">
        <v>1094</v>
      </c>
      <c r="BC2007">
        <v>67</v>
      </c>
      <c r="BH2007" t="s">
        <v>99</v>
      </c>
      <c r="BO2007" t="s">
        <v>111</v>
      </c>
      <c r="CD2007" t="s">
        <v>562</v>
      </c>
      <c r="CE2007">
        <v>102076</v>
      </c>
      <c r="CF2007" t="s">
        <v>563</v>
      </c>
      <c r="CG2007" t="s">
        <v>564</v>
      </c>
      <c r="CH2007">
        <v>2007</v>
      </c>
    </row>
    <row r="2008" spans="1:86" hidden="1" x14ac:dyDescent="0.25">
      <c r="A2008">
        <v>330541</v>
      </c>
      <c r="B2008" t="s">
        <v>86</v>
      </c>
      <c r="D2008" t="s">
        <v>115</v>
      </c>
      <c r="K2008" t="s">
        <v>1547</v>
      </c>
      <c r="L2008" t="s">
        <v>1548</v>
      </c>
      <c r="M2008" t="s">
        <v>1549</v>
      </c>
      <c r="V2008" t="s">
        <v>91</v>
      </c>
      <c r="W2008" t="s">
        <v>220</v>
      </c>
      <c r="X2008" t="s">
        <v>93</v>
      </c>
      <c r="Y2008">
        <v>8</v>
      </c>
      <c r="Z2008" t="s">
        <v>137</v>
      </c>
      <c r="AB2008"/>
      <c r="AD2008">
        <v>0.03</v>
      </c>
      <c r="AF2008">
        <v>29.4</v>
      </c>
      <c r="AG2008" t="s">
        <v>95</v>
      </c>
      <c r="AX2008" t="s">
        <v>108</v>
      </c>
      <c r="AY2008" t="s">
        <v>150</v>
      </c>
      <c r="BC2008">
        <v>3</v>
      </c>
      <c r="BH2008" t="s">
        <v>99</v>
      </c>
      <c r="BO2008" t="s">
        <v>111</v>
      </c>
      <c r="CD2008" t="s">
        <v>1550</v>
      </c>
      <c r="CE2008">
        <v>174258</v>
      </c>
      <c r="CF2008" t="s">
        <v>1551</v>
      </c>
      <c r="CG2008" t="s">
        <v>1552</v>
      </c>
      <c r="CH2008">
        <v>1986</v>
      </c>
    </row>
    <row r="2009" spans="1:86" hidden="1" x14ac:dyDescent="0.25">
      <c r="A2009">
        <v>330541</v>
      </c>
      <c r="B2009" t="s">
        <v>86</v>
      </c>
      <c r="D2009" t="s">
        <v>115</v>
      </c>
      <c r="K2009" t="s">
        <v>1547</v>
      </c>
      <c r="L2009" t="s">
        <v>1548</v>
      </c>
      <c r="M2009" t="s">
        <v>1549</v>
      </c>
      <c r="V2009" t="s">
        <v>91</v>
      </c>
      <c r="W2009" t="s">
        <v>220</v>
      </c>
      <c r="X2009" t="s">
        <v>93</v>
      </c>
      <c r="Y2009">
        <v>12</v>
      </c>
      <c r="Z2009" t="s">
        <v>137</v>
      </c>
      <c r="AB2009"/>
      <c r="AD2009">
        <v>3.0000000000000001E-3</v>
      </c>
      <c r="AF2009">
        <v>32</v>
      </c>
      <c r="AG2009" t="s">
        <v>95</v>
      </c>
      <c r="AX2009" t="s">
        <v>108</v>
      </c>
      <c r="AY2009" t="s">
        <v>150</v>
      </c>
      <c r="BC2009">
        <v>3</v>
      </c>
      <c r="BH2009" t="s">
        <v>99</v>
      </c>
      <c r="BO2009" t="s">
        <v>111</v>
      </c>
      <c r="CD2009" t="s">
        <v>1550</v>
      </c>
      <c r="CE2009">
        <v>174258</v>
      </c>
      <c r="CF2009" t="s">
        <v>1551</v>
      </c>
      <c r="CG2009" t="s">
        <v>1552</v>
      </c>
      <c r="CH2009">
        <v>1986</v>
      </c>
    </row>
    <row r="2010" spans="1:86" hidden="1" x14ac:dyDescent="0.25">
      <c r="A2010">
        <v>330541</v>
      </c>
      <c r="B2010" t="s">
        <v>86</v>
      </c>
      <c r="D2010" t="s">
        <v>115</v>
      </c>
      <c r="K2010" t="s">
        <v>1593</v>
      </c>
      <c r="L2010" t="s">
        <v>1594</v>
      </c>
      <c r="M2010" t="s">
        <v>1595</v>
      </c>
      <c r="V2010" t="s">
        <v>91</v>
      </c>
      <c r="W2010" t="s">
        <v>220</v>
      </c>
      <c r="X2010" t="s">
        <v>93</v>
      </c>
      <c r="Y2010">
        <v>12</v>
      </c>
      <c r="Z2010" t="s">
        <v>137</v>
      </c>
      <c r="AB2010">
        <v>1.91139704</v>
      </c>
      <c r="AG2010" t="s">
        <v>95</v>
      </c>
      <c r="AX2010" t="s">
        <v>108</v>
      </c>
      <c r="AY2010" t="s">
        <v>150</v>
      </c>
      <c r="AZ2010" t="s">
        <v>138</v>
      </c>
      <c r="BC2010">
        <v>3</v>
      </c>
      <c r="BH2010" t="s">
        <v>99</v>
      </c>
      <c r="BO2010" t="s">
        <v>111</v>
      </c>
      <c r="CD2010" t="s">
        <v>1550</v>
      </c>
      <c r="CE2010">
        <v>174258</v>
      </c>
      <c r="CF2010" t="s">
        <v>1551</v>
      </c>
      <c r="CG2010" t="s">
        <v>1552</v>
      </c>
      <c r="CH2010">
        <v>1986</v>
      </c>
    </row>
    <row r="2011" spans="1:86" hidden="1" x14ac:dyDescent="0.25">
      <c r="A2011">
        <v>330541</v>
      </c>
      <c r="B2011" t="s">
        <v>86</v>
      </c>
      <c r="C2011" t="s">
        <v>1596</v>
      </c>
      <c r="D2011" t="s">
        <v>115</v>
      </c>
      <c r="K2011" t="s">
        <v>1597</v>
      </c>
      <c r="L2011" t="s">
        <v>1598</v>
      </c>
      <c r="M2011" t="s">
        <v>1595</v>
      </c>
      <c r="N2011" t="s">
        <v>1308</v>
      </c>
      <c r="V2011" t="s">
        <v>91</v>
      </c>
      <c r="W2011" t="s">
        <v>107</v>
      </c>
      <c r="X2011" t="s">
        <v>93</v>
      </c>
      <c r="Z2011" t="s">
        <v>94</v>
      </c>
      <c r="AB2011">
        <v>2.87</v>
      </c>
      <c r="AD2011">
        <v>1.94</v>
      </c>
      <c r="AF2011">
        <v>4.8</v>
      </c>
      <c r="AG2011" t="s">
        <v>95</v>
      </c>
      <c r="AX2011" t="s">
        <v>602</v>
      </c>
      <c r="AY2011" t="s">
        <v>1587</v>
      </c>
      <c r="AZ2011" t="s">
        <v>214</v>
      </c>
      <c r="BC2011">
        <v>2.0799999999999999E-2</v>
      </c>
      <c r="BH2011" t="s">
        <v>99</v>
      </c>
      <c r="BO2011" t="s">
        <v>111</v>
      </c>
      <c r="CD2011" t="s">
        <v>1599</v>
      </c>
      <c r="CE2011">
        <v>102070</v>
      </c>
      <c r="CF2011" t="s">
        <v>1600</v>
      </c>
      <c r="CG2011" t="s">
        <v>1601</v>
      </c>
      <c r="CH2011">
        <v>2008</v>
      </c>
    </row>
    <row r="2012" spans="1:86" hidden="1" x14ac:dyDescent="0.25">
      <c r="A2012">
        <v>330541</v>
      </c>
      <c r="B2012" t="s">
        <v>86</v>
      </c>
      <c r="D2012" t="s">
        <v>115</v>
      </c>
      <c r="K2012" t="s">
        <v>1597</v>
      </c>
      <c r="L2012" t="s">
        <v>1598</v>
      </c>
      <c r="M2012" t="s">
        <v>1595</v>
      </c>
      <c r="N2012" t="s">
        <v>910</v>
      </c>
      <c r="V2012" t="s">
        <v>91</v>
      </c>
      <c r="W2012" t="s">
        <v>107</v>
      </c>
      <c r="X2012" t="s">
        <v>93</v>
      </c>
      <c r="Y2012">
        <v>9</v>
      </c>
      <c r="Z2012" t="s">
        <v>137</v>
      </c>
      <c r="AB2012">
        <v>2.39</v>
      </c>
      <c r="AG2012" t="s">
        <v>95</v>
      </c>
      <c r="AX2012" t="s">
        <v>912</v>
      </c>
      <c r="AY2012" t="s">
        <v>1316</v>
      </c>
      <c r="AZ2012" t="s">
        <v>214</v>
      </c>
      <c r="BC2012">
        <v>2</v>
      </c>
      <c r="BH2012" t="s">
        <v>99</v>
      </c>
      <c r="BO2012" t="s">
        <v>111</v>
      </c>
      <c r="CD2012" t="s">
        <v>1599</v>
      </c>
      <c r="CE2012">
        <v>95717</v>
      </c>
      <c r="CF2012" t="s">
        <v>1602</v>
      </c>
      <c r="CG2012" t="s">
        <v>1603</v>
      </c>
      <c r="CH2012">
        <v>2006</v>
      </c>
    </row>
    <row r="2013" spans="1:86" hidden="1" x14ac:dyDescent="0.25">
      <c r="A2013">
        <v>330541</v>
      </c>
      <c r="B2013" t="s">
        <v>86</v>
      </c>
      <c r="C2013" t="s">
        <v>1596</v>
      </c>
      <c r="D2013" t="s">
        <v>115</v>
      </c>
      <c r="K2013" t="s">
        <v>1597</v>
      </c>
      <c r="L2013" t="s">
        <v>1598</v>
      </c>
      <c r="M2013" t="s">
        <v>1595</v>
      </c>
      <c r="N2013" t="s">
        <v>794</v>
      </c>
      <c r="V2013" t="s">
        <v>91</v>
      </c>
      <c r="W2013" t="s">
        <v>107</v>
      </c>
      <c r="X2013" t="s">
        <v>93</v>
      </c>
      <c r="Z2013" t="s">
        <v>94</v>
      </c>
      <c r="AB2013">
        <v>1.94</v>
      </c>
      <c r="AD2013">
        <v>1.49</v>
      </c>
      <c r="AF2013">
        <v>2.4</v>
      </c>
      <c r="AG2013" t="s">
        <v>95</v>
      </c>
      <c r="AX2013" t="s">
        <v>912</v>
      </c>
      <c r="AY2013" t="s">
        <v>1316</v>
      </c>
      <c r="AZ2013" t="s">
        <v>214</v>
      </c>
      <c r="BE2013">
        <v>2</v>
      </c>
      <c r="BG2013">
        <v>2.0832999999999999</v>
      </c>
      <c r="BH2013" t="s">
        <v>99</v>
      </c>
      <c r="BO2013" t="s">
        <v>111</v>
      </c>
      <c r="CD2013" t="s">
        <v>1599</v>
      </c>
      <c r="CE2013">
        <v>102070</v>
      </c>
      <c r="CF2013" t="s">
        <v>1600</v>
      </c>
      <c r="CG2013" t="s">
        <v>1601</v>
      </c>
      <c r="CH2013">
        <v>2008</v>
      </c>
    </row>
    <row r="2014" spans="1:86" hidden="1" x14ac:dyDescent="0.25">
      <c r="A2014">
        <v>330541</v>
      </c>
      <c r="B2014" t="s">
        <v>86</v>
      </c>
      <c r="D2014" t="s">
        <v>115</v>
      </c>
      <c r="K2014" t="s">
        <v>1597</v>
      </c>
      <c r="L2014" t="s">
        <v>1598</v>
      </c>
      <c r="M2014" t="s">
        <v>1595</v>
      </c>
      <c r="N2014" t="s">
        <v>1308</v>
      </c>
      <c r="V2014" t="s">
        <v>91</v>
      </c>
      <c r="W2014" t="s">
        <v>107</v>
      </c>
      <c r="X2014" t="s">
        <v>93</v>
      </c>
      <c r="Y2014">
        <v>8</v>
      </c>
      <c r="Z2014" t="s">
        <v>137</v>
      </c>
      <c r="AB2014">
        <v>5.09</v>
      </c>
      <c r="AG2014" t="s">
        <v>95</v>
      </c>
      <c r="AX2014" t="s">
        <v>602</v>
      </c>
      <c r="AY2014" t="s">
        <v>1587</v>
      </c>
      <c r="AZ2014" t="s">
        <v>214</v>
      </c>
      <c r="BC2014">
        <v>2</v>
      </c>
      <c r="BH2014" t="s">
        <v>99</v>
      </c>
      <c r="BO2014" t="s">
        <v>111</v>
      </c>
      <c r="CD2014" t="s">
        <v>1599</v>
      </c>
      <c r="CE2014">
        <v>95717</v>
      </c>
      <c r="CF2014" t="s">
        <v>1602</v>
      </c>
      <c r="CG2014" t="s">
        <v>1603</v>
      </c>
      <c r="CH2014">
        <v>2006</v>
      </c>
    </row>
    <row r="2015" spans="1:86" hidden="1" x14ac:dyDescent="0.25">
      <c r="A2015">
        <v>330541</v>
      </c>
      <c r="B2015" t="s">
        <v>86</v>
      </c>
      <c r="C2015" t="s">
        <v>158</v>
      </c>
      <c r="D2015" t="s">
        <v>115</v>
      </c>
      <c r="K2015" t="s">
        <v>1597</v>
      </c>
      <c r="L2015" t="s">
        <v>1598</v>
      </c>
      <c r="M2015" t="s">
        <v>1595</v>
      </c>
      <c r="N2015" t="s">
        <v>910</v>
      </c>
      <c r="V2015" t="s">
        <v>91</v>
      </c>
      <c r="W2015" t="s">
        <v>107</v>
      </c>
      <c r="X2015" t="s">
        <v>93</v>
      </c>
      <c r="Z2015" t="s">
        <v>94</v>
      </c>
      <c r="AB2015">
        <v>5.6</v>
      </c>
      <c r="AD2015">
        <v>5.4</v>
      </c>
      <c r="AF2015">
        <v>5.7</v>
      </c>
      <c r="AG2015" t="s">
        <v>95</v>
      </c>
      <c r="AX2015" t="s">
        <v>912</v>
      </c>
      <c r="AY2015" t="s">
        <v>1564</v>
      </c>
      <c r="AZ2015" t="s">
        <v>214</v>
      </c>
      <c r="BC2015">
        <v>2</v>
      </c>
      <c r="BH2015" t="s">
        <v>99</v>
      </c>
      <c r="BO2015" t="s">
        <v>111</v>
      </c>
      <c r="CD2015" t="s">
        <v>1014</v>
      </c>
      <c r="CE2015">
        <v>102068</v>
      </c>
      <c r="CF2015" t="s">
        <v>1015</v>
      </c>
      <c r="CG2015" t="s">
        <v>1016</v>
      </c>
      <c r="CH2015">
        <v>2005</v>
      </c>
    </row>
    <row r="2016" spans="1:86" hidden="1" x14ac:dyDescent="0.25">
      <c r="A2016">
        <v>330541</v>
      </c>
      <c r="B2016" t="s">
        <v>86</v>
      </c>
      <c r="D2016" t="s">
        <v>115</v>
      </c>
      <c r="K2016" t="s">
        <v>1593</v>
      </c>
      <c r="L2016" t="s">
        <v>1594</v>
      </c>
      <c r="M2016" t="s">
        <v>1595</v>
      </c>
      <c r="V2016" t="s">
        <v>91</v>
      </c>
      <c r="W2016" t="s">
        <v>220</v>
      </c>
      <c r="X2016" t="s">
        <v>93</v>
      </c>
      <c r="Y2016">
        <v>12</v>
      </c>
      <c r="Z2016" t="s">
        <v>137</v>
      </c>
      <c r="AB2016">
        <v>4.8950411999999996</v>
      </c>
      <c r="AG2016" t="s">
        <v>95</v>
      </c>
      <c r="AX2016" t="s">
        <v>108</v>
      </c>
      <c r="AY2016" t="s">
        <v>150</v>
      </c>
      <c r="AZ2016" t="s">
        <v>214</v>
      </c>
      <c r="BC2016">
        <v>3</v>
      </c>
      <c r="BH2016" t="s">
        <v>99</v>
      </c>
      <c r="BO2016" t="s">
        <v>111</v>
      </c>
      <c r="CD2016" t="s">
        <v>1550</v>
      </c>
      <c r="CE2016">
        <v>174258</v>
      </c>
      <c r="CF2016" t="s">
        <v>1551</v>
      </c>
      <c r="CG2016" t="s">
        <v>1552</v>
      </c>
      <c r="CH2016">
        <v>1986</v>
      </c>
    </row>
    <row r="2017" spans="1:86" hidden="1" x14ac:dyDescent="0.25">
      <c r="A2017">
        <v>330541</v>
      </c>
      <c r="B2017" t="s">
        <v>86</v>
      </c>
      <c r="D2017" t="s">
        <v>115</v>
      </c>
      <c r="E2017" t="s">
        <v>149</v>
      </c>
      <c r="F2017">
        <v>90</v>
      </c>
      <c r="K2017" t="s">
        <v>1593</v>
      </c>
      <c r="L2017" t="s">
        <v>1594</v>
      </c>
      <c r="M2017" t="s">
        <v>1595</v>
      </c>
      <c r="N2017" t="s">
        <v>118</v>
      </c>
      <c r="V2017" t="s">
        <v>91</v>
      </c>
      <c r="W2017" t="s">
        <v>92</v>
      </c>
      <c r="X2017" t="s">
        <v>93</v>
      </c>
      <c r="Y2017">
        <v>5</v>
      </c>
      <c r="Z2017" t="s">
        <v>94</v>
      </c>
      <c r="AB2017">
        <v>8.18</v>
      </c>
      <c r="AG2017" t="s">
        <v>95</v>
      </c>
      <c r="AX2017" t="s">
        <v>108</v>
      </c>
      <c r="AY2017" t="s">
        <v>160</v>
      </c>
      <c r="AZ2017" t="s">
        <v>422</v>
      </c>
      <c r="BC2017">
        <v>0.375</v>
      </c>
      <c r="BH2017" t="s">
        <v>99</v>
      </c>
      <c r="BO2017" t="s">
        <v>111</v>
      </c>
      <c r="CD2017" t="s">
        <v>1604</v>
      </c>
      <c r="CE2017">
        <v>62033</v>
      </c>
      <c r="CF2017" t="s">
        <v>1605</v>
      </c>
      <c r="CG2017" t="s">
        <v>1606</v>
      </c>
      <c r="CH2017">
        <v>2001</v>
      </c>
    </row>
    <row r="2018" spans="1:86" hidden="1" x14ac:dyDescent="0.25">
      <c r="A2018">
        <v>330541</v>
      </c>
      <c r="B2018" t="s">
        <v>86</v>
      </c>
      <c r="C2018" t="s">
        <v>104</v>
      </c>
      <c r="D2018" t="s">
        <v>115</v>
      </c>
      <c r="K2018" t="s">
        <v>1593</v>
      </c>
      <c r="L2018" t="s">
        <v>1594</v>
      </c>
      <c r="M2018" t="s">
        <v>1595</v>
      </c>
      <c r="N2018" t="s">
        <v>118</v>
      </c>
      <c r="V2018" t="s">
        <v>91</v>
      </c>
      <c r="W2018" t="s">
        <v>92</v>
      </c>
      <c r="X2018" t="s">
        <v>93</v>
      </c>
      <c r="Z2018" t="s">
        <v>94</v>
      </c>
      <c r="AB2018">
        <v>8.18</v>
      </c>
      <c r="AG2018" t="s">
        <v>95</v>
      </c>
      <c r="AX2018" t="s">
        <v>108</v>
      </c>
      <c r="AY2018" t="s">
        <v>160</v>
      </c>
      <c r="AZ2018" t="s">
        <v>422</v>
      </c>
      <c r="BC2018">
        <v>0.375</v>
      </c>
      <c r="BH2018" t="s">
        <v>99</v>
      </c>
      <c r="BO2018" t="s">
        <v>111</v>
      </c>
      <c r="CD2018" t="s">
        <v>1607</v>
      </c>
      <c r="CE2018">
        <v>97635</v>
      </c>
      <c r="CF2018" t="s">
        <v>1608</v>
      </c>
      <c r="CG2018" t="s">
        <v>1609</v>
      </c>
      <c r="CH2018">
        <v>2007</v>
      </c>
    </row>
    <row r="2019" spans="1:86" hidden="1" x14ac:dyDescent="0.25">
      <c r="A2019">
        <v>330541</v>
      </c>
      <c r="B2019" t="s">
        <v>86</v>
      </c>
      <c r="D2019" t="s">
        <v>115</v>
      </c>
      <c r="E2019" t="s">
        <v>149</v>
      </c>
      <c r="F2019">
        <v>90</v>
      </c>
      <c r="K2019" t="s">
        <v>1593</v>
      </c>
      <c r="L2019" t="s">
        <v>1594</v>
      </c>
      <c r="M2019" t="s">
        <v>1595</v>
      </c>
      <c r="N2019" t="s">
        <v>118</v>
      </c>
      <c r="V2019" t="s">
        <v>91</v>
      </c>
      <c r="W2019" t="s">
        <v>92</v>
      </c>
      <c r="X2019" t="s">
        <v>93</v>
      </c>
      <c r="Y2019">
        <v>7</v>
      </c>
      <c r="Z2019" t="s">
        <v>94</v>
      </c>
      <c r="AA2019" t="s">
        <v>106</v>
      </c>
      <c r="AB2019">
        <v>100</v>
      </c>
      <c r="AG2019" t="s">
        <v>95</v>
      </c>
      <c r="AX2019" t="s">
        <v>282</v>
      </c>
      <c r="AY2019" t="s">
        <v>1610</v>
      </c>
      <c r="AZ2019" t="s">
        <v>422</v>
      </c>
      <c r="BC2019">
        <v>4.1700000000000001E-2</v>
      </c>
      <c r="BH2019" t="s">
        <v>99</v>
      </c>
      <c r="BO2019" t="s">
        <v>111</v>
      </c>
      <c r="CD2019" t="s">
        <v>1604</v>
      </c>
      <c r="CE2019">
        <v>62033</v>
      </c>
      <c r="CF2019" t="s">
        <v>1605</v>
      </c>
      <c r="CG2019" t="s">
        <v>1606</v>
      </c>
      <c r="CH2019">
        <v>2001</v>
      </c>
    </row>
    <row r="2020" spans="1:86" hidden="1" x14ac:dyDescent="0.25">
      <c r="A2020">
        <v>330541</v>
      </c>
      <c r="B2020" t="s">
        <v>86</v>
      </c>
      <c r="C2020" t="s">
        <v>104</v>
      </c>
      <c r="D2020" t="s">
        <v>115</v>
      </c>
      <c r="K2020" t="s">
        <v>1593</v>
      </c>
      <c r="L2020" t="s">
        <v>1594</v>
      </c>
      <c r="M2020" t="s">
        <v>1595</v>
      </c>
      <c r="N2020" t="s">
        <v>118</v>
      </c>
      <c r="V2020" t="s">
        <v>91</v>
      </c>
      <c r="W2020" t="s">
        <v>92</v>
      </c>
      <c r="X2020" t="s">
        <v>93</v>
      </c>
      <c r="Z2020" t="s">
        <v>94</v>
      </c>
      <c r="AB2020">
        <v>7.84</v>
      </c>
      <c r="AG2020" t="s">
        <v>95</v>
      </c>
      <c r="AX2020" t="s">
        <v>108</v>
      </c>
      <c r="AY2020" t="s">
        <v>160</v>
      </c>
      <c r="AZ2020" t="s">
        <v>422</v>
      </c>
      <c r="BC2020">
        <v>0.375</v>
      </c>
      <c r="BH2020" t="s">
        <v>99</v>
      </c>
      <c r="BO2020" t="s">
        <v>111</v>
      </c>
      <c r="CD2020" t="s">
        <v>1607</v>
      </c>
      <c r="CE2020">
        <v>97635</v>
      </c>
      <c r="CF2020" t="s">
        <v>1608</v>
      </c>
      <c r="CG2020" t="s">
        <v>1609</v>
      </c>
      <c r="CH2020">
        <v>2007</v>
      </c>
    </row>
    <row r="2021" spans="1:86" hidden="1" x14ac:dyDescent="0.25">
      <c r="A2021">
        <v>330541</v>
      </c>
      <c r="B2021" t="s">
        <v>86</v>
      </c>
      <c r="D2021" t="s">
        <v>115</v>
      </c>
      <c r="K2021" t="s">
        <v>1593</v>
      </c>
      <c r="L2021" t="s">
        <v>1594</v>
      </c>
      <c r="M2021" t="s">
        <v>1595</v>
      </c>
      <c r="V2021" t="s">
        <v>91</v>
      </c>
      <c r="W2021" t="s">
        <v>220</v>
      </c>
      <c r="X2021" t="s">
        <v>93</v>
      </c>
      <c r="Y2021">
        <v>12</v>
      </c>
      <c r="Z2021" t="s">
        <v>137</v>
      </c>
      <c r="AB2021">
        <v>6.3</v>
      </c>
      <c r="AG2021" t="s">
        <v>95</v>
      </c>
      <c r="AX2021" t="s">
        <v>108</v>
      </c>
      <c r="AY2021" t="s">
        <v>150</v>
      </c>
      <c r="AZ2021" t="s">
        <v>486</v>
      </c>
      <c r="BC2021">
        <v>5</v>
      </c>
      <c r="BH2021" t="s">
        <v>99</v>
      </c>
      <c r="BO2021" t="s">
        <v>111</v>
      </c>
      <c r="CD2021" t="s">
        <v>1550</v>
      </c>
      <c r="CE2021">
        <v>174258</v>
      </c>
      <c r="CF2021" t="s">
        <v>1551</v>
      </c>
      <c r="CG2021" t="s">
        <v>1552</v>
      </c>
      <c r="CH2021">
        <v>1986</v>
      </c>
    </row>
    <row r="2022" spans="1:86" hidden="1" x14ac:dyDescent="0.25">
      <c r="A2022">
        <v>330541</v>
      </c>
      <c r="B2022" t="s">
        <v>86</v>
      </c>
      <c r="D2022" t="s">
        <v>115</v>
      </c>
      <c r="K2022" t="s">
        <v>1593</v>
      </c>
      <c r="L2022" t="s">
        <v>1594</v>
      </c>
      <c r="M2022" t="s">
        <v>1595</v>
      </c>
      <c r="V2022" t="s">
        <v>91</v>
      </c>
      <c r="W2022" t="s">
        <v>220</v>
      </c>
      <c r="X2022" t="s">
        <v>93</v>
      </c>
      <c r="Y2022">
        <v>12</v>
      </c>
      <c r="Z2022" t="s">
        <v>137</v>
      </c>
      <c r="AB2022">
        <v>3.2</v>
      </c>
      <c r="AG2022" t="s">
        <v>95</v>
      </c>
      <c r="AX2022" t="s">
        <v>108</v>
      </c>
      <c r="AY2022" t="s">
        <v>150</v>
      </c>
      <c r="AZ2022" t="s">
        <v>486</v>
      </c>
      <c r="BC2022">
        <v>4</v>
      </c>
      <c r="BH2022" t="s">
        <v>99</v>
      </c>
      <c r="BO2022" t="s">
        <v>111</v>
      </c>
      <c r="CD2022" t="s">
        <v>1550</v>
      </c>
      <c r="CE2022">
        <v>174258</v>
      </c>
      <c r="CF2022" t="s">
        <v>1551</v>
      </c>
      <c r="CG2022" t="s">
        <v>1552</v>
      </c>
      <c r="CH2022">
        <v>1986</v>
      </c>
    </row>
    <row r="2023" spans="1:86" hidden="1" x14ac:dyDescent="0.25">
      <c r="A2023">
        <v>330541</v>
      </c>
      <c r="B2023" t="s">
        <v>86</v>
      </c>
      <c r="D2023" t="s">
        <v>115</v>
      </c>
      <c r="K2023" t="s">
        <v>1593</v>
      </c>
      <c r="L2023" t="s">
        <v>1594</v>
      </c>
      <c r="M2023" t="s">
        <v>1595</v>
      </c>
      <c r="V2023" t="s">
        <v>91</v>
      </c>
      <c r="W2023" t="s">
        <v>220</v>
      </c>
      <c r="X2023" t="s">
        <v>93</v>
      </c>
      <c r="Y2023">
        <v>12</v>
      </c>
      <c r="Z2023" t="s">
        <v>137</v>
      </c>
      <c r="AB2023">
        <v>6.3</v>
      </c>
      <c r="AG2023" t="s">
        <v>95</v>
      </c>
      <c r="AX2023" t="s">
        <v>108</v>
      </c>
      <c r="AY2023" t="s">
        <v>150</v>
      </c>
      <c r="AZ2023" t="s">
        <v>486</v>
      </c>
      <c r="BC2023">
        <v>1</v>
      </c>
      <c r="BH2023" t="s">
        <v>99</v>
      </c>
      <c r="BO2023" t="s">
        <v>111</v>
      </c>
      <c r="CD2023" t="s">
        <v>1550</v>
      </c>
      <c r="CE2023">
        <v>174258</v>
      </c>
      <c r="CF2023" t="s">
        <v>1551</v>
      </c>
      <c r="CG2023" t="s">
        <v>1552</v>
      </c>
      <c r="CH2023">
        <v>1986</v>
      </c>
    </row>
    <row r="2024" spans="1:86" hidden="1" x14ac:dyDescent="0.25">
      <c r="A2024">
        <v>330541</v>
      </c>
      <c r="B2024" t="s">
        <v>86</v>
      </c>
      <c r="C2024" t="s">
        <v>158</v>
      </c>
      <c r="D2024" t="s">
        <v>115</v>
      </c>
      <c r="K2024" t="s">
        <v>1597</v>
      </c>
      <c r="L2024" t="s">
        <v>1598</v>
      </c>
      <c r="M2024" t="s">
        <v>1595</v>
      </c>
      <c r="N2024" t="s">
        <v>910</v>
      </c>
      <c r="V2024" t="s">
        <v>91</v>
      </c>
      <c r="W2024" t="s">
        <v>107</v>
      </c>
      <c r="X2024" t="s">
        <v>93</v>
      </c>
      <c r="Z2024" t="s">
        <v>94</v>
      </c>
      <c r="AB2024">
        <v>3.2</v>
      </c>
      <c r="AG2024" t="s">
        <v>95</v>
      </c>
      <c r="AX2024" t="s">
        <v>912</v>
      </c>
      <c r="AY2024" t="s">
        <v>1564</v>
      </c>
      <c r="AZ2024" t="s">
        <v>486</v>
      </c>
      <c r="BC2024">
        <v>2</v>
      </c>
      <c r="BH2024" t="s">
        <v>99</v>
      </c>
      <c r="BO2024" t="s">
        <v>111</v>
      </c>
      <c r="CD2024" t="s">
        <v>1014</v>
      </c>
      <c r="CE2024">
        <v>102068</v>
      </c>
      <c r="CF2024" t="s">
        <v>1015</v>
      </c>
      <c r="CG2024" t="s">
        <v>1016</v>
      </c>
      <c r="CH2024">
        <v>2005</v>
      </c>
    </row>
    <row r="2025" spans="1:86" hidden="1" x14ac:dyDescent="0.25">
      <c r="A2025">
        <v>330541</v>
      </c>
      <c r="B2025" t="s">
        <v>86</v>
      </c>
      <c r="D2025" t="s">
        <v>115</v>
      </c>
      <c r="K2025" t="s">
        <v>1597</v>
      </c>
      <c r="L2025" t="s">
        <v>1598</v>
      </c>
      <c r="M2025" t="s">
        <v>1595</v>
      </c>
      <c r="N2025" t="s">
        <v>910</v>
      </c>
      <c r="V2025" t="s">
        <v>91</v>
      </c>
      <c r="W2025" t="s">
        <v>107</v>
      </c>
      <c r="X2025" t="s">
        <v>93</v>
      </c>
      <c r="Y2025">
        <v>9</v>
      </c>
      <c r="Z2025" t="s">
        <v>137</v>
      </c>
      <c r="AB2025">
        <v>0.5</v>
      </c>
      <c r="AG2025" t="s">
        <v>95</v>
      </c>
      <c r="AX2025" t="s">
        <v>912</v>
      </c>
      <c r="AY2025" t="s">
        <v>1316</v>
      </c>
      <c r="AZ2025" t="s">
        <v>555</v>
      </c>
      <c r="BC2025">
        <v>2</v>
      </c>
      <c r="BH2025" t="s">
        <v>99</v>
      </c>
      <c r="BO2025" t="s">
        <v>111</v>
      </c>
      <c r="CD2025" t="s">
        <v>1599</v>
      </c>
      <c r="CE2025">
        <v>95717</v>
      </c>
      <c r="CF2025" t="s">
        <v>1602</v>
      </c>
      <c r="CG2025" t="s">
        <v>1603</v>
      </c>
      <c r="CH2025">
        <v>2006</v>
      </c>
    </row>
    <row r="2026" spans="1:86" hidden="1" x14ac:dyDescent="0.25">
      <c r="A2026">
        <v>330541</v>
      </c>
      <c r="B2026" t="s">
        <v>86</v>
      </c>
      <c r="D2026" t="s">
        <v>115</v>
      </c>
      <c r="K2026" t="s">
        <v>1597</v>
      </c>
      <c r="L2026" t="s">
        <v>1598</v>
      </c>
      <c r="M2026" t="s">
        <v>1595</v>
      </c>
      <c r="N2026" t="s">
        <v>1308</v>
      </c>
      <c r="V2026" t="s">
        <v>91</v>
      </c>
      <c r="W2026" t="s">
        <v>107</v>
      </c>
      <c r="X2026" t="s">
        <v>93</v>
      </c>
      <c r="Y2026">
        <v>8</v>
      </c>
      <c r="Z2026" t="s">
        <v>137</v>
      </c>
      <c r="AB2026">
        <v>1</v>
      </c>
      <c r="AG2026" t="s">
        <v>95</v>
      </c>
      <c r="AX2026" t="s">
        <v>602</v>
      </c>
      <c r="AY2026" t="s">
        <v>1587</v>
      </c>
      <c r="AZ2026" t="s">
        <v>555</v>
      </c>
      <c r="BC2026">
        <v>2</v>
      </c>
      <c r="BH2026" t="s">
        <v>99</v>
      </c>
      <c r="BO2026" t="s">
        <v>111</v>
      </c>
      <c r="CD2026" t="s">
        <v>1599</v>
      </c>
      <c r="CE2026">
        <v>95717</v>
      </c>
      <c r="CF2026" t="s">
        <v>1602</v>
      </c>
      <c r="CG2026" t="s">
        <v>1603</v>
      </c>
      <c r="CH2026">
        <v>2006</v>
      </c>
    </row>
    <row r="2027" spans="1:86" hidden="1" x14ac:dyDescent="0.25">
      <c r="A2027">
        <v>330541</v>
      </c>
      <c r="B2027" t="s">
        <v>86</v>
      </c>
      <c r="D2027" t="s">
        <v>115</v>
      </c>
      <c r="K2027" t="s">
        <v>1593</v>
      </c>
      <c r="L2027" t="s">
        <v>1594</v>
      </c>
      <c r="M2027" t="s">
        <v>1595</v>
      </c>
      <c r="V2027" t="s">
        <v>91</v>
      </c>
      <c r="W2027" t="s">
        <v>220</v>
      </c>
      <c r="X2027" t="s">
        <v>93</v>
      </c>
      <c r="Y2027">
        <v>12</v>
      </c>
      <c r="Z2027" t="s">
        <v>137</v>
      </c>
      <c r="AB2027">
        <v>3.2</v>
      </c>
      <c r="AG2027" t="s">
        <v>95</v>
      </c>
      <c r="AX2027" t="s">
        <v>108</v>
      </c>
      <c r="AY2027" t="s">
        <v>150</v>
      </c>
      <c r="AZ2027" t="s">
        <v>586</v>
      </c>
      <c r="BC2027">
        <v>1</v>
      </c>
      <c r="BH2027" t="s">
        <v>99</v>
      </c>
      <c r="BO2027" t="s">
        <v>111</v>
      </c>
      <c r="CD2027" t="s">
        <v>1550</v>
      </c>
      <c r="CE2027">
        <v>174258</v>
      </c>
      <c r="CF2027" t="s">
        <v>1551</v>
      </c>
      <c r="CG2027" t="s">
        <v>1552</v>
      </c>
      <c r="CH2027">
        <v>1986</v>
      </c>
    </row>
    <row r="2028" spans="1:86" hidden="1" x14ac:dyDescent="0.25">
      <c r="A2028">
        <v>330541</v>
      </c>
      <c r="B2028" t="s">
        <v>86</v>
      </c>
      <c r="D2028" t="s">
        <v>115</v>
      </c>
      <c r="K2028" t="s">
        <v>1593</v>
      </c>
      <c r="L2028" t="s">
        <v>1594</v>
      </c>
      <c r="M2028" t="s">
        <v>1595</v>
      </c>
      <c r="V2028" t="s">
        <v>91</v>
      </c>
      <c r="W2028" t="s">
        <v>220</v>
      </c>
      <c r="X2028" t="s">
        <v>93</v>
      </c>
      <c r="Y2028">
        <v>12</v>
      </c>
      <c r="Z2028" t="s">
        <v>137</v>
      </c>
      <c r="AB2028">
        <v>1.6</v>
      </c>
      <c r="AG2028" t="s">
        <v>95</v>
      </c>
      <c r="AX2028" t="s">
        <v>108</v>
      </c>
      <c r="AY2028" t="s">
        <v>150</v>
      </c>
      <c r="AZ2028" t="s">
        <v>586</v>
      </c>
      <c r="BC2028">
        <v>4</v>
      </c>
      <c r="BH2028" t="s">
        <v>99</v>
      </c>
      <c r="BO2028" t="s">
        <v>111</v>
      </c>
      <c r="CD2028" t="s">
        <v>1550</v>
      </c>
      <c r="CE2028">
        <v>174258</v>
      </c>
      <c r="CF2028" t="s">
        <v>1551</v>
      </c>
      <c r="CG2028" t="s">
        <v>1552</v>
      </c>
      <c r="CH2028">
        <v>1986</v>
      </c>
    </row>
    <row r="2029" spans="1:86" hidden="1" x14ac:dyDescent="0.25">
      <c r="A2029">
        <v>330541</v>
      </c>
      <c r="B2029" t="s">
        <v>86</v>
      </c>
      <c r="D2029" t="s">
        <v>115</v>
      </c>
      <c r="K2029" t="s">
        <v>1593</v>
      </c>
      <c r="L2029" t="s">
        <v>1594</v>
      </c>
      <c r="M2029" t="s">
        <v>1595</v>
      </c>
      <c r="V2029" t="s">
        <v>91</v>
      </c>
      <c r="W2029" t="s">
        <v>220</v>
      </c>
      <c r="X2029" t="s">
        <v>93</v>
      </c>
      <c r="Y2029">
        <v>12</v>
      </c>
      <c r="Z2029" t="s">
        <v>137</v>
      </c>
      <c r="AB2029">
        <v>3.2</v>
      </c>
      <c r="AG2029" t="s">
        <v>95</v>
      </c>
      <c r="AX2029" t="s">
        <v>108</v>
      </c>
      <c r="AY2029" t="s">
        <v>150</v>
      </c>
      <c r="AZ2029" t="s">
        <v>586</v>
      </c>
      <c r="BC2029">
        <v>5</v>
      </c>
      <c r="BH2029" t="s">
        <v>99</v>
      </c>
      <c r="BO2029" t="s">
        <v>111</v>
      </c>
      <c r="CD2029" t="s">
        <v>1550</v>
      </c>
      <c r="CE2029">
        <v>174258</v>
      </c>
      <c r="CF2029" t="s">
        <v>1551</v>
      </c>
      <c r="CG2029" t="s">
        <v>1552</v>
      </c>
      <c r="CH2029">
        <v>1986</v>
      </c>
    </row>
    <row r="2030" spans="1:86" hidden="1" x14ac:dyDescent="0.25">
      <c r="A2030">
        <v>330541</v>
      </c>
      <c r="B2030" t="s">
        <v>86</v>
      </c>
      <c r="D2030" t="s">
        <v>115</v>
      </c>
      <c r="K2030" t="s">
        <v>1597</v>
      </c>
      <c r="L2030" t="s">
        <v>1598</v>
      </c>
      <c r="M2030" t="s">
        <v>1595</v>
      </c>
      <c r="N2030" t="s">
        <v>910</v>
      </c>
      <c r="V2030" t="s">
        <v>91</v>
      </c>
      <c r="W2030" t="s">
        <v>107</v>
      </c>
      <c r="X2030" t="s">
        <v>93</v>
      </c>
      <c r="Y2030">
        <v>9</v>
      </c>
      <c r="Z2030" t="s">
        <v>137</v>
      </c>
      <c r="AB2030">
        <v>0.25</v>
      </c>
      <c r="AG2030" t="s">
        <v>95</v>
      </c>
      <c r="AX2030" t="s">
        <v>912</v>
      </c>
      <c r="AY2030" t="s">
        <v>1316</v>
      </c>
      <c r="AZ2030" t="s">
        <v>609</v>
      </c>
      <c r="BC2030">
        <v>2</v>
      </c>
      <c r="BH2030" t="s">
        <v>99</v>
      </c>
      <c r="BO2030" t="s">
        <v>111</v>
      </c>
      <c r="CD2030" t="s">
        <v>1599</v>
      </c>
      <c r="CE2030">
        <v>95717</v>
      </c>
      <c r="CF2030" t="s">
        <v>1602</v>
      </c>
      <c r="CG2030" t="s">
        <v>1603</v>
      </c>
      <c r="CH2030">
        <v>2006</v>
      </c>
    </row>
    <row r="2031" spans="1:86" hidden="1" x14ac:dyDescent="0.25">
      <c r="A2031">
        <v>330541</v>
      </c>
      <c r="B2031" t="s">
        <v>86</v>
      </c>
      <c r="D2031" t="s">
        <v>115</v>
      </c>
      <c r="K2031" t="s">
        <v>1597</v>
      </c>
      <c r="L2031" t="s">
        <v>1598</v>
      </c>
      <c r="M2031" t="s">
        <v>1595</v>
      </c>
      <c r="N2031" t="s">
        <v>1308</v>
      </c>
      <c r="V2031" t="s">
        <v>91</v>
      </c>
      <c r="W2031" t="s">
        <v>107</v>
      </c>
      <c r="X2031" t="s">
        <v>93</v>
      </c>
      <c r="Y2031">
        <v>8</v>
      </c>
      <c r="Z2031" t="s">
        <v>137</v>
      </c>
      <c r="AB2031">
        <v>0.5</v>
      </c>
      <c r="AG2031" t="s">
        <v>95</v>
      </c>
      <c r="AX2031" t="s">
        <v>602</v>
      </c>
      <c r="AY2031" t="s">
        <v>1587</v>
      </c>
      <c r="AZ2031" t="s">
        <v>609</v>
      </c>
      <c r="BC2031">
        <v>2</v>
      </c>
      <c r="BH2031" t="s">
        <v>99</v>
      </c>
      <c r="BO2031" t="s">
        <v>111</v>
      </c>
      <c r="CD2031" t="s">
        <v>1599</v>
      </c>
      <c r="CE2031">
        <v>95717</v>
      </c>
      <c r="CF2031" t="s">
        <v>1602</v>
      </c>
      <c r="CG2031" t="s">
        <v>1603</v>
      </c>
      <c r="CH2031">
        <v>2006</v>
      </c>
    </row>
    <row r="2032" spans="1:86" hidden="1" x14ac:dyDescent="0.25">
      <c r="A2032">
        <v>330541</v>
      </c>
      <c r="B2032" t="s">
        <v>86</v>
      </c>
      <c r="D2032" t="s">
        <v>115</v>
      </c>
      <c r="K2032" t="s">
        <v>1593</v>
      </c>
      <c r="L2032" t="s">
        <v>1594</v>
      </c>
      <c r="M2032" t="s">
        <v>1595</v>
      </c>
      <c r="V2032" t="s">
        <v>91</v>
      </c>
      <c r="W2032" t="s">
        <v>220</v>
      </c>
      <c r="X2032" t="s">
        <v>93</v>
      </c>
      <c r="Y2032">
        <v>12</v>
      </c>
      <c r="Z2032" t="s">
        <v>137</v>
      </c>
      <c r="AB2032"/>
      <c r="AD2032">
        <v>3.0000000000000001E-3</v>
      </c>
      <c r="AF2032">
        <v>32</v>
      </c>
      <c r="AG2032" t="s">
        <v>95</v>
      </c>
      <c r="AX2032" t="s">
        <v>108</v>
      </c>
      <c r="AY2032" t="s">
        <v>150</v>
      </c>
      <c r="BC2032">
        <v>2</v>
      </c>
      <c r="BH2032" t="s">
        <v>99</v>
      </c>
      <c r="BO2032" t="s">
        <v>111</v>
      </c>
      <c r="CD2032" t="s">
        <v>1550</v>
      </c>
      <c r="CE2032">
        <v>174258</v>
      </c>
      <c r="CF2032" t="s">
        <v>1551</v>
      </c>
      <c r="CG2032" t="s">
        <v>1552</v>
      </c>
      <c r="CH2032">
        <v>1986</v>
      </c>
    </row>
    <row r="2033" spans="1:86" hidden="1" x14ac:dyDescent="0.25">
      <c r="A2033">
        <v>330541</v>
      </c>
      <c r="B2033" t="s">
        <v>86</v>
      </c>
      <c r="D2033" t="s">
        <v>115</v>
      </c>
      <c r="K2033" t="s">
        <v>1593</v>
      </c>
      <c r="L2033" t="s">
        <v>1594</v>
      </c>
      <c r="M2033" t="s">
        <v>1595</v>
      </c>
      <c r="V2033" t="s">
        <v>91</v>
      </c>
      <c r="W2033" t="s">
        <v>220</v>
      </c>
      <c r="X2033" t="s">
        <v>93</v>
      </c>
      <c r="Y2033">
        <v>12</v>
      </c>
      <c r="Z2033" t="s">
        <v>137</v>
      </c>
      <c r="AB2033"/>
      <c r="AD2033">
        <v>3.0000000000000001E-3</v>
      </c>
      <c r="AF2033">
        <v>32</v>
      </c>
      <c r="AG2033" t="s">
        <v>95</v>
      </c>
      <c r="AX2033" t="s">
        <v>108</v>
      </c>
      <c r="AY2033" t="s">
        <v>150</v>
      </c>
      <c r="BC2033">
        <v>3</v>
      </c>
      <c r="BH2033" t="s">
        <v>99</v>
      </c>
      <c r="BO2033" t="s">
        <v>111</v>
      </c>
      <c r="CD2033" t="s">
        <v>1550</v>
      </c>
      <c r="CE2033">
        <v>174258</v>
      </c>
      <c r="CF2033" t="s">
        <v>1551</v>
      </c>
      <c r="CG2033" t="s">
        <v>1552</v>
      </c>
      <c r="CH2033">
        <v>1986</v>
      </c>
    </row>
    <row r="2034" spans="1:86" hidden="1" x14ac:dyDescent="0.25">
      <c r="A2034">
        <v>330541</v>
      </c>
      <c r="B2034" t="s">
        <v>86</v>
      </c>
      <c r="K2034" t="s">
        <v>1611</v>
      </c>
      <c r="L2034" t="s">
        <v>1611</v>
      </c>
      <c r="M2034" t="s">
        <v>1612</v>
      </c>
      <c r="V2034" t="s">
        <v>91</v>
      </c>
      <c r="W2034" t="s">
        <v>92</v>
      </c>
      <c r="X2034" t="s">
        <v>93</v>
      </c>
      <c r="Z2034" t="s">
        <v>94</v>
      </c>
      <c r="AA2034" t="s">
        <v>106</v>
      </c>
      <c r="AB2034">
        <v>33</v>
      </c>
      <c r="AG2034" t="s">
        <v>95</v>
      </c>
      <c r="AX2034" t="s">
        <v>201</v>
      </c>
      <c r="AY2034" t="s">
        <v>646</v>
      </c>
      <c r="AZ2034" t="s">
        <v>214</v>
      </c>
      <c r="BC2034">
        <v>0.125</v>
      </c>
      <c r="BH2034" t="s">
        <v>99</v>
      </c>
      <c r="BO2034" t="s">
        <v>111</v>
      </c>
      <c r="CD2034" t="s">
        <v>1613</v>
      </c>
      <c r="CE2034">
        <v>13724</v>
      </c>
      <c r="CF2034" t="s">
        <v>1614</v>
      </c>
      <c r="CG2034" t="s">
        <v>1615</v>
      </c>
      <c r="CH2034">
        <v>1995</v>
      </c>
    </row>
    <row r="2035" spans="1:86" hidden="1" x14ac:dyDescent="0.25">
      <c r="A2035">
        <v>330541</v>
      </c>
      <c r="B2035" t="s">
        <v>86</v>
      </c>
      <c r="K2035" t="s">
        <v>1611</v>
      </c>
      <c r="L2035" t="s">
        <v>1611</v>
      </c>
      <c r="M2035" t="s">
        <v>1612</v>
      </c>
      <c r="V2035" t="s">
        <v>91</v>
      </c>
      <c r="W2035" t="s">
        <v>92</v>
      </c>
      <c r="X2035" t="s">
        <v>93</v>
      </c>
      <c r="Z2035" t="s">
        <v>94</v>
      </c>
      <c r="AB2035">
        <v>7.9000000000000008E-3</v>
      </c>
      <c r="AG2035" t="s">
        <v>95</v>
      </c>
      <c r="AX2035" t="s">
        <v>201</v>
      </c>
      <c r="AY2035" t="s">
        <v>646</v>
      </c>
      <c r="AZ2035" t="s">
        <v>214</v>
      </c>
      <c r="BC2035">
        <v>0.125</v>
      </c>
      <c r="BH2035" t="s">
        <v>99</v>
      </c>
      <c r="BO2035" t="s">
        <v>111</v>
      </c>
      <c r="CD2035" t="s">
        <v>1613</v>
      </c>
      <c r="CE2035">
        <v>13724</v>
      </c>
      <c r="CF2035" t="s">
        <v>1614</v>
      </c>
      <c r="CG2035" t="s">
        <v>1615</v>
      </c>
      <c r="CH2035">
        <v>1995</v>
      </c>
    </row>
    <row r="2036" spans="1:86" hidden="1" x14ac:dyDescent="0.25">
      <c r="A2036">
        <v>330541</v>
      </c>
      <c r="B2036" t="s">
        <v>86</v>
      </c>
      <c r="D2036" t="s">
        <v>115</v>
      </c>
      <c r="F2036">
        <v>98.6</v>
      </c>
      <c r="K2036" t="s">
        <v>1616</v>
      </c>
      <c r="L2036" t="s">
        <v>1616</v>
      </c>
      <c r="M2036" t="s">
        <v>1612</v>
      </c>
      <c r="V2036" t="s">
        <v>91</v>
      </c>
      <c r="W2036" t="s">
        <v>92</v>
      </c>
      <c r="X2036" t="s">
        <v>93</v>
      </c>
      <c r="Z2036" t="s">
        <v>94</v>
      </c>
      <c r="AB2036">
        <v>2.2050000000000001</v>
      </c>
      <c r="AD2036">
        <v>1.63</v>
      </c>
      <c r="AF2036">
        <v>3.0750000000000002</v>
      </c>
      <c r="AG2036" t="s">
        <v>95</v>
      </c>
      <c r="AX2036" t="s">
        <v>692</v>
      </c>
      <c r="AY2036" t="s">
        <v>751</v>
      </c>
      <c r="AZ2036" t="s">
        <v>214</v>
      </c>
      <c r="BC2036">
        <v>4</v>
      </c>
      <c r="BH2036" t="s">
        <v>99</v>
      </c>
      <c r="BO2036" t="s">
        <v>111</v>
      </c>
      <c r="CD2036" t="s">
        <v>1617</v>
      </c>
      <c r="CE2036">
        <v>12661</v>
      </c>
      <c r="CF2036" t="s">
        <v>1618</v>
      </c>
      <c r="CG2036" t="s">
        <v>1619</v>
      </c>
      <c r="CH2036">
        <v>1987</v>
      </c>
    </row>
    <row r="2037" spans="1:86" hidden="1" x14ac:dyDescent="0.25">
      <c r="A2037">
        <v>330541</v>
      </c>
      <c r="B2037" t="s">
        <v>86</v>
      </c>
      <c r="D2037" t="s">
        <v>115</v>
      </c>
      <c r="F2037">
        <v>99.5</v>
      </c>
      <c r="K2037" t="s">
        <v>1616</v>
      </c>
      <c r="L2037" t="s">
        <v>1616</v>
      </c>
      <c r="M2037" t="s">
        <v>1612</v>
      </c>
      <c r="V2037" t="s">
        <v>168</v>
      </c>
      <c r="W2037" t="s">
        <v>92</v>
      </c>
      <c r="X2037" t="s">
        <v>93</v>
      </c>
      <c r="Y2037">
        <v>7</v>
      </c>
      <c r="Z2037" t="s">
        <v>94</v>
      </c>
      <c r="AB2037"/>
      <c r="AC2037" t="s">
        <v>106</v>
      </c>
      <c r="AD2037">
        <v>0</v>
      </c>
      <c r="AE2037" t="s">
        <v>234</v>
      </c>
      <c r="AF2037">
        <v>6.9929160000000001</v>
      </c>
      <c r="AG2037" t="s">
        <v>95</v>
      </c>
      <c r="AX2037" t="s">
        <v>144</v>
      </c>
      <c r="AY2037" t="s">
        <v>438</v>
      </c>
      <c r="AZ2037" t="s">
        <v>214</v>
      </c>
      <c r="BC2037">
        <v>0.125</v>
      </c>
      <c r="BH2037" t="s">
        <v>99</v>
      </c>
      <c r="BO2037" t="s">
        <v>111</v>
      </c>
      <c r="CD2037" t="s">
        <v>1620</v>
      </c>
      <c r="CE2037">
        <v>158996</v>
      </c>
      <c r="CF2037" t="s">
        <v>1621</v>
      </c>
      <c r="CG2037" t="s">
        <v>1622</v>
      </c>
      <c r="CH2037">
        <v>2010</v>
      </c>
    </row>
    <row r="2038" spans="1:86" hidden="1" x14ac:dyDescent="0.25">
      <c r="A2038">
        <v>330541</v>
      </c>
      <c r="B2038" t="s">
        <v>86</v>
      </c>
      <c r="K2038" t="s">
        <v>1611</v>
      </c>
      <c r="L2038" t="s">
        <v>1611</v>
      </c>
      <c r="M2038" t="s">
        <v>1612</v>
      </c>
      <c r="V2038" t="s">
        <v>91</v>
      </c>
      <c r="W2038" t="s">
        <v>92</v>
      </c>
      <c r="X2038" t="s">
        <v>93</v>
      </c>
      <c r="Z2038" t="s">
        <v>94</v>
      </c>
      <c r="AB2038">
        <v>25</v>
      </c>
      <c r="AG2038" t="s">
        <v>95</v>
      </c>
      <c r="AX2038" t="s">
        <v>201</v>
      </c>
      <c r="AY2038" t="s">
        <v>646</v>
      </c>
      <c r="AZ2038" t="s">
        <v>214</v>
      </c>
      <c r="BC2038">
        <v>0.125</v>
      </c>
      <c r="BH2038" t="s">
        <v>99</v>
      </c>
      <c r="BO2038" t="s">
        <v>111</v>
      </c>
      <c r="CD2038" t="s">
        <v>1613</v>
      </c>
      <c r="CE2038">
        <v>13724</v>
      </c>
      <c r="CF2038" t="s">
        <v>1614</v>
      </c>
      <c r="CG2038" t="s">
        <v>1615</v>
      </c>
      <c r="CH2038">
        <v>1995</v>
      </c>
    </row>
    <row r="2039" spans="1:86" hidden="1" x14ac:dyDescent="0.25">
      <c r="A2039">
        <v>330541</v>
      </c>
      <c r="B2039" t="s">
        <v>86</v>
      </c>
      <c r="D2039" t="s">
        <v>115</v>
      </c>
      <c r="K2039" t="s">
        <v>1616</v>
      </c>
      <c r="L2039" t="s">
        <v>1616</v>
      </c>
      <c r="M2039" t="s">
        <v>1612</v>
      </c>
      <c r="V2039" t="s">
        <v>91</v>
      </c>
      <c r="W2039" t="s">
        <v>92</v>
      </c>
      <c r="X2039" t="s">
        <v>93</v>
      </c>
      <c r="Z2039" t="s">
        <v>137</v>
      </c>
      <c r="AB2039">
        <v>27.971664000000001</v>
      </c>
      <c r="AG2039" t="s">
        <v>95</v>
      </c>
      <c r="AX2039" t="s">
        <v>692</v>
      </c>
      <c r="AY2039" t="s">
        <v>1623</v>
      </c>
      <c r="AZ2039" t="s">
        <v>486</v>
      </c>
      <c r="BC2039">
        <v>4</v>
      </c>
      <c r="BH2039" t="s">
        <v>99</v>
      </c>
      <c r="BO2039" t="s">
        <v>111</v>
      </c>
      <c r="CD2039" t="s">
        <v>1624</v>
      </c>
      <c r="CE2039">
        <v>12804</v>
      </c>
      <c r="CF2039" t="s">
        <v>1625</v>
      </c>
      <c r="CG2039" t="s">
        <v>1626</v>
      </c>
      <c r="CH2039">
        <v>1988</v>
      </c>
    </row>
    <row r="2040" spans="1:86" hidden="1" x14ac:dyDescent="0.25">
      <c r="A2040">
        <v>330541</v>
      </c>
      <c r="B2040" t="s">
        <v>86</v>
      </c>
      <c r="D2040" t="s">
        <v>87</v>
      </c>
      <c r="F2040">
        <v>99.5</v>
      </c>
      <c r="K2040" t="s">
        <v>1616</v>
      </c>
      <c r="L2040" t="s">
        <v>1616</v>
      </c>
      <c r="M2040" t="s">
        <v>1612</v>
      </c>
      <c r="V2040" t="s">
        <v>507</v>
      </c>
      <c r="W2040" t="s">
        <v>92</v>
      </c>
      <c r="X2040" t="s">
        <v>93</v>
      </c>
      <c r="Y2040">
        <v>2</v>
      </c>
      <c r="Z2040" t="s">
        <v>94</v>
      </c>
      <c r="AB2040">
        <v>1.1089999999999999E-2</v>
      </c>
      <c r="AG2040" t="s">
        <v>95</v>
      </c>
      <c r="AX2040" t="s">
        <v>144</v>
      </c>
      <c r="AY2040" t="s">
        <v>438</v>
      </c>
      <c r="AZ2040" t="s">
        <v>486</v>
      </c>
      <c r="BC2040">
        <v>21</v>
      </c>
      <c r="BH2040" t="s">
        <v>99</v>
      </c>
      <c r="BO2040" t="s">
        <v>111</v>
      </c>
      <c r="CD2040" t="s">
        <v>1620</v>
      </c>
      <c r="CE2040">
        <v>158996</v>
      </c>
      <c r="CF2040" t="s">
        <v>1621</v>
      </c>
      <c r="CG2040" t="s">
        <v>1622</v>
      </c>
      <c r="CH2040">
        <v>2010</v>
      </c>
    </row>
    <row r="2041" spans="1:86" hidden="1" x14ac:dyDescent="0.25">
      <c r="A2041">
        <v>330541</v>
      </c>
      <c r="B2041" t="s">
        <v>86</v>
      </c>
      <c r="D2041" t="s">
        <v>87</v>
      </c>
      <c r="F2041">
        <v>99.5</v>
      </c>
      <c r="K2041" t="s">
        <v>1616</v>
      </c>
      <c r="L2041" t="s">
        <v>1616</v>
      </c>
      <c r="M2041" t="s">
        <v>1612</v>
      </c>
      <c r="V2041" t="s">
        <v>507</v>
      </c>
      <c r="W2041" t="s">
        <v>92</v>
      </c>
      <c r="X2041" t="s">
        <v>93</v>
      </c>
      <c r="Y2041">
        <v>2</v>
      </c>
      <c r="Z2041" t="s">
        <v>94</v>
      </c>
      <c r="AB2041">
        <v>1.1089999999999999E-2</v>
      </c>
      <c r="AG2041" t="s">
        <v>95</v>
      </c>
      <c r="AX2041" t="s">
        <v>201</v>
      </c>
      <c r="AY2041" t="s">
        <v>120</v>
      </c>
      <c r="AZ2041" t="s">
        <v>486</v>
      </c>
      <c r="BC2041">
        <v>21</v>
      </c>
      <c r="BH2041" t="s">
        <v>99</v>
      </c>
      <c r="BO2041" t="s">
        <v>111</v>
      </c>
      <c r="CD2041" t="s">
        <v>1620</v>
      </c>
      <c r="CE2041">
        <v>158996</v>
      </c>
      <c r="CF2041" t="s">
        <v>1621</v>
      </c>
      <c r="CG2041" t="s">
        <v>1622</v>
      </c>
      <c r="CH2041">
        <v>2010</v>
      </c>
    </row>
    <row r="2042" spans="1:86" hidden="1" x14ac:dyDescent="0.25">
      <c r="A2042">
        <v>330541</v>
      </c>
      <c r="B2042" t="s">
        <v>86</v>
      </c>
      <c r="D2042" t="s">
        <v>115</v>
      </c>
      <c r="K2042" t="s">
        <v>1616</v>
      </c>
      <c r="L2042" t="s">
        <v>1616</v>
      </c>
      <c r="M2042" t="s">
        <v>1612</v>
      </c>
      <c r="V2042" t="s">
        <v>491</v>
      </c>
      <c r="W2042" t="s">
        <v>92</v>
      </c>
      <c r="X2042" t="s">
        <v>559</v>
      </c>
      <c r="Y2042">
        <v>4</v>
      </c>
      <c r="Z2042" t="s">
        <v>94</v>
      </c>
      <c r="AB2042">
        <v>1.4E-2</v>
      </c>
      <c r="AG2042" t="s">
        <v>567</v>
      </c>
      <c r="AX2042" t="s">
        <v>201</v>
      </c>
      <c r="AY2042" t="s">
        <v>311</v>
      </c>
      <c r="AZ2042" t="s">
        <v>555</v>
      </c>
      <c r="BC2042">
        <v>14</v>
      </c>
      <c r="BH2042" t="s">
        <v>99</v>
      </c>
      <c r="BO2042" t="s">
        <v>111</v>
      </c>
      <c r="CD2042" t="s">
        <v>568</v>
      </c>
      <c r="CE2042">
        <v>102117</v>
      </c>
      <c r="CF2042" t="s">
        <v>569</v>
      </c>
      <c r="CG2042" t="s">
        <v>570</v>
      </c>
      <c r="CH2042">
        <v>2004</v>
      </c>
    </row>
    <row r="2043" spans="1:86" hidden="1" x14ac:dyDescent="0.25">
      <c r="A2043">
        <v>330541</v>
      </c>
      <c r="B2043" t="s">
        <v>86</v>
      </c>
      <c r="D2043" t="s">
        <v>87</v>
      </c>
      <c r="K2043" t="s">
        <v>1611</v>
      </c>
      <c r="L2043" t="s">
        <v>1611</v>
      </c>
      <c r="M2043" t="s">
        <v>1612</v>
      </c>
      <c r="V2043" t="s">
        <v>491</v>
      </c>
      <c r="W2043" t="s">
        <v>92</v>
      </c>
      <c r="X2043" t="s">
        <v>559</v>
      </c>
      <c r="Y2043">
        <v>3</v>
      </c>
      <c r="Z2043" t="s">
        <v>94</v>
      </c>
      <c r="AB2043"/>
      <c r="AD2043">
        <v>1.082E-2</v>
      </c>
      <c r="AF2043">
        <v>1.136E-2</v>
      </c>
      <c r="AG2043" t="s">
        <v>95</v>
      </c>
      <c r="AX2043" t="s">
        <v>108</v>
      </c>
      <c r="AY2043" t="s">
        <v>524</v>
      </c>
      <c r="AZ2043" t="s">
        <v>586</v>
      </c>
      <c r="BC2043">
        <v>1</v>
      </c>
      <c r="BH2043" t="s">
        <v>99</v>
      </c>
      <c r="BO2043" t="s">
        <v>111</v>
      </c>
      <c r="CD2043" t="s">
        <v>728</v>
      </c>
      <c r="CE2043">
        <v>172395</v>
      </c>
      <c r="CF2043" t="s">
        <v>729</v>
      </c>
      <c r="CG2043" t="s">
        <v>730</v>
      </c>
      <c r="CH2043">
        <v>2011</v>
      </c>
    </row>
    <row r="2044" spans="1:86" hidden="1" x14ac:dyDescent="0.25">
      <c r="A2044">
        <v>330541</v>
      </c>
      <c r="B2044" t="s">
        <v>86</v>
      </c>
      <c r="D2044" t="s">
        <v>87</v>
      </c>
      <c r="K2044" t="s">
        <v>1611</v>
      </c>
      <c r="L2044" t="s">
        <v>1611</v>
      </c>
      <c r="M2044" t="s">
        <v>1612</v>
      </c>
      <c r="V2044" t="s">
        <v>491</v>
      </c>
      <c r="W2044" t="s">
        <v>92</v>
      </c>
      <c r="X2044" t="s">
        <v>559</v>
      </c>
      <c r="Y2044">
        <v>3</v>
      </c>
      <c r="Z2044" t="s">
        <v>94</v>
      </c>
      <c r="AB2044"/>
      <c r="AD2044">
        <v>1.082E-2</v>
      </c>
      <c r="AF2044">
        <v>1.136E-2</v>
      </c>
      <c r="AG2044" t="s">
        <v>95</v>
      </c>
      <c r="AX2044" t="s">
        <v>108</v>
      </c>
      <c r="AY2044" t="s">
        <v>524</v>
      </c>
      <c r="AZ2044" t="s">
        <v>586</v>
      </c>
      <c r="BC2044">
        <v>3</v>
      </c>
      <c r="BH2044" t="s">
        <v>99</v>
      </c>
      <c r="BO2044" t="s">
        <v>111</v>
      </c>
      <c r="CD2044" t="s">
        <v>728</v>
      </c>
      <c r="CE2044">
        <v>172395</v>
      </c>
      <c r="CF2044" t="s">
        <v>729</v>
      </c>
      <c r="CG2044" t="s">
        <v>730</v>
      </c>
      <c r="CH2044">
        <v>2011</v>
      </c>
    </row>
    <row r="2045" spans="1:86" hidden="1" x14ac:dyDescent="0.25">
      <c r="A2045">
        <v>330541</v>
      </c>
      <c r="B2045" t="s">
        <v>86</v>
      </c>
      <c r="D2045" t="s">
        <v>87</v>
      </c>
      <c r="F2045">
        <v>99.5</v>
      </c>
      <c r="K2045" t="s">
        <v>1616</v>
      </c>
      <c r="L2045" t="s">
        <v>1616</v>
      </c>
      <c r="M2045" t="s">
        <v>1612</v>
      </c>
      <c r="V2045" t="s">
        <v>507</v>
      </c>
      <c r="W2045" t="s">
        <v>92</v>
      </c>
      <c r="X2045" t="s">
        <v>93</v>
      </c>
      <c r="Y2045">
        <v>2</v>
      </c>
      <c r="Z2045" t="s">
        <v>94</v>
      </c>
      <c r="AB2045">
        <v>1.1089999999999999E-2</v>
      </c>
      <c r="AG2045" t="s">
        <v>95</v>
      </c>
      <c r="AX2045" t="s">
        <v>108</v>
      </c>
      <c r="AY2045" t="s">
        <v>174</v>
      </c>
      <c r="AZ2045" t="s">
        <v>586</v>
      </c>
      <c r="BC2045">
        <v>21</v>
      </c>
      <c r="BH2045" t="s">
        <v>99</v>
      </c>
      <c r="BO2045" t="s">
        <v>111</v>
      </c>
      <c r="CD2045" t="s">
        <v>1620</v>
      </c>
      <c r="CE2045">
        <v>158996</v>
      </c>
      <c r="CF2045" t="s">
        <v>1621</v>
      </c>
      <c r="CG2045" t="s">
        <v>1622</v>
      </c>
      <c r="CH2045">
        <v>2010</v>
      </c>
    </row>
    <row r="2046" spans="1:86" hidden="1" x14ac:dyDescent="0.25">
      <c r="A2046">
        <v>330541</v>
      </c>
      <c r="B2046" t="s">
        <v>86</v>
      </c>
      <c r="D2046" t="s">
        <v>87</v>
      </c>
      <c r="K2046" t="s">
        <v>1611</v>
      </c>
      <c r="L2046" t="s">
        <v>1611</v>
      </c>
      <c r="M2046" t="s">
        <v>1612</v>
      </c>
      <c r="V2046" t="s">
        <v>491</v>
      </c>
      <c r="W2046" t="s">
        <v>92</v>
      </c>
      <c r="X2046" t="s">
        <v>559</v>
      </c>
      <c r="Y2046">
        <v>3</v>
      </c>
      <c r="Z2046" t="s">
        <v>94</v>
      </c>
      <c r="AB2046"/>
      <c r="AD2046">
        <v>1.082E-2</v>
      </c>
      <c r="AF2046">
        <v>1.136E-2</v>
      </c>
      <c r="AG2046" t="s">
        <v>95</v>
      </c>
      <c r="AX2046" t="s">
        <v>108</v>
      </c>
      <c r="AY2046" t="s">
        <v>524</v>
      </c>
      <c r="AZ2046" t="s">
        <v>586</v>
      </c>
      <c r="BC2046">
        <v>5</v>
      </c>
      <c r="BH2046" t="s">
        <v>99</v>
      </c>
      <c r="BO2046" t="s">
        <v>111</v>
      </c>
      <c r="CD2046" t="s">
        <v>728</v>
      </c>
      <c r="CE2046">
        <v>172395</v>
      </c>
      <c r="CF2046" t="s">
        <v>729</v>
      </c>
      <c r="CG2046" t="s">
        <v>730</v>
      </c>
      <c r="CH2046">
        <v>2011</v>
      </c>
    </row>
    <row r="2047" spans="1:86" hidden="1" x14ac:dyDescent="0.25">
      <c r="A2047">
        <v>330541</v>
      </c>
      <c r="B2047" t="s">
        <v>86</v>
      </c>
      <c r="D2047" t="s">
        <v>87</v>
      </c>
      <c r="K2047" t="s">
        <v>1611</v>
      </c>
      <c r="L2047" t="s">
        <v>1611</v>
      </c>
      <c r="M2047" t="s">
        <v>1612</v>
      </c>
      <c r="V2047" t="s">
        <v>491</v>
      </c>
      <c r="W2047" t="s">
        <v>92</v>
      </c>
      <c r="X2047" t="s">
        <v>559</v>
      </c>
      <c r="Y2047">
        <v>3</v>
      </c>
      <c r="Z2047" t="s">
        <v>94</v>
      </c>
      <c r="AB2047"/>
      <c r="AD2047">
        <v>1.082E-2</v>
      </c>
      <c r="AF2047">
        <v>1.136E-2</v>
      </c>
      <c r="AG2047" t="s">
        <v>95</v>
      </c>
      <c r="AX2047" t="s">
        <v>108</v>
      </c>
      <c r="AY2047" t="s">
        <v>150</v>
      </c>
      <c r="AZ2047" t="s">
        <v>586</v>
      </c>
      <c r="BC2047">
        <v>5</v>
      </c>
      <c r="BH2047" t="s">
        <v>99</v>
      </c>
      <c r="BO2047" t="s">
        <v>111</v>
      </c>
      <c r="CD2047" t="s">
        <v>728</v>
      </c>
      <c r="CE2047">
        <v>172395</v>
      </c>
      <c r="CF2047" t="s">
        <v>729</v>
      </c>
      <c r="CG2047" t="s">
        <v>730</v>
      </c>
      <c r="CH2047">
        <v>2011</v>
      </c>
    </row>
    <row r="2048" spans="1:86" hidden="1" x14ac:dyDescent="0.25">
      <c r="A2048">
        <v>330541</v>
      </c>
      <c r="B2048" t="s">
        <v>86</v>
      </c>
      <c r="D2048" t="s">
        <v>87</v>
      </c>
      <c r="F2048">
        <v>99.5</v>
      </c>
      <c r="K2048" t="s">
        <v>1616</v>
      </c>
      <c r="L2048" t="s">
        <v>1616</v>
      </c>
      <c r="M2048" t="s">
        <v>1612</v>
      </c>
      <c r="V2048" t="s">
        <v>507</v>
      </c>
      <c r="W2048" t="s">
        <v>92</v>
      </c>
      <c r="X2048" t="s">
        <v>93</v>
      </c>
      <c r="Y2048">
        <v>2</v>
      </c>
      <c r="Z2048" t="s">
        <v>94</v>
      </c>
      <c r="AB2048">
        <v>1.1089999999999999E-2</v>
      </c>
      <c r="AG2048" t="s">
        <v>95</v>
      </c>
      <c r="AX2048" t="s">
        <v>96</v>
      </c>
      <c r="AY2048" t="s">
        <v>97</v>
      </c>
      <c r="BC2048">
        <v>21</v>
      </c>
      <c r="BH2048" t="s">
        <v>99</v>
      </c>
      <c r="BO2048" t="s">
        <v>111</v>
      </c>
      <c r="CD2048" t="s">
        <v>1620</v>
      </c>
      <c r="CE2048">
        <v>158996</v>
      </c>
      <c r="CF2048" t="s">
        <v>1621</v>
      </c>
      <c r="CG2048" t="s">
        <v>1622</v>
      </c>
      <c r="CH2048">
        <v>2010</v>
      </c>
    </row>
    <row r="2049" spans="1:86" hidden="1" x14ac:dyDescent="0.25">
      <c r="A2049">
        <v>330541</v>
      </c>
      <c r="B2049" t="s">
        <v>86</v>
      </c>
      <c r="D2049" t="s">
        <v>87</v>
      </c>
      <c r="F2049">
        <v>99.5</v>
      </c>
      <c r="K2049" t="s">
        <v>1616</v>
      </c>
      <c r="L2049" t="s">
        <v>1616</v>
      </c>
      <c r="M2049" t="s">
        <v>1612</v>
      </c>
      <c r="V2049" t="s">
        <v>507</v>
      </c>
      <c r="W2049" t="s">
        <v>92</v>
      </c>
      <c r="X2049" t="s">
        <v>93</v>
      </c>
      <c r="Y2049">
        <v>2</v>
      </c>
      <c r="Z2049" t="s">
        <v>94</v>
      </c>
      <c r="AB2049">
        <v>1.1089999999999999E-2</v>
      </c>
      <c r="AG2049" t="s">
        <v>95</v>
      </c>
      <c r="AX2049" t="s">
        <v>108</v>
      </c>
      <c r="AY2049" t="s">
        <v>524</v>
      </c>
      <c r="BC2049">
        <v>21</v>
      </c>
      <c r="BH2049" t="s">
        <v>99</v>
      </c>
      <c r="BO2049" t="s">
        <v>111</v>
      </c>
      <c r="CD2049" t="s">
        <v>1620</v>
      </c>
      <c r="CE2049">
        <v>158996</v>
      </c>
      <c r="CF2049" t="s">
        <v>1621</v>
      </c>
      <c r="CG2049" t="s">
        <v>1622</v>
      </c>
      <c r="CH2049">
        <v>2010</v>
      </c>
    </row>
    <row r="2050" spans="1:86" hidden="1" x14ac:dyDescent="0.25">
      <c r="A2050">
        <v>330541</v>
      </c>
      <c r="B2050" t="s">
        <v>86</v>
      </c>
      <c r="D2050" t="s">
        <v>87</v>
      </c>
      <c r="K2050" t="s">
        <v>1627</v>
      </c>
      <c r="L2050" t="s">
        <v>1628</v>
      </c>
      <c r="M2050" t="s">
        <v>1629</v>
      </c>
      <c r="V2050" t="s">
        <v>91</v>
      </c>
      <c r="W2050" t="s">
        <v>92</v>
      </c>
      <c r="X2050" t="s">
        <v>93</v>
      </c>
      <c r="Z2050" t="s">
        <v>94</v>
      </c>
      <c r="AB2050">
        <v>0.159</v>
      </c>
      <c r="AG2050" t="s">
        <v>95</v>
      </c>
      <c r="AX2050" t="s">
        <v>96</v>
      </c>
      <c r="AY2050" t="s">
        <v>97</v>
      </c>
      <c r="AZ2050" t="s">
        <v>98</v>
      </c>
      <c r="BC2050">
        <v>33</v>
      </c>
      <c r="BH2050" t="s">
        <v>99</v>
      </c>
      <c r="BJ2050">
        <v>40</v>
      </c>
      <c r="BO2050" t="s">
        <v>100</v>
      </c>
      <c r="CD2050" t="s">
        <v>101</v>
      </c>
      <c r="CE2050">
        <v>682</v>
      </c>
      <c r="CF2050" t="s">
        <v>102</v>
      </c>
      <c r="CG2050" t="s">
        <v>103</v>
      </c>
      <c r="CH2050">
        <v>1976</v>
      </c>
    </row>
    <row r="2051" spans="1:86" hidden="1" x14ac:dyDescent="0.25">
      <c r="A2051">
        <v>330541</v>
      </c>
      <c r="B2051" t="s">
        <v>86</v>
      </c>
      <c r="D2051" t="s">
        <v>115</v>
      </c>
      <c r="K2051" t="s">
        <v>1630</v>
      </c>
      <c r="L2051" t="s">
        <v>1631</v>
      </c>
      <c r="M2051" t="s">
        <v>1629</v>
      </c>
      <c r="P2051">
        <v>9</v>
      </c>
      <c r="U2051" t="s">
        <v>1632</v>
      </c>
      <c r="W2051" t="s">
        <v>92</v>
      </c>
      <c r="X2051" t="s">
        <v>93</v>
      </c>
      <c r="Z2051" t="s">
        <v>137</v>
      </c>
      <c r="AB2051">
        <v>30.3</v>
      </c>
      <c r="AG2051" t="s">
        <v>95</v>
      </c>
      <c r="AX2051" t="s">
        <v>523</v>
      </c>
      <c r="AY2051" t="s">
        <v>523</v>
      </c>
      <c r="AZ2051" t="s">
        <v>475</v>
      </c>
      <c r="BC2051">
        <v>2</v>
      </c>
      <c r="BH2051" t="s">
        <v>99</v>
      </c>
      <c r="BO2051" t="s">
        <v>111</v>
      </c>
      <c r="CD2051" t="s">
        <v>1633</v>
      </c>
      <c r="CE2051">
        <v>36156</v>
      </c>
      <c r="CF2051" t="s">
        <v>1634</v>
      </c>
      <c r="CG2051" t="s">
        <v>1635</v>
      </c>
      <c r="CH2051">
        <v>1983</v>
      </c>
    </row>
    <row r="2052" spans="1:86" hidden="1" x14ac:dyDescent="0.25">
      <c r="A2052">
        <v>330541</v>
      </c>
      <c r="B2052" t="s">
        <v>86</v>
      </c>
      <c r="D2052" t="s">
        <v>115</v>
      </c>
      <c r="K2052" t="s">
        <v>1630</v>
      </c>
      <c r="L2052" t="s">
        <v>1631</v>
      </c>
      <c r="M2052" t="s">
        <v>1629</v>
      </c>
      <c r="P2052">
        <v>9</v>
      </c>
      <c r="U2052" t="s">
        <v>1632</v>
      </c>
      <c r="W2052" t="s">
        <v>92</v>
      </c>
      <c r="X2052" t="s">
        <v>93</v>
      </c>
      <c r="Z2052" t="s">
        <v>137</v>
      </c>
      <c r="AB2052">
        <v>28.6</v>
      </c>
      <c r="AG2052" t="s">
        <v>95</v>
      </c>
      <c r="AX2052" t="s">
        <v>523</v>
      </c>
      <c r="AY2052" t="s">
        <v>523</v>
      </c>
      <c r="AZ2052" t="s">
        <v>475</v>
      </c>
      <c r="BC2052">
        <v>3</v>
      </c>
      <c r="BH2052" t="s">
        <v>99</v>
      </c>
      <c r="BO2052" t="s">
        <v>111</v>
      </c>
      <c r="CD2052" t="s">
        <v>1633</v>
      </c>
      <c r="CE2052">
        <v>36156</v>
      </c>
      <c r="CF2052" t="s">
        <v>1634</v>
      </c>
      <c r="CG2052" t="s">
        <v>1635</v>
      </c>
      <c r="CH2052">
        <v>1983</v>
      </c>
    </row>
    <row r="2053" spans="1:86" hidden="1" x14ac:dyDescent="0.25">
      <c r="A2053">
        <v>330541</v>
      </c>
      <c r="B2053" t="s">
        <v>86</v>
      </c>
      <c r="D2053" t="s">
        <v>115</v>
      </c>
      <c r="K2053" t="s">
        <v>1630</v>
      </c>
      <c r="L2053" t="s">
        <v>1631</v>
      </c>
      <c r="M2053" t="s">
        <v>1629</v>
      </c>
      <c r="P2053">
        <v>9</v>
      </c>
      <c r="U2053" t="s">
        <v>1632</v>
      </c>
      <c r="W2053" t="s">
        <v>92</v>
      </c>
      <c r="X2053" t="s">
        <v>93</v>
      </c>
      <c r="Z2053" t="s">
        <v>137</v>
      </c>
      <c r="AB2053">
        <v>33.200000000000003</v>
      </c>
      <c r="AG2053" t="s">
        <v>95</v>
      </c>
      <c r="AX2053" t="s">
        <v>523</v>
      </c>
      <c r="AY2053" t="s">
        <v>523</v>
      </c>
      <c r="AZ2053" t="s">
        <v>475</v>
      </c>
      <c r="BC2053">
        <v>1</v>
      </c>
      <c r="BH2053" t="s">
        <v>99</v>
      </c>
      <c r="BO2053" t="s">
        <v>111</v>
      </c>
      <c r="CD2053" t="s">
        <v>1633</v>
      </c>
      <c r="CE2053">
        <v>36156</v>
      </c>
      <c r="CF2053" t="s">
        <v>1634</v>
      </c>
      <c r="CG2053" t="s">
        <v>1635</v>
      </c>
      <c r="CH2053">
        <v>1983</v>
      </c>
    </row>
    <row r="2054" spans="1:86" hidden="1" x14ac:dyDescent="0.25">
      <c r="A2054">
        <v>330541</v>
      </c>
      <c r="B2054" t="s">
        <v>86</v>
      </c>
      <c r="D2054" t="s">
        <v>115</v>
      </c>
      <c r="K2054" t="s">
        <v>1630</v>
      </c>
      <c r="L2054" t="s">
        <v>1631</v>
      </c>
      <c r="M2054" t="s">
        <v>1629</v>
      </c>
      <c r="P2054">
        <v>9</v>
      </c>
      <c r="U2054" t="s">
        <v>1632</v>
      </c>
      <c r="W2054" t="s">
        <v>92</v>
      </c>
      <c r="X2054" t="s">
        <v>93</v>
      </c>
      <c r="Z2054" t="s">
        <v>137</v>
      </c>
      <c r="AB2054">
        <v>15.3</v>
      </c>
      <c r="AG2054" t="s">
        <v>95</v>
      </c>
      <c r="AX2054" t="s">
        <v>523</v>
      </c>
      <c r="AY2054" t="s">
        <v>523</v>
      </c>
      <c r="AZ2054" t="s">
        <v>475</v>
      </c>
      <c r="BC2054">
        <v>4</v>
      </c>
      <c r="BH2054" t="s">
        <v>99</v>
      </c>
      <c r="BO2054" t="s">
        <v>111</v>
      </c>
      <c r="CD2054" t="s">
        <v>1633</v>
      </c>
      <c r="CE2054">
        <v>36156</v>
      </c>
      <c r="CF2054" t="s">
        <v>1634</v>
      </c>
      <c r="CG2054" t="s">
        <v>1635</v>
      </c>
      <c r="CH2054">
        <v>1983</v>
      </c>
    </row>
    <row r="2055" spans="1:86" hidden="1" x14ac:dyDescent="0.25">
      <c r="A2055">
        <v>330541</v>
      </c>
      <c r="B2055" t="s">
        <v>86</v>
      </c>
      <c r="D2055" t="s">
        <v>115</v>
      </c>
      <c r="K2055" t="s">
        <v>1636</v>
      </c>
      <c r="L2055" t="s">
        <v>1637</v>
      </c>
      <c r="M2055" t="s">
        <v>1629</v>
      </c>
      <c r="N2055" t="s">
        <v>910</v>
      </c>
      <c r="V2055" t="s">
        <v>168</v>
      </c>
      <c r="W2055" t="s">
        <v>107</v>
      </c>
      <c r="X2055" t="s">
        <v>93</v>
      </c>
      <c r="Y2055">
        <v>6</v>
      </c>
      <c r="Z2055" t="s">
        <v>94</v>
      </c>
      <c r="AB2055">
        <v>5.0000000000000002E-5</v>
      </c>
      <c r="AG2055" t="s">
        <v>95</v>
      </c>
      <c r="AX2055" t="s">
        <v>912</v>
      </c>
      <c r="AY2055" t="s">
        <v>1316</v>
      </c>
      <c r="AZ2055" t="s">
        <v>486</v>
      </c>
      <c r="BH2055" t="s">
        <v>1638</v>
      </c>
      <c r="BO2055" t="s">
        <v>111</v>
      </c>
      <c r="CD2055" t="s">
        <v>1639</v>
      </c>
      <c r="CE2055">
        <v>161689</v>
      </c>
      <c r="CF2055" t="s">
        <v>1640</v>
      </c>
      <c r="CG2055" t="s">
        <v>1641</v>
      </c>
      <c r="CH2055">
        <v>2012</v>
      </c>
    </row>
    <row r="2056" spans="1:86" hidden="1" x14ac:dyDescent="0.25">
      <c r="A2056">
        <v>330541</v>
      </c>
      <c r="B2056" t="s">
        <v>86</v>
      </c>
      <c r="C2056" t="s">
        <v>183</v>
      </c>
      <c r="D2056" t="s">
        <v>87</v>
      </c>
      <c r="F2056">
        <v>99.8</v>
      </c>
      <c r="K2056" t="s">
        <v>1642</v>
      </c>
      <c r="L2056" t="s">
        <v>1628</v>
      </c>
      <c r="M2056" t="s">
        <v>1629</v>
      </c>
      <c r="P2056">
        <v>15</v>
      </c>
      <c r="U2056" t="s">
        <v>99</v>
      </c>
      <c r="V2056" t="s">
        <v>507</v>
      </c>
      <c r="W2056" t="s">
        <v>92</v>
      </c>
      <c r="X2056" t="s">
        <v>93</v>
      </c>
      <c r="Z2056" t="s">
        <v>94</v>
      </c>
      <c r="AB2056">
        <v>22.8</v>
      </c>
      <c r="AG2056" t="s">
        <v>95</v>
      </c>
      <c r="AX2056" t="s">
        <v>196</v>
      </c>
      <c r="AY2056" t="s">
        <v>928</v>
      </c>
      <c r="AZ2056" t="s">
        <v>486</v>
      </c>
      <c r="BA2056" t="s">
        <v>179</v>
      </c>
      <c r="BC2056">
        <v>10</v>
      </c>
      <c r="BH2056" t="s">
        <v>99</v>
      </c>
      <c r="BO2056" t="s">
        <v>111</v>
      </c>
      <c r="CD2056" t="s">
        <v>1065</v>
      </c>
      <c r="CE2056">
        <v>20182</v>
      </c>
      <c r="CF2056" t="s">
        <v>1066</v>
      </c>
      <c r="CG2056" t="s">
        <v>1067</v>
      </c>
      <c r="CH2056">
        <v>1998</v>
      </c>
    </row>
    <row r="2057" spans="1:86" hidden="1" x14ac:dyDescent="0.25">
      <c r="A2057">
        <v>330541</v>
      </c>
      <c r="B2057" t="s">
        <v>86</v>
      </c>
      <c r="D2057" t="s">
        <v>115</v>
      </c>
      <c r="K2057" t="s">
        <v>1636</v>
      </c>
      <c r="L2057" t="s">
        <v>1637</v>
      </c>
      <c r="M2057" t="s">
        <v>1629</v>
      </c>
      <c r="N2057" t="s">
        <v>910</v>
      </c>
      <c r="V2057" t="s">
        <v>168</v>
      </c>
      <c r="W2057" t="s">
        <v>107</v>
      </c>
      <c r="X2057" t="s">
        <v>93</v>
      </c>
      <c r="Y2057">
        <v>6</v>
      </c>
      <c r="Z2057" t="s">
        <v>94</v>
      </c>
      <c r="AB2057">
        <v>1E-4</v>
      </c>
      <c r="AG2057" t="s">
        <v>95</v>
      </c>
      <c r="AX2057" t="s">
        <v>912</v>
      </c>
      <c r="AY2057" t="s">
        <v>1316</v>
      </c>
      <c r="AZ2057" t="s">
        <v>486</v>
      </c>
      <c r="BH2057" t="s">
        <v>1638</v>
      </c>
      <c r="BO2057" t="s">
        <v>111</v>
      </c>
      <c r="CD2057" t="s">
        <v>1639</v>
      </c>
      <c r="CE2057">
        <v>161689</v>
      </c>
      <c r="CF2057" t="s">
        <v>1640</v>
      </c>
      <c r="CG2057" t="s">
        <v>1641</v>
      </c>
      <c r="CH2057">
        <v>2012</v>
      </c>
    </row>
    <row r="2058" spans="1:86" hidden="1" x14ac:dyDescent="0.25">
      <c r="A2058">
        <v>330541</v>
      </c>
      <c r="B2058" t="s">
        <v>86</v>
      </c>
      <c r="D2058" t="s">
        <v>115</v>
      </c>
      <c r="K2058" t="s">
        <v>1636</v>
      </c>
      <c r="L2058" t="s">
        <v>1637</v>
      </c>
      <c r="M2058" t="s">
        <v>1629</v>
      </c>
      <c r="N2058" t="s">
        <v>1308</v>
      </c>
      <c r="V2058" t="s">
        <v>91</v>
      </c>
      <c r="W2058" t="s">
        <v>107</v>
      </c>
      <c r="X2058" t="s">
        <v>93</v>
      </c>
      <c r="Y2058">
        <v>6</v>
      </c>
      <c r="Z2058" t="s">
        <v>94</v>
      </c>
      <c r="AB2058">
        <v>2.5000000000000001E-4</v>
      </c>
      <c r="AG2058" t="s">
        <v>95</v>
      </c>
      <c r="AX2058" t="s">
        <v>615</v>
      </c>
      <c r="AY2058" t="s">
        <v>616</v>
      </c>
      <c r="AZ2058" t="s">
        <v>486</v>
      </c>
      <c r="BA2058" t="s">
        <v>1308</v>
      </c>
      <c r="BC2058">
        <v>4.1700000000000001E-2</v>
      </c>
      <c r="BH2058" t="s">
        <v>99</v>
      </c>
      <c r="BO2058" t="s">
        <v>111</v>
      </c>
      <c r="CD2058" t="s">
        <v>1639</v>
      </c>
      <c r="CE2058">
        <v>161689</v>
      </c>
      <c r="CF2058" t="s">
        <v>1640</v>
      </c>
      <c r="CG2058" t="s">
        <v>1641</v>
      </c>
      <c r="CH2058">
        <v>2012</v>
      </c>
    </row>
    <row r="2059" spans="1:86" hidden="1" x14ac:dyDescent="0.25">
      <c r="A2059">
        <v>330541</v>
      </c>
      <c r="B2059" t="s">
        <v>86</v>
      </c>
      <c r="D2059" t="s">
        <v>115</v>
      </c>
      <c r="K2059" t="s">
        <v>1636</v>
      </c>
      <c r="L2059" t="s">
        <v>1637</v>
      </c>
      <c r="M2059" t="s">
        <v>1629</v>
      </c>
      <c r="N2059" t="s">
        <v>1308</v>
      </c>
      <c r="V2059" t="s">
        <v>91</v>
      </c>
      <c r="W2059" t="s">
        <v>107</v>
      </c>
      <c r="X2059" t="s">
        <v>93</v>
      </c>
      <c r="Y2059">
        <v>6</v>
      </c>
      <c r="Z2059" t="s">
        <v>94</v>
      </c>
      <c r="AB2059">
        <v>5.0000000000000001E-4</v>
      </c>
      <c r="AG2059" t="s">
        <v>95</v>
      </c>
      <c r="AX2059" t="s">
        <v>615</v>
      </c>
      <c r="AY2059" t="s">
        <v>616</v>
      </c>
      <c r="AZ2059" t="s">
        <v>486</v>
      </c>
      <c r="BA2059" t="s">
        <v>1308</v>
      </c>
      <c r="BC2059">
        <v>4.1700000000000001E-2</v>
      </c>
      <c r="BH2059" t="s">
        <v>99</v>
      </c>
      <c r="BO2059" t="s">
        <v>111</v>
      </c>
      <c r="CD2059" t="s">
        <v>1639</v>
      </c>
      <c r="CE2059">
        <v>161689</v>
      </c>
      <c r="CF2059" t="s">
        <v>1640</v>
      </c>
      <c r="CG2059" t="s">
        <v>1641</v>
      </c>
      <c r="CH2059">
        <v>2012</v>
      </c>
    </row>
    <row r="2060" spans="1:86" hidden="1" x14ac:dyDescent="0.25">
      <c r="A2060">
        <v>330541</v>
      </c>
      <c r="B2060" t="s">
        <v>86</v>
      </c>
      <c r="D2060" t="s">
        <v>115</v>
      </c>
      <c r="K2060" t="s">
        <v>1636</v>
      </c>
      <c r="L2060" t="s">
        <v>1637</v>
      </c>
      <c r="M2060" t="s">
        <v>1629</v>
      </c>
      <c r="N2060" t="s">
        <v>910</v>
      </c>
      <c r="V2060" t="s">
        <v>168</v>
      </c>
      <c r="W2060" t="s">
        <v>107</v>
      </c>
      <c r="X2060" t="s">
        <v>93</v>
      </c>
      <c r="Y2060">
        <v>6</v>
      </c>
      <c r="Z2060" t="s">
        <v>94</v>
      </c>
      <c r="AB2060">
        <v>5.0000000000000002E-5</v>
      </c>
      <c r="AG2060" t="s">
        <v>95</v>
      </c>
      <c r="AX2060" t="s">
        <v>912</v>
      </c>
      <c r="AY2060" t="s">
        <v>1316</v>
      </c>
      <c r="AZ2060" t="s">
        <v>486</v>
      </c>
      <c r="BH2060" t="s">
        <v>1638</v>
      </c>
      <c r="BO2060" t="s">
        <v>111</v>
      </c>
      <c r="CD2060" t="s">
        <v>1639</v>
      </c>
      <c r="CE2060">
        <v>161689</v>
      </c>
      <c r="CF2060" t="s">
        <v>1640</v>
      </c>
      <c r="CG2060" t="s">
        <v>1641</v>
      </c>
      <c r="CH2060">
        <v>2012</v>
      </c>
    </row>
    <row r="2061" spans="1:86" hidden="1" x14ac:dyDescent="0.25">
      <c r="A2061">
        <v>330541</v>
      </c>
      <c r="B2061" t="s">
        <v>86</v>
      </c>
      <c r="D2061" t="s">
        <v>115</v>
      </c>
      <c r="K2061" t="s">
        <v>1636</v>
      </c>
      <c r="L2061" t="s">
        <v>1637</v>
      </c>
      <c r="M2061" t="s">
        <v>1629</v>
      </c>
      <c r="N2061" t="s">
        <v>1308</v>
      </c>
      <c r="V2061" t="s">
        <v>91</v>
      </c>
      <c r="W2061" t="s">
        <v>107</v>
      </c>
      <c r="X2061" t="s">
        <v>93</v>
      </c>
      <c r="Y2061">
        <v>5</v>
      </c>
      <c r="Z2061" t="s">
        <v>94</v>
      </c>
      <c r="AB2061">
        <v>5.0000000000000001E-4</v>
      </c>
      <c r="AG2061" t="s">
        <v>95</v>
      </c>
      <c r="AX2061" t="s">
        <v>1206</v>
      </c>
      <c r="AY2061" t="s">
        <v>1643</v>
      </c>
      <c r="AZ2061" t="s">
        <v>586</v>
      </c>
      <c r="BA2061" t="s">
        <v>1308</v>
      </c>
      <c r="BC2061">
        <v>4.1700000000000001E-2</v>
      </c>
      <c r="BH2061" t="s">
        <v>99</v>
      </c>
      <c r="BO2061" t="s">
        <v>111</v>
      </c>
      <c r="CD2061" t="s">
        <v>1639</v>
      </c>
      <c r="CE2061">
        <v>161689</v>
      </c>
      <c r="CF2061" t="s">
        <v>1640</v>
      </c>
      <c r="CG2061" t="s">
        <v>1641</v>
      </c>
      <c r="CH2061">
        <v>2012</v>
      </c>
    </row>
    <row r="2062" spans="1:86" hidden="1" x14ac:dyDescent="0.25">
      <c r="A2062">
        <v>330541</v>
      </c>
      <c r="B2062" t="s">
        <v>86</v>
      </c>
      <c r="D2062" t="s">
        <v>115</v>
      </c>
      <c r="K2062" t="s">
        <v>1636</v>
      </c>
      <c r="L2062" t="s">
        <v>1637</v>
      </c>
      <c r="M2062" t="s">
        <v>1629</v>
      </c>
      <c r="N2062" t="s">
        <v>1308</v>
      </c>
      <c r="V2062" t="s">
        <v>91</v>
      </c>
      <c r="W2062" t="s">
        <v>107</v>
      </c>
      <c r="X2062" t="s">
        <v>93</v>
      </c>
      <c r="Y2062">
        <v>6</v>
      </c>
      <c r="Z2062" t="s">
        <v>94</v>
      </c>
      <c r="AB2062">
        <v>5.0000000000000001E-4</v>
      </c>
      <c r="AG2062" t="s">
        <v>95</v>
      </c>
      <c r="AX2062" t="s">
        <v>602</v>
      </c>
      <c r="AY2062" t="s">
        <v>1644</v>
      </c>
      <c r="AZ2062" t="s">
        <v>586</v>
      </c>
      <c r="BA2062" t="s">
        <v>1308</v>
      </c>
      <c r="BC2062">
        <v>4.1700000000000001E-2</v>
      </c>
      <c r="BH2062" t="s">
        <v>99</v>
      </c>
      <c r="BO2062" t="s">
        <v>111</v>
      </c>
      <c r="CD2062" t="s">
        <v>1639</v>
      </c>
      <c r="CE2062">
        <v>161689</v>
      </c>
      <c r="CF2062" t="s">
        <v>1640</v>
      </c>
      <c r="CG2062" t="s">
        <v>1641</v>
      </c>
      <c r="CH2062">
        <v>2012</v>
      </c>
    </row>
    <row r="2063" spans="1:86" hidden="1" x14ac:dyDescent="0.25">
      <c r="A2063">
        <v>330541</v>
      </c>
      <c r="B2063" t="s">
        <v>86</v>
      </c>
      <c r="D2063" t="s">
        <v>115</v>
      </c>
      <c r="K2063" t="s">
        <v>1636</v>
      </c>
      <c r="L2063" t="s">
        <v>1637</v>
      </c>
      <c r="M2063" t="s">
        <v>1629</v>
      </c>
      <c r="N2063" t="s">
        <v>1308</v>
      </c>
      <c r="V2063" t="s">
        <v>91</v>
      </c>
      <c r="W2063" t="s">
        <v>107</v>
      </c>
      <c r="X2063" t="s">
        <v>93</v>
      </c>
      <c r="Y2063">
        <v>6</v>
      </c>
      <c r="Z2063" t="s">
        <v>94</v>
      </c>
      <c r="AB2063">
        <v>1E-4</v>
      </c>
      <c r="AG2063" t="s">
        <v>95</v>
      </c>
      <c r="AX2063" t="s">
        <v>615</v>
      </c>
      <c r="AY2063" t="s">
        <v>616</v>
      </c>
      <c r="AZ2063" t="s">
        <v>586</v>
      </c>
      <c r="BA2063" t="s">
        <v>1308</v>
      </c>
      <c r="BC2063">
        <v>4.1700000000000001E-2</v>
      </c>
      <c r="BH2063" t="s">
        <v>99</v>
      </c>
      <c r="BO2063" t="s">
        <v>111</v>
      </c>
      <c r="CD2063" t="s">
        <v>1639</v>
      </c>
      <c r="CE2063">
        <v>161689</v>
      </c>
      <c r="CF2063" t="s">
        <v>1640</v>
      </c>
      <c r="CG2063" t="s">
        <v>1641</v>
      </c>
      <c r="CH2063">
        <v>2012</v>
      </c>
    </row>
    <row r="2064" spans="1:86" hidden="1" x14ac:dyDescent="0.25">
      <c r="A2064">
        <v>330541</v>
      </c>
      <c r="B2064" t="s">
        <v>86</v>
      </c>
      <c r="D2064" t="s">
        <v>115</v>
      </c>
      <c r="K2064" t="s">
        <v>1636</v>
      </c>
      <c r="L2064" t="s">
        <v>1637</v>
      </c>
      <c r="M2064" t="s">
        <v>1629</v>
      </c>
      <c r="N2064" t="s">
        <v>1308</v>
      </c>
      <c r="V2064" t="s">
        <v>91</v>
      </c>
      <c r="W2064" t="s">
        <v>107</v>
      </c>
      <c r="X2064" t="s">
        <v>93</v>
      </c>
      <c r="Y2064">
        <v>6</v>
      </c>
      <c r="Z2064" t="s">
        <v>94</v>
      </c>
      <c r="AB2064">
        <v>5.0000000000000001E-4</v>
      </c>
      <c r="AG2064" t="s">
        <v>95</v>
      </c>
      <c r="AX2064" t="s">
        <v>602</v>
      </c>
      <c r="AY2064" t="s">
        <v>1644</v>
      </c>
      <c r="AZ2064" t="s">
        <v>586</v>
      </c>
      <c r="BA2064" t="s">
        <v>1308</v>
      </c>
      <c r="BC2064">
        <v>4.1700000000000001E-2</v>
      </c>
      <c r="BH2064" t="s">
        <v>99</v>
      </c>
      <c r="BO2064" t="s">
        <v>111</v>
      </c>
      <c r="CD2064" t="s">
        <v>1639</v>
      </c>
      <c r="CE2064">
        <v>161689</v>
      </c>
      <c r="CF2064" t="s">
        <v>1640</v>
      </c>
      <c r="CG2064" t="s">
        <v>1641</v>
      </c>
      <c r="CH2064">
        <v>2012</v>
      </c>
    </row>
    <row r="2065" spans="1:86" hidden="1" x14ac:dyDescent="0.25">
      <c r="A2065">
        <v>330541</v>
      </c>
      <c r="B2065" t="s">
        <v>86</v>
      </c>
      <c r="D2065" t="s">
        <v>115</v>
      </c>
      <c r="K2065" t="s">
        <v>1636</v>
      </c>
      <c r="L2065" t="s">
        <v>1637</v>
      </c>
      <c r="M2065" t="s">
        <v>1629</v>
      </c>
      <c r="N2065" t="s">
        <v>1308</v>
      </c>
      <c r="V2065" t="s">
        <v>91</v>
      </c>
      <c r="W2065" t="s">
        <v>107</v>
      </c>
      <c r="X2065" t="s">
        <v>93</v>
      </c>
      <c r="Y2065">
        <v>6</v>
      </c>
      <c r="Z2065" t="s">
        <v>94</v>
      </c>
      <c r="AB2065">
        <v>1.5E-3</v>
      </c>
      <c r="AG2065" t="s">
        <v>95</v>
      </c>
      <c r="AX2065" t="s">
        <v>615</v>
      </c>
      <c r="AY2065" t="s">
        <v>616</v>
      </c>
      <c r="AZ2065" t="s">
        <v>586</v>
      </c>
      <c r="BA2065" t="s">
        <v>1308</v>
      </c>
      <c r="BC2065">
        <v>4.1700000000000001E-2</v>
      </c>
      <c r="BH2065" t="s">
        <v>99</v>
      </c>
      <c r="BO2065" t="s">
        <v>111</v>
      </c>
      <c r="CD2065" t="s">
        <v>1639</v>
      </c>
      <c r="CE2065">
        <v>161689</v>
      </c>
      <c r="CF2065" t="s">
        <v>1640</v>
      </c>
      <c r="CG2065" t="s">
        <v>1641</v>
      </c>
      <c r="CH2065">
        <v>2012</v>
      </c>
    </row>
    <row r="2066" spans="1:86" hidden="1" x14ac:dyDescent="0.25">
      <c r="A2066">
        <v>330541</v>
      </c>
      <c r="B2066" t="s">
        <v>86</v>
      </c>
      <c r="D2066" t="s">
        <v>115</v>
      </c>
      <c r="K2066" t="s">
        <v>1636</v>
      </c>
      <c r="L2066" t="s">
        <v>1637</v>
      </c>
      <c r="M2066" t="s">
        <v>1629</v>
      </c>
      <c r="N2066" t="s">
        <v>910</v>
      </c>
      <c r="V2066" t="s">
        <v>168</v>
      </c>
      <c r="W2066" t="s">
        <v>107</v>
      </c>
      <c r="X2066" t="s">
        <v>93</v>
      </c>
      <c r="Y2066">
        <v>6</v>
      </c>
      <c r="Z2066" t="s">
        <v>94</v>
      </c>
      <c r="AB2066">
        <v>5.0000000000000002E-5</v>
      </c>
      <c r="AG2066" t="s">
        <v>95</v>
      </c>
      <c r="AX2066" t="s">
        <v>912</v>
      </c>
      <c r="AY2066" t="s">
        <v>1316</v>
      </c>
      <c r="AZ2066" t="s">
        <v>586</v>
      </c>
      <c r="BH2066" t="s">
        <v>1638</v>
      </c>
      <c r="BO2066" t="s">
        <v>111</v>
      </c>
      <c r="CD2066" t="s">
        <v>1639</v>
      </c>
      <c r="CE2066">
        <v>161689</v>
      </c>
      <c r="CF2066" t="s">
        <v>1640</v>
      </c>
      <c r="CG2066" t="s">
        <v>1641</v>
      </c>
      <c r="CH2066">
        <v>2012</v>
      </c>
    </row>
    <row r="2067" spans="1:86" hidden="1" x14ac:dyDescent="0.25">
      <c r="A2067">
        <v>330541</v>
      </c>
      <c r="B2067" t="s">
        <v>86</v>
      </c>
      <c r="C2067" t="s">
        <v>183</v>
      </c>
      <c r="D2067" t="s">
        <v>87</v>
      </c>
      <c r="F2067">
        <v>99.8</v>
      </c>
      <c r="K2067" t="s">
        <v>1642</v>
      </c>
      <c r="L2067" t="s">
        <v>1628</v>
      </c>
      <c r="M2067" t="s">
        <v>1629</v>
      </c>
      <c r="P2067">
        <v>15</v>
      </c>
      <c r="U2067" t="s">
        <v>99</v>
      </c>
      <c r="V2067" t="s">
        <v>507</v>
      </c>
      <c r="W2067" t="s">
        <v>92</v>
      </c>
      <c r="X2067" t="s">
        <v>93</v>
      </c>
      <c r="Z2067" t="s">
        <v>94</v>
      </c>
      <c r="AB2067">
        <v>13.4</v>
      </c>
      <c r="AG2067" t="s">
        <v>95</v>
      </c>
      <c r="AX2067" t="s">
        <v>196</v>
      </c>
      <c r="AY2067" t="s">
        <v>928</v>
      </c>
      <c r="AZ2067" t="s">
        <v>586</v>
      </c>
      <c r="BA2067" t="s">
        <v>179</v>
      </c>
      <c r="BC2067">
        <v>10</v>
      </c>
      <c r="BH2067" t="s">
        <v>99</v>
      </c>
      <c r="BO2067" t="s">
        <v>111</v>
      </c>
      <c r="CD2067" t="s">
        <v>1065</v>
      </c>
      <c r="CE2067">
        <v>20182</v>
      </c>
      <c r="CF2067" t="s">
        <v>1066</v>
      </c>
      <c r="CG2067" t="s">
        <v>1067</v>
      </c>
      <c r="CH2067">
        <v>1998</v>
      </c>
    </row>
    <row r="2068" spans="1:86" hidden="1" x14ac:dyDescent="0.25">
      <c r="A2068">
        <v>330541</v>
      </c>
      <c r="B2068" t="s">
        <v>86</v>
      </c>
      <c r="D2068" t="s">
        <v>115</v>
      </c>
      <c r="K2068" t="s">
        <v>1636</v>
      </c>
      <c r="L2068" t="s">
        <v>1637</v>
      </c>
      <c r="M2068" t="s">
        <v>1629</v>
      </c>
      <c r="N2068" t="s">
        <v>1308</v>
      </c>
      <c r="V2068" t="s">
        <v>91</v>
      </c>
      <c r="W2068" t="s">
        <v>107</v>
      </c>
      <c r="X2068" t="s">
        <v>93</v>
      </c>
      <c r="Y2068">
        <v>6</v>
      </c>
      <c r="Z2068" t="s">
        <v>94</v>
      </c>
      <c r="AB2068">
        <v>2.5000000000000001E-4</v>
      </c>
      <c r="AG2068" t="s">
        <v>95</v>
      </c>
      <c r="AX2068" t="s">
        <v>615</v>
      </c>
      <c r="AY2068" t="s">
        <v>616</v>
      </c>
      <c r="AZ2068" t="s">
        <v>586</v>
      </c>
      <c r="BA2068" t="s">
        <v>1308</v>
      </c>
      <c r="BC2068">
        <v>4.1700000000000001E-2</v>
      </c>
      <c r="BH2068" t="s">
        <v>99</v>
      </c>
      <c r="BO2068" t="s">
        <v>111</v>
      </c>
      <c r="CD2068" t="s">
        <v>1639</v>
      </c>
      <c r="CE2068">
        <v>161689</v>
      </c>
      <c r="CF2068" t="s">
        <v>1640</v>
      </c>
      <c r="CG2068" t="s">
        <v>1641</v>
      </c>
      <c r="CH2068">
        <v>2012</v>
      </c>
    </row>
    <row r="2069" spans="1:86" hidden="1" x14ac:dyDescent="0.25">
      <c r="A2069">
        <v>330541</v>
      </c>
      <c r="B2069" t="s">
        <v>86</v>
      </c>
      <c r="D2069" t="s">
        <v>115</v>
      </c>
      <c r="K2069" t="s">
        <v>1636</v>
      </c>
      <c r="L2069" t="s">
        <v>1637</v>
      </c>
      <c r="M2069" t="s">
        <v>1629</v>
      </c>
      <c r="N2069" t="s">
        <v>1308</v>
      </c>
      <c r="V2069" t="s">
        <v>91</v>
      </c>
      <c r="W2069" t="s">
        <v>107</v>
      </c>
      <c r="X2069" t="s">
        <v>93</v>
      </c>
      <c r="Y2069">
        <v>5</v>
      </c>
      <c r="Z2069" t="s">
        <v>94</v>
      </c>
      <c r="AB2069">
        <v>5.0000000000000001E-4</v>
      </c>
      <c r="AG2069" t="s">
        <v>95</v>
      </c>
      <c r="AX2069" t="s">
        <v>1206</v>
      </c>
      <c r="AY2069" t="s">
        <v>1643</v>
      </c>
      <c r="AZ2069" t="s">
        <v>586</v>
      </c>
      <c r="BA2069" t="s">
        <v>1308</v>
      </c>
      <c r="BC2069">
        <v>4.1700000000000001E-2</v>
      </c>
      <c r="BH2069" t="s">
        <v>99</v>
      </c>
      <c r="BO2069" t="s">
        <v>111</v>
      </c>
      <c r="CD2069" t="s">
        <v>1639</v>
      </c>
      <c r="CE2069">
        <v>161689</v>
      </c>
      <c r="CF2069" t="s">
        <v>1640</v>
      </c>
      <c r="CG2069" t="s">
        <v>1641</v>
      </c>
      <c r="CH2069">
        <v>2012</v>
      </c>
    </row>
    <row r="2070" spans="1:86" hidden="1" x14ac:dyDescent="0.25">
      <c r="A2070">
        <v>330541</v>
      </c>
      <c r="B2070" t="s">
        <v>86</v>
      </c>
      <c r="D2070" t="s">
        <v>115</v>
      </c>
      <c r="K2070" t="s">
        <v>1636</v>
      </c>
      <c r="L2070" t="s">
        <v>1637</v>
      </c>
      <c r="M2070" t="s">
        <v>1629</v>
      </c>
      <c r="N2070" t="s">
        <v>1308</v>
      </c>
      <c r="V2070" t="s">
        <v>91</v>
      </c>
      <c r="W2070" t="s">
        <v>107</v>
      </c>
      <c r="X2070" t="s">
        <v>93</v>
      </c>
      <c r="Y2070">
        <v>5</v>
      </c>
      <c r="Z2070" t="s">
        <v>94</v>
      </c>
      <c r="AB2070">
        <v>5.0000000000000001E-4</v>
      </c>
      <c r="AG2070" t="s">
        <v>95</v>
      </c>
      <c r="AX2070" t="s">
        <v>602</v>
      </c>
      <c r="AY2070" t="s">
        <v>1644</v>
      </c>
      <c r="AZ2070" t="s">
        <v>586</v>
      </c>
      <c r="BA2070" t="s">
        <v>1308</v>
      </c>
      <c r="BC2070">
        <v>4.1700000000000001E-2</v>
      </c>
      <c r="BH2070" t="s">
        <v>99</v>
      </c>
      <c r="BO2070" t="s">
        <v>111</v>
      </c>
      <c r="CD2070" t="s">
        <v>1639</v>
      </c>
      <c r="CE2070">
        <v>161689</v>
      </c>
      <c r="CF2070" t="s">
        <v>1640</v>
      </c>
      <c r="CG2070" t="s">
        <v>1641</v>
      </c>
      <c r="CH2070">
        <v>2012</v>
      </c>
    </row>
    <row r="2071" spans="1:86" hidden="1" x14ac:dyDescent="0.25">
      <c r="A2071">
        <v>330541</v>
      </c>
      <c r="B2071" t="s">
        <v>86</v>
      </c>
      <c r="D2071" t="s">
        <v>87</v>
      </c>
      <c r="K2071" t="s">
        <v>1645</v>
      </c>
      <c r="L2071" t="s">
        <v>1646</v>
      </c>
      <c r="M2071" t="s">
        <v>1647</v>
      </c>
      <c r="N2071" t="s">
        <v>1648</v>
      </c>
      <c r="O2071" t="s">
        <v>434</v>
      </c>
      <c r="P2071">
        <v>1</v>
      </c>
      <c r="U2071" t="s">
        <v>1345</v>
      </c>
      <c r="V2071" t="s">
        <v>91</v>
      </c>
      <c r="W2071" t="s">
        <v>107</v>
      </c>
      <c r="X2071" t="s">
        <v>93</v>
      </c>
      <c r="Y2071">
        <v>2</v>
      </c>
      <c r="Z2071" t="s">
        <v>94</v>
      </c>
      <c r="AB2071">
        <v>8.0000000000000004E-4</v>
      </c>
      <c r="AG2071" t="s">
        <v>95</v>
      </c>
      <c r="AX2071" t="s">
        <v>96</v>
      </c>
      <c r="AY2071" t="s">
        <v>97</v>
      </c>
      <c r="AZ2071" t="s">
        <v>98</v>
      </c>
      <c r="BA2071" t="s">
        <v>1649</v>
      </c>
      <c r="BC2071">
        <v>1</v>
      </c>
      <c r="BH2071" t="s">
        <v>99</v>
      </c>
      <c r="BJ2071">
        <v>16.7</v>
      </c>
      <c r="BO2071" t="s">
        <v>100</v>
      </c>
      <c r="CD2071" t="s">
        <v>1650</v>
      </c>
      <c r="CE2071">
        <v>157639</v>
      </c>
      <c r="CF2071" t="s">
        <v>1651</v>
      </c>
      <c r="CG2071" t="s">
        <v>1652</v>
      </c>
      <c r="CH2071">
        <v>2012</v>
      </c>
    </row>
    <row r="2072" spans="1:86" hidden="1" x14ac:dyDescent="0.25">
      <c r="A2072">
        <v>330541</v>
      </c>
      <c r="B2072" t="s">
        <v>86</v>
      </c>
      <c r="D2072" t="s">
        <v>115</v>
      </c>
      <c r="K2072" t="s">
        <v>1653</v>
      </c>
      <c r="L2072" t="s">
        <v>1654</v>
      </c>
      <c r="M2072" t="s">
        <v>1647</v>
      </c>
      <c r="N2072" t="s">
        <v>1110</v>
      </c>
      <c r="V2072" t="s">
        <v>91</v>
      </c>
      <c r="W2072" t="s">
        <v>107</v>
      </c>
      <c r="X2072" t="s">
        <v>93</v>
      </c>
      <c r="Z2072" t="s">
        <v>137</v>
      </c>
      <c r="AB2072">
        <v>2.5299999999999998</v>
      </c>
      <c r="AG2072" t="s">
        <v>95</v>
      </c>
      <c r="AX2072" t="s">
        <v>912</v>
      </c>
      <c r="AY2072" t="s">
        <v>1312</v>
      </c>
      <c r="AZ2072" t="s">
        <v>214</v>
      </c>
      <c r="BC2072">
        <v>2</v>
      </c>
      <c r="BH2072" t="s">
        <v>99</v>
      </c>
      <c r="BO2072" t="s">
        <v>111</v>
      </c>
      <c r="CD2072" t="s">
        <v>1655</v>
      </c>
      <c r="CE2072">
        <v>2400</v>
      </c>
      <c r="CF2072" t="s">
        <v>1656</v>
      </c>
      <c r="CG2072" t="s">
        <v>1657</v>
      </c>
      <c r="CH2072">
        <v>1969</v>
      </c>
    </row>
    <row r="2073" spans="1:86" hidden="1" x14ac:dyDescent="0.25">
      <c r="A2073">
        <v>330541</v>
      </c>
      <c r="B2073" t="s">
        <v>86</v>
      </c>
      <c r="D2073" t="s">
        <v>115</v>
      </c>
      <c r="K2073" t="s">
        <v>1658</v>
      </c>
      <c r="L2073" t="s">
        <v>1659</v>
      </c>
      <c r="M2073" t="s">
        <v>1647</v>
      </c>
      <c r="N2073" t="s">
        <v>1000</v>
      </c>
      <c r="V2073" t="s">
        <v>91</v>
      </c>
      <c r="W2073" t="s">
        <v>107</v>
      </c>
      <c r="X2073" t="s">
        <v>93</v>
      </c>
      <c r="Z2073" t="s">
        <v>137</v>
      </c>
      <c r="AB2073">
        <v>1.8</v>
      </c>
      <c r="AG2073" t="s">
        <v>95</v>
      </c>
      <c r="AX2073" t="s">
        <v>196</v>
      </c>
      <c r="AY2073" t="s">
        <v>197</v>
      </c>
      <c r="AZ2073" t="s">
        <v>214</v>
      </c>
      <c r="BC2073">
        <v>4</v>
      </c>
      <c r="BH2073" t="s">
        <v>99</v>
      </c>
      <c r="BO2073" t="s">
        <v>111</v>
      </c>
      <c r="CD2073" t="s">
        <v>682</v>
      </c>
      <c r="CE2073">
        <v>646</v>
      </c>
      <c r="CF2073" t="s">
        <v>1092</v>
      </c>
      <c r="CG2073" t="s">
        <v>1660</v>
      </c>
      <c r="CH2073">
        <v>1964</v>
      </c>
    </row>
    <row r="2074" spans="1:86" hidden="1" x14ac:dyDescent="0.25">
      <c r="A2074">
        <v>330541</v>
      </c>
      <c r="B2074" t="s">
        <v>86</v>
      </c>
      <c r="F2074">
        <v>96.8</v>
      </c>
      <c r="K2074" t="s">
        <v>1658</v>
      </c>
      <c r="L2074" t="s">
        <v>1659</v>
      </c>
      <c r="M2074" t="s">
        <v>1647</v>
      </c>
      <c r="N2074" t="s">
        <v>1648</v>
      </c>
      <c r="V2074" t="s">
        <v>257</v>
      </c>
      <c r="W2074" t="s">
        <v>107</v>
      </c>
      <c r="X2074" t="s">
        <v>93</v>
      </c>
      <c r="Z2074" t="s">
        <v>94</v>
      </c>
      <c r="AB2074">
        <v>4.8</v>
      </c>
      <c r="AD2074">
        <v>4.49</v>
      </c>
      <c r="AF2074">
        <v>5.18</v>
      </c>
      <c r="AG2074" t="s">
        <v>95</v>
      </c>
      <c r="AX2074" t="s">
        <v>980</v>
      </c>
      <c r="AY2074" t="s">
        <v>981</v>
      </c>
      <c r="AZ2074" t="s">
        <v>214</v>
      </c>
      <c r="BC2074">
        <v>4</v>
      </c>
      <c r="BH2074" t="s">
        <v>99</v>
      </c>
      <c r="BO2074" t="s">
        <v>111</v>
      </c>
      <c r="CD2074" t="s">
        <v>366</v>
      </c>
      <c r="CE2074">
        <v>344</v>
      </c>
      <c r="CF2074" t="s">
        <v>367</v>
      </c>
      <c r="CG2074" t="s">
        <v>368</v>
      </c>
      <c r="CH2074">
        <v>1992</v>
      </c>
    </row>
    <row r="2075" spans="1:86" hidden="1" x14ac:dyDescent="0.25">
      <c r="A2075">
        <v>330541</v>
      </c>
      <c r="B2075" t="s">
        <v>86</v>
      </c>
      <c r="D2075" t="s">
        <v>115</v>
      </c>
      <c r="K2075" t="s">
        <v>1658</v>
      </c>
      <c r="L2075" t="s">
        <v>1659</v>
      </c>
      <c r="M2075" t="s">
        <v>1647</v>
      </c>
      <c r="V2075" t="s">
        <v>257</v>
      </c>
      <c r="W2075" t="s">
        <v>107</v>
      </c>
      <c r="X2075" t="s">
        <v>93</v>
      </c>
      <c r="Z2075" t="s">
        <v>137</v>
      </c>
      <c r="AB2075">
        <v>1.8</v>
      </c>
      <c r="AG2075" t="s">
        <v>95</v>
      </c>
      <c r="AX2075" t="s">
        <v>966</v>
      </c>
      <c r="AY2075" t="s">
        <v>1661</v>
      </c>
      <c r="AZ2075" t="s">
        <v>214</v>
      </c>
      <c r="BA2075" t="s">
        <v>1662</v>
      </c>
      <c r="BC2075">
        <v>4</v>
      </c>
      <c r="BH2075" t="s">
        <v>99</v>
      </c>
      <c r="BO2075" t="s">
        <v>111</v>
      </c>
      <c r="CD2075" t="s">
        <v>682</v>
      </c>
      <c r="CE2075">
        <v>14134</v>
      </c>
      <c r="CF2075" t="s">
        <v>683</v>
      </c>
      <c r="CG2075" t="s">
        <v>684</v>
      </c>
      <c r="CH2075">
        <v>1965</v>
      </c>
    </row>
    <row r="2076" spans="1:86" hidden="1" x14ac:dyDescent="0.25">
      <c r="A2076">
        <v>330541</v>
      </c>
      <c r="B2076" t="s">
        <v>86</v>
      </c>
      <c r="D2076" t="s">
        <v>115</v>
      </c>
      <c r="K2076" t="s">
        <v>1645</v>
      </c>
      <c r="L2076" t="s">
        <v>1646</v>
      </c>
      <c r="M2076" t="s">
        <v>1647</v>
      </c>
      <c r="N2076" t="s">
        <v>1110</v>
      </c>
      <c r="V2076" t="s">
        <v>168</v>
      </c>
      <c r="W2076" t="s">
        <v>107</v>
      </c>
      <c r="X2076" t="s">
        <v>93</v>
      </c>
      <c r="Z2076" t="s">
        <v>137</v>
      </c>
      <c r="AA2076" t="s">
        <v>106</v>
      </c>
      <c r="AB2076">
        <v>1</v>
      </c>
      <c r="AG2076" t="s">
        <v>95</v>
      </c>
      <c r="AX2076" t="s">
        <v>523</v>
      </c>
      <c r="AY2076" t="s">
        <v>523</v>
      </c>
      <c r="AZ2076" t="s">
        <v>987</v>
      </c>
      <c r="BC2076">
        <v>8.3299999999999999E-2</v>
      </c>
      <c r="BH2076" t="s">
        <v>99</v>
      </c>
      <c r="BO2076" t="s">
        <v>111</v>
      </c>
      <c r="CD2076" t="s">
        <v>1663</v>
      </c>
      <c r="CE2076">
        <v>157883</v>
      </c>
      <c r="CF2076" t="s">
        <v>1664</v>
      </c>
      <c r="CG2076" t="s">
        <v>1665</v>
      </c>
      <c r="CH2076">
        <v>2011</v>
      </c>
    </row>
    <row r="2077" spans="1:86" hidden="1" x14ac:dyDescent="0.25">
      <c r="A2077">
        <v>330541</v>
      </c>
      <c r="B2077" t="s">
        <v>86</v>
      </c>
      <c r="D2077" t="s">
        <v>115</v>
      </c>
      <c r="K2077" t="s">
        <v>1645</v>
      </c>
      <c r="L2077" t="s">
        <v>1646</v>
      </c>
      <c r="M2077" t="s">
        <v>1647</v>
      </c>
      <c r="N2077" t="s">
        <v>1110</v>
      </c>
      <c r="V2077" t="s">
        <v>168</v>
      </c>
      <c r="W2077" t="s">
        <v>107</v>
      </c>
      <c r="X2077" t="s">
        <v>93</v>
      </c>
      <c r="Z2077" t="s">
        <v>137</v>
      </c>
      <c r="AA2077" t="s">
        <v>106</v>
      </c>
      <c r="AB2077">
        <v>1</v>
      </c>
      <c r="AG2077" t="s">
        <v>95</v>
      </c>
      <c r="AX2077" t="s">
        <v>523</v>
      </c>
      <c r="AY2077" t="s">
        <v>523</v>
      </c>
      <c r="AZ2077" t="s">
        <v>987</v>
      </c>
      <c r="BC2077">
        <v>1</v>
      </c>
      <c r="BH2077" t="s">
        <v>99</v>
      </c>
      <c r="BO2077" t="s">
        <v>111</v>
      </c>
      <c r="CD2077" t="s">
        <v>1663</v>
      </c>
      <c r="CE2077">
        <v>157883</v>
      </c>
      <c r="CF2077" t="s">
        <v>1664</v>
      </c>
      <c r="CG2077" t="s">
        <v>1665</v>
      </c>
      <c r="CH2077">
        <v>2011</v>
      </c>
    </row>
    <row r="2078" spans="1:86" hidden="1" x14ac:dyDescent="0.25">
      <c r="A2078">
        <v>330541</v>
      </c>
      <c r="B2078" t="s">
        <v>86</v>
      </c>
      <c r="D2078" t="s">
        <v>115</v>
      </c>
      <c r="K2078" t="s">
        <v>1645</v>
      </c>
      <c r="L2078" t="s">
        <v>1646</v>
      </c>
      <c r="M2078" t="s">
        <v>1647</v>
      </c>
      <c r="N2078" t="s">
        <v>1110</v>
      </c>
      <c r="V2078" t="s">
        <v>168</v>
      </c>
      <c r="W2078" t="s">
        <v>107</v>
      </c>
      <c r="X2078" t="s">
        <v>93</v>
      </c>
      <c r="Z2078" t="s">
        <v>137</v>
      </c>
      <c r="AA2078" t="s">
        <v>106</v>
      </c>
      <c r="AB2078">
        <v>1</v>
      </c>
      <c r="AG2078" t="s">
        <v>95</v>
      </c>
      <c r="AX2078" t="s">
        <v>523</v>
      </c>
      <c r="AY2078" t="s">
        <v>523</v>
      </c>
      <c r="AZ2078" t="s">
        <v>475</v>
      </c>
      <c r="BC2078">
        <v>8.3299999999999999E-2</v>
      </c>
      <c r="BH2078" t="s">
        <v>99</v>
      </c>
      <c r="BO2078" t="s">
        <v>111</v>
      </c>
      <c r="CD2078" t="s">
        <v>1663</v>
      </c>
      <c r="CE2078">
        <v>157883</v>
      </c>
      <c r="CF2078" t="s">
        <v>1664</v>
      </c>
      <c r="CG2078" t="s">
        <v>1665</v>
      </c>
      <c r="CH2078">
        <v>2011</v>
      </c>
    </row>
    <row r="2079" spans="1:86" hidden="1" x14ac:dyDescent="0.25">
      <c r="A2079">
        <v>330541</v>
      </c>
      <c r="B2079" t="s">
        <v>86</v>
      </c>
      <c r="D2079" t="s">
        <v>115</v>
      </c>
      <c r="K2079" t="s">
        <v>1645</v>
      </c>
      <c r="L2079" t="s">
        <v>1646</v>
      </c>
      <c r="M2079" t="s">
        <v>1647</v>
      </c>
      <c r="N2079" t="s">
        <v>1110</v>
      </c>
      <c r="V2079" t="s">
        <v>168</v>
      </c>
      <c r="W2079" t="s">
        <v>107</v>
      </c>
      <c r="X2079" t="s">
        <v>93</v>
      </c>
      <c r="Z2079" t="s">
        <v>137</v>
      </c>
      <c r="AA2079" t="s">
        <v>106</v>
      </c>
      <c r="AB2079">
        <v>1</v>
      </c>
      <c r="AG2079" t="s">
        <v>95</v>
      </c>
      <c r="AX2079" t="s">
        <v>523</v>
      </c>
      <c r="AY2079" t="s">
        <v>523</v>
      </c>
      <c r="AZ2079" t="s">
        <v>475</v>
      </c>
      <c r="BC2079">
        <v>1</v>
      </c>
      <c r="BH2079" t="s">
        <v>99</v>
      </c>
      <c r="BO2079" t="s">
        <v>111</v>
      </c>
      <c r="CD2079" t="s">
        <v>1663</v>
      </c>
      <c r="CE2079">
        <v>157883</v>
      </c>
      <c r="CF2079" t="s">
        <v>1664</v>
      </c>
      <c r="CG2079" t="s">
        <v>1665</v>
      </c>
      <c r="CH2079">
        <v>2011</v>
      </c>
    </row>
    <row r="2080" spans="1:86" hidden="1" x14ac:dyDescent="0.25">
      <c r="A2080">
        <v>330541</v>
      </c>
      <c r="B2080" t="s">
        <v>86</v>
      </c>
      <c r="D2080" t="s">
        <v>115</v>
      </c>
      <c r="K2080" t="s">
        <v>1653</v>
      </c>
      <c r="L2080" t="s">
        <v>1654</v>
      </c>
      <c r="M2080" t="s">
        <v>1647</v>
      </c>
      <c r="N2080" t="s">
        <v>945</v>
      </c>
      <c r="P2080">
        <v>2</v>
      </c>
      <c r="U2080" t="s">
        <v>99</v>
      </c>
      <c r="V2080" t="s">
        <v>507</v>
      </c>
      <c r="W2080" t="s">
        <v>107</v>
      </c>
      <c r="X2080" t="s">
        <v>93</v>
      </c>
      <c r="Z2080" t="s">
        <v>137</v>
      </c>
      <c r="AA2080" t="s">
        <v>106</v>
      </c>
      <c r="AB2080">
        <v>5</v>
      </c>
      <c r="AG2080" t="s">
        <v>95</v>
      </c>
      <c r="AX2080" t="s">
        <v>523</v>
      </c>
      <c r="AY2080" t="s">
        <v>523</v>
      </c>
      <c r="AZ2080" t="s">
        <v>475</v>
      </c>
      <c r="BC2080">
        <v>12</v>
      </c>
      <c r="BH2080" t="s">
        <v>99</v>
      </c>
      <c r="BO2080" t="s">
        <v>111</v>
      </c>
      <c r="CD2080" t="s">
        <v>1655</v>
      </c>
      <c r="CE2080">
        <v>2400</v>
      </c>
      <c r="CF2080" t="s">
        <v>1656</v>
      </c>
      <c r="CG2080" t="s">
        <v>1657</v>
      </c>
      <c r="CH2080">
        <v>1969</v>
      </c>
    </row>
    <row r="2081" spans="1:86" hidden="1" x14ac:dyDescent="0.25">
      <c r="A2081">
        <v>330541</v>
      </c>
      <c r="B2081" t="s">
        <v>86</v>
      </c>
      <c r="C2081" t="s">
        <v>104</v>
      </c>
      <c r="D2081" t="s">
        <v>115</v>
      </c>
      <c r="K2081" t="s">
        <v>1645</v>
      </c>
      <c r="L2081" t="s">
        <v>1646</v>
      </c>
      <c r="M2081" t="s">
        <v>1647</v>
      </c>
      <c r="N2081" t="s">
        <v>945</v>
      </c>
      <c r="P2081">
        <v>6</v>
      </c>
      <c r="U2081" t="s">
        <v>1111</v>
      </c>
      <c r="V2081" t="s">
        <v>91</v>
      </c>
      <c r="W2081" t="s">
        <v>107</v>
      </c>
      <c r="X2081" t="s">
        <v>93</v>
      </c>
      <c r="Y2081">
        <v>5</v>
      </c>
      <c r="Z2081" t="s">
        <v>94</v>
      </c>
      <c r="AB2081">
        <v>5.0000000000000002E-5</v>
      </c>
      <c r="AG2081" t="s">
        <v>95</v>
      </c>
      <c r="AX2081" t="s">
        <v>615</v>
      </c>
      <c r="AY2081" t="s">
        <v>1666</v>
      </c>
      <c r="AZ2081" t="s">
        <v>486</v>
      </c>
      <c r="BC2081">
        <v>0.25</v>
      </c>
      <c r="BH2081" t="s">
        <v>99</v>
      </c>
      <c r="BO2081" t="s">
        <v>111</v>
      </c>
      <c r="CD2081" t="s">
        <v>1667</v>
      </c>
      <c r="CE2081">
        <v>176117</v>
      </c>
      <c r="CF2081" t="s">
        <v>1668</v>
      </c>
      <c r="CG2081" t="s">
        <v>1669</v>
      </c>
      <c r="CH2081">
        <v>2016</v>
      </c>
    </row>
    <row r="2082" spans="1:86" hidden="1" x14ac:dyDescent="0.25">
      <c r="A2082">
        <v>330541</v>
      </c>
      <c r="B2082" t="s">
        <v>86</v>
      </c>
      <c r="C2082" t="s">
        <v>104</v>
      </c>
      <c r="D2082" t="s">
        <v>115</v>
      </c>
      <c r="K2082" t="s">
        <v>1645</v>
      </c>
      <c r="L2082" t="s">
        <v>1646</v>
      </c>
      <c r="M2082" t="s">
        <v>1647</v>
      </c>
      <c r="N2082" t="s">
        <v>945</v>
      </c>
      <c r="P2082">
        <v>6</v>
      </c>
      <c r="U2082" t="s">
        <v>1111</v>
      </c>
      <c r="V2082" t="s">
        <v>91</v>
      </c>
      <c r="W2082" t="s">
        <v>107</v>
      </c>
      <c r="X2082" t="s">
        <v>93</v>
      </c>
      <c r="Y2082">
        <v>5</v>
      </c>
      <c r="Z2082" t="s">
        <v>94</v>
      </c>
      <c r="AB2082">
        <v>5.0000000000000002E-5</v>
      </c>
      <c r="AG2082" t="s">
        <v>95</v>
      </c>
      <c r="AX2082" t="s">
        <v>201</v>
      </c>
      <c r="AY2082" t="s">
        <v>490</v>
      </c>
      <c r="AZ2082" t="s">
        <v>486</v>
      </c>
      <c r="BC2082">
        <v>0.25</v>
      </c>
      <c r="BH2082" t="s">
        <v>99</v>
      </c>
      <c r="BO2082" t="s">
        <v>111</v>
      </c>
      <c r="CD2082" t="s">
        <v>1667</v>
      </c>
      <c r="CE2082">
        <v>176117</v>
      </c>
      <c r="CF2082" t="s">
        <v>1668</v>
      </c>
      <c r="CG2082" t="s">
        <v>1669</v>
      </c>
      <c r="CH2082">
        <v>2016</v>
      </c>
    </row>
    <row r="2083" spans="1:86" hidden="1" x14ac:dyDescent="0.25">
      <c r="A2083">
        <v>330541</v>
      </c>
      <c r="B2083" t="s">
        <v>86</v>
      </c>
      <c r="D2083" t="s">
        <v>87</v>
      </c>
      <c r="K2083" t="s">
        <v>1645</v>
      </c>
      <c r="L2083" t="s">
        <v>1646</v>
      </c>
      <c r="M2083" t="s">
        <v>1647</v>
      </c>
      <c r="N2083" t="s">
        <v>1648</v>
      </c>
      <c r="O2083" t="s">
        <v>434</v>
      </c>
      <c r="P2083">
        <v>1</v>
      </c>
      <c r="U2083" t="s">
        <v>1345</v>
      </c>
      <c r="V2083" t="s">
        <v>91</v>
      </c>
      <c r="W2083" t="s">
        <v>107</v>
      </c>
      <c r="X2083" t="s">
        <v>93</v>
      </c>
      <c r="Y2083">
        <v>2</v>
      </c>
      <c r="Z2083" t="s">
        <v>94</v>
      </c>
      <c r="AB2083">
        <v>8.0000000000000004E-4</v>
      </c>
      <c r="AG2083" t="s">
        <v>95</v>
      </c>
      <c r="AX2083" t="s">
        <v>615</v>
      </c>
      <c r="AY2083" t="s">
        <v>1670</v>
      </c>
      <c r="AZ2083" t="s">
        <v>486</v>
      </c>
      <c r="BA2083" t="s">
        <v>1671</v>
      </c>
      <c r="BC2083">
        <v>0.25</v>
      </c>
      <c r="BH2083" t="s">
        <v>99</v>
      </c>
      <c r="BO2083" t="s">
        <v>111</v>
      </c>
      <c r="CD2083" t="s">
        <v>1650</v>
      </c>
      <c r="CE2083">
        <v>157639</v>
      </c>
      <c r="CF2083" t="s">
        <v>1651</v>
      </c>
      <c r="CG2083" t="s">
        <v>1652</v>
      </c>
      <c r="CH2083">
        <v>2012</v>
      </c>
    </row>
    <row r="2084" spans="1:86" hidden="1" x14ac:dyDescent="0.25">
      <c r="A2084">
        <v>330541</v>
      </c>
      <c r="B2084" t="s">
        <v>86</v>
      </c>
      <c r="D2084" t="s">
        <v>87</v>
      </c>
      <c r="K2084" t="s">
        <v>1645</v>
      </c>
      <c r="L2084" t="s">
        <v>1646</v>
      </c>
      <c r="M2084" t="s">
        <v>1647</v>
      </c>
      <c r="N2084" t="s">
        <v>1648</v>
      </c>
      <c r="O2084" t="s">
        <v>434</v>
      </c>
      <c r="P2084">
        <v>1</v>
      </c>
      <c r="U2084" t="s">
        <v>1345</v>
      </c>
      <c r="V2084" t="s">
        <v>91</v>
      </c>
      <c r="W2084" t="s">
        <v>107</v>
      </c>
      <c r="X2084" t="s">
        <v>93</v>
      </c>
      <c r="Y2084">
        <v>2</v>
      </c>
      <c r="Z2084" t="s">
        <v>94</v>
      </c>
      <c r="AB2084">
        <v>8.0000000000000004E-4</v>
      </c>
      <c r="AG2084" t="s">
        <v>95</v>
      </c>
      <c r="AX2084" t="s">
        <v>615</v>
      </c>
      <c r="AY2084" t="s">
        <v>1672</v>
      </c>
      <c r="AZ2084" t="s">
        <v>486</v>
      </c>
      <c r="BA2084" t="s">
        <v>1671</v>
      </c>
      <c r="BC2084">
        <v>1</v>
      </c>
      <c r="BH2084" t="s">
        <v>99</v>
      </c>
      <c r="BO2084" t="s">
        <v>111</v>
      </c>
      <c r="CD2084" t="s">
        <v>1650</v>
      </c>
      <c r="CE2084">
        <v>157639</v>
      </c>
      <c r="CF2084" t="s">
        <v>1651</v>
      </c>
      <c r="CG2084" t="s">
        <v>1652</v>
      </c>
      <c r="CH2084">
        <v>2012</v>
      </c>
    </row>
    <row r="2085" spans="1:86" hidden="1" x14ac:dyDescent="0.25">
      <c r="A2085">
        <v>330541</v>
      </c>
      <c r="B2085" t="s">
        <v>86</v>
      </c>
      <c r="D2085" t="s">
        <v>87</v>
      </c>
      <c r="K2085" t="s">
        <v>1645</v>
      </c>
      <c r="L2085" t="s">
        <v>1646</v>
      </c>
      <c r="M2085" t="s">
        <v>1647</v>
      </c>
      <c r="N2085" t="s">
        <v>1648</v>
      </c>
      <c r="O2085" t="s">
        <v>434</v>
      </c>
      <c r="P2085">
        <v>1</v>
      </c>
      <c r="U2085" t="s">
        <v>1345</v>
      </c>
      <c r="V2085" t="s">
        <v>91</v>
      </c>
      <c r="W2085" t="s">
        <v>107</v>
      </c>
      <c r="X2085" t="s">
        <v>93</v>
      </c>
      <c r="Y2085">
        <v>2</v>
      </c>
      <c r="Z2085" t="s">
        <v>94</v>
      </c>
      <c r="AB2085">
        <v>8.0000000000000004E-4</v>
      </c>
      <c r="AG2085" t="s">
        <v>95</v>
      </c>
      <c r="AX2085" t="s">
        <v>615</v>
      </c>
      <c r="AY2085" t="s">
        <v>1673</v>
      </c>
      <c r="AZ2085" t="s">
        <v>486</v>
      </c>
      <c r="BA2085" t="s">
        <v>1671</v>
      </c>
      <c r="BC2085">
        <v>1</v>
      </c>
      <c r="BH2085" t="s">
        <v>99</v>
      </c>
      <c r="BO2085" t="s">
        <v>111</v>
      </c>
      <c r="CD2085" t="s">
        <v>1650</v>
      </c>
      <c r="CE2085">
        <v>157639</v>
      </c>
      <c r="CF2085" t="s">
        <v>1651</v>
      </c>
      <c r="CG2085" t="s">
        <v>1652</v>
      </c>
      <c r="CH2085">
        <v>2012</v>
      </c>
    </row>
    <row r="2086" spans="1:86" hidden="1" x14ac:dyDescent="0.25">
      <c r="A2086">
        <v>330541</v>
      </c>
      <c r="B2086" t="s">
        <v>86</v>
      </c>
      <c r="D2086" t="s">
        <v>87</v>
      </c>
      <c r="K2086" t="s">
        <v>1645</v>
      </c>
      <c r="L2086" t="s">
        <v>1646</v>
      </c>
      <c r="M2086" t="s">
        <v>1647</v>
      </c>
      <c r="N2086" t="s">
        <v>1648</v>
      </c>
      <c r="O2086" t="s">
        <v>434</v>
      </c>
      <c r="P2086">
        <v>1</v>
      </c>
      <c r="U2086" t="s">
        <v>1345</v>
      </c>
      <c r="V2086" t="s">
        <v>91</v>
      </c>
      <c r="W2086" t="s">
        <v>107</v>
      </c>
      <c r="X2086" t="s">
        <v>93</v>
      </c>
      <c r="Y2086">
        <v>2</v>
      </c>
      <c r="Z2086" t="s">
        <v>94</v>
      </c>
      <c r="AB2086">
        <v>8.0000000000000004E-4</v>
      </c>
      <c r="AG2086" t="s">
        <v>95</v>
      </c>
      <c r="AX2086" t="s">
        <v>282</v>
      </c>
      <c r="AY2086" t="s">
        <v>1674</v>
      </c>
      <c r="AZ2086" t="s">
        <v>486</v>
      </c>
      <c r="BA2086" t="s">
        <v>1649</v>
      </c>
      <c r="BC2086">
        <v>0.25</v>
      </c>
      <c r="BH2086" t="s">
        <v>99</v>
      </c>
      <c r="BO2086" t="s">
        <v>111</v>
      </c>
      <c r="CD2086" t="s">
        <v>1650</v>
      </c>
      <c r="CE2086">
        <v>157639</v>
      </c>
      <c r="CF2086" t="s">
        <v>1651</v>
      </c>
      <c r="CG2086" t="s">
        <v>1652</v>
      </c>
      <c r="CH2086">
        <v>2012</v>
      </c>
    </row>
    <row r="2087" spans="1:86" hidden="1" x14ac:dyDescent="0.25">
      <c r="A2087">
        <v>330541</v>
      </c>
      <c r="B2087" t="s">
        <v>86</v>
      </c>
      <c r="D2087" t="s">
        <v>87</v>
      </c>
      <c r="K2087" t="s">
        <v>1645</v>
      </c>
      <c r="L2087" t="s">
        <v>1646</v>
      </c>
      <c r="M2087" t="s">
        <v>1647</v>
      </c>
      <c r="N2087" t="s">
        <v>1648</v>
      </c>
      <c r="O2087" t="s">
        <v>434</v>
      </c>
      <c r="P2087">
        <v>1</v>
      </c>
      <c r="U2087" t="s">
        <v>1345</v>
      </c>
      <c r="V2087" t="s">
        <v>91</v>
      </c>
      <c r="W2087" t="s">
        <v>107</v>
      </c>
      <c r="X2087" t="s">
        <v>93</v>
      </c>
      <c r="Y2087">
        <v>2</v>
      </c>
      <c r="Z2087" t="s">
        <v>94</v>
      </c>
      <c r="AB2087">
        <v>8.0000000000000004E-4</v>
      </c>
      <c r="AG2087" t="s">
        <v>95</v>
      </c>
      <c r="AX2087" t="s">
        <v>615</v>
      </c>
      <c r="AY2087" t="s">
        <v>1672</v>
      </c>
      <c r="AZ2087" t="s">
        <v>486</v>
      </c>
      <c r="BA2087" t="s">
        <v>1671</v>
      </c>
      <c r="BC2087">
        <v>0.25</v>
      </c>
      <c r="BH2087" t="s">
        <v>99</v>
      </c>
      <c r="BO2087" t="s">
        <v>111</v>
      </c>
      <c r="CD2087" t="s">
        <v>1650</v>
      </c>
      <c r="CE2087">
        <v>157639</v>
      </c>
      <c r="CF2087" t="s">
        <v>1651</v>
      </c>
      <c r="CG2087" t="s">
        <v>1652</v>
      </c>
      <c r="CH2087">
        <v>2012</v>
      </c>
    </row>
    <row r="2088" spans="1:86" hidden="1" x14ac:dyDescent="0.25">
      <c r="A2088">
        <v>330541</v>
      </c>
      <c r="B2088" t="s">
        <v>86</v>
      </c>
      <c r="D2088" t="s">
        <v>87</v>
      </c>
      <c r="K2088" t="s">
        <v>1645</v>
      </c>
      <c r="L2088" t="s">
        <v>1646</v>
      </c>
      <c r="M2088" t="s">
        <v>1647</v>
      </c>
      <c r="N2088" t="s">
        <v>1648</v>
      </c>
      <c r="O2088" t="s">
        <v>434</v>
      </c>
      <c r="P2088">
        <v>1</v>
      </c>
      <c r="U2088" t="s">
        <v>1345</v>
      </c>
      <c r="V2088" t="s">
        <v>91</v>
      </c>
      <c r="W2088" t="s">
        <v>107</v>
      </c>
      <c r="X2088" t="s">
        <v>93</v>
      </c>
      <c r="Y2088">
        <v>2</v>
      </c>
      <c r="Z2088" t="s">
        <v>94</v>
      </c>
      <c r="AB2088">
        <v>8.0000000000000004E-4</v>
      </c>
      <c r="AG2088" t="s">
        <v>95</v>
      </c>
      <c r="AX2088" t="s">
        <v>615</v>
      </c>
      <c r="AY2088" t="s">
        <v>1672</v>
      </c>
      <c r="AZ2088" t="s">
        <v>486</v>
      </c>
      <c r="BA2088" t="s">
        <v>1671</v>
      </c>
      <c r="BC2088">
        <v>8.3299999999999999E-2</v>
      </c>
      <c r="BH2088" t="s">
        <v>99</v>
      </c>
      <c r="BO2088" t="s">
        <v>111</v>
      </c>
      <c r="CD2088" t="s">
        <v>1650</v>
      </c>
      <c r="CE2088">
        <v>157639</v>
      </c>
      <c r="CF2088" t="s">
        <v>1651</v>
      </c>
      <c r="CG2088" t="s">
        <v>1652</v>
      </c>
      <c r="CH2088">
        <v>2012</v>
      </c>
    </row>
    <row r="2089" spans="1:86" hidden="1" x14ac:dyDescent="0.25">
      <c r="A2089">
        <v>330541</v>
      </c>
      <c r="B2089" t="s">
        <v>86</v>
      </c>
      <c r="C2089" t="s">
        <v>104</v>
      </c>
      <c r="D2089" t="s">
        <v>115</v>
      </c>
      <c r="K2089" t="s">
        <v>1645</v>
      </c>
      <c r="L2089" t="s">
        <v>1646</v>
      </c>
      <c r="M2089" t="s">
        <v>1647</v>
      </c>
      <c r="N2089" t="s">
        <v>945</v>
      </c>
      <c r="P2089">
        <v>6</v>
      </c>
      <c r="U2089" t="s">
        <v>1111</v>
      </c>
      <c r="V2089" t="s">
        <v>91</v>
      </c>
      <c r="W2089" t="s">
        <v>107</v>
      </c>
      <c r="X2089" t="s">
        <v>93</v>
      </c>
      <c r="Y2089">
        <v>5</v>
      </c>
      <c r="Z2089" t="s">
        <v>94</v>
      </c>
      <c r="AB2089">
        <v>5.0000000000000002E-5</v>
      </c>
      <c r="AG2089" t="s">
        <v>95</v>
      </c>
      <c r="AX2089" t="s">
        <v>912</v>
      </c>
      <c r="AY2089" t="s">
        <v>1316</v>
      </c>
      <c r="AZ2089" t="s">
        <v>486</v>
      </c>
      <c r="BC2089">
        <v>1</v>
      </c>
      <c r="BH2089" t="s">
        <v>99</v>
      </c>
      <c r="BO2089" t="s">
        <v>111</v>
      </c>
      <c r="CD2089" t="s">
        <v>1667</v>
      </c>
      <c r="CE2089">
        <v>176117</v>
      </c>
      <c r="CF2089" t="s">
        <v>1668</v>
      </c>
      <c r="CG2089" t="s">
        <v>1669</v>
      </c>
      <c r="CH2089">
        <v>2016</v>
      </c>
    </row>
    <row r="2090" spans="1:86" hidden="1" x14ac:dyDescent="0.25">
      <c r="A2090">
        <v>330541</v>
      </c>
      <c r="B2090" t="s">
        <v>86</v>
      </c>
      <c r="D2090" t="s">
        <v>87</v>
      </c>
      <c r="K2090" t="s">
        <v>1645</v>
      </c>
      <c r="L2090" t="s">
        <v>1646</v>
      </c>
      <c r="M2090" t="s">
        <v>1647</v>
      </c>
      <c r="N2090" t="s">
        <v>1648</v>
      </c>
      <c r="O2090" t="s">
        <v>434</v>
      </c>
      <c r="P2090">
        <v>1</v>
      </c>
      <c r="U2090" t="s">
        <v>1345</v>
      </c>
      <c r="V2090" t="s">
        <v>91</v>
      </c>
      <c r="W2090" t="s">
        <v>107</v>
      </c>
      <c r="X2090" t="s">
        <v>93</v>
      </c>
      <c r="Y2090">
        <v>2</v>
      </c>
      <c r="Z2090" t="s">
        <v>94</v>
      </c>
      <c r="AB2090">
        <v>8.0000000000000004E-4</v>
      </c>
      <c r="AG2090" t="s">
        <v>95</v>
      </c>
      <c r="AX2090" t="s">
        <v>282</v>
      </c>
      <c r="AY2090" t="s">
        <v>485</v>
      </c>
      <c r="AZ2090" t="s">
        <v>486</v>
      </c>
      <c r="BA2090" t="s">
        <v>1649</v>
      </c>
      <c r="BC2090">
        <v>1</v>
      </c>
      <c r="BH2090" t="s">
        <v>99</v>
      </c>
      <c r="BO2090" t="s">
        <v>111</v>
      </c>
      <c r="CD2090" t="s">
        <v>1650</v>
      </c>
      <c r="CE2090">
        <v>157639</v>
      </c>
      <c r="CF2090" t="s">
        <v>1651</v>
      </c>
      <c r="CG2090" t="s">
        <v>1652</v>
      </c>
      <c r="CH2090">
        <v>2012</v>
      </c>
    </row>
    <row r="2091" spans="1:86" hidden="1" x14ac:dyDescent="0.25">
      <c r="A2091">
        <v>330541</v>
      </c>
      <c r="B2091" t="s">
        <v>86</v>
      </c>
      <c r="C2091" t="s">
        <v>104</v>
      </c>
      <c r="D2091" t="s">
        <v>115</v>
      </c>
      <c r="K2091" t="s">
        <v>1645</v>
      </c>
      <c r="L2091" t="s">
        <v>1646</v>
      </c>
      <c r="M2091" t="s">
        <v>1647</v>
      </c>
      <c r="N2091" t="s">
        <v>945</v>
      </c>
      <c r="P2091">
        <v>6</v>
      </c>
      <c r="U2091" t="s">
        <v>1111</v>
      </c>
      <c r="V2091" t="s">
        <v>91</v>
      </c>
      <c r="W2091" t="s">
        <v>107</v>
      </c>
      <c r="X2091" t="s">
        <v>93</v>
      </c>
      <c r="Y2091">
        <v>3</v>
      </c>
      <c r="Z2091" t="s">
        <v>94</v>
      </c>
      <c r="AB2091">
        <v>5.0000000000000001E-4</v>
      </c>
      <c r="AG2091" t="s">
        <v>95</v>
      </c>
      <c r="AX2091" t="s">
        <v>912</v>
      </c>
      <c r="AY2091" t="s">
        <v>1316</v>
      </c>
      <c r="AZ2091" t="s">
        <v>486</v>
      </c>
      <c r="BC2091">
        <v>1</v>
      </c>
      <c r="BH2091" t="s">
        <v>99</v>
      </c>
      <c r="BO2091" t="s">
        <v>111</v>
      </c>
      <c r="CD2091" t="s">
        <v>1667</v>
      </c>
      <c r="CE2091">
        <v>176117</v>
      </c>
      <c r="CF2091" t="s">
        <v>1668</v>
      </c>
      <c r="CG2091" t="s">
        <v>1669</v>
      </c>
      <c r="CH2091">
        <v>2016</v>
      </c>
    </row>
    <row r="2092" spans="1:86" hidden="1" x14ac:dyDescent="0.25">
      <c r="A2092">
        <v>330541</v>
      </c>
      <c r="B2092" t="s">
        <v>86</v>
      </c>
      <c r="D2092" t="s">
        <v>87</v>
      </c>
      <c r="K2092" t="s">
        <v>1645</v>
      </c>
      <c r="L2092" t="s">
        <v>1646</v>
      </c>
      <c r="M2092" t="s">
        <v>1647</v>
      </c>
      <c r="N2092" t="s">
        <v>1648</v>
      </c>
      <c r="O2092" t="s">
        <v>434</v>
      </c>
      <c r="P2092">
        <v>1</v>
      </c>
      <c r="U2092" t="s">
        <v>1345</v>
      </c>
      <c r="V2092" t="s">
        <v>91</v>
      </c>
      <c r="W2092" t="s">
        <v>107</v>
      </c>
      <c r="X2092" t="s">
        <v>93</v>
      </c>
      <c r="Y2092">
        <v>2</v>
      </c>
      <c r="Z2092" t="s">
        <v>94</v>
      </c>
      <c r="AB2092">
        <v>8.0000000000000004E-4</v>
      </c>
      <c r="AG2092" t="s">
        <v>95</v>
      </c>
      <c r="AX2092" t="s">
        <v>615</v>
      </c>
      <c r="AY2092" t="s">
        <v>1673</v>
      </c>
      <c r="AZ2092" t="s">
        <v>486</v>
      </c>
      <c r="BA2092" t="s">
        <v>1671</v>
      </c>
      <c r="BC2092">
        <v>8.3299999999999999E-2</v>
      </c>
      <c r="BH2092" t="s">
        <v>99</v>
      </c>
      <c r="BO2092" t="s">
        <v>111</v>
      </c>
      <c r="CD2092" t="s">
        <v>1650</v>
      </c>
      <c r="CE2092">
        <v>157639</v>
      </c>
      <c r="CF2092" t="s">
        <v>1651</v>
      </c>
      <c r="CG2092" t="s">
        <v>1652</v>
      </c>
      <c r="CH2092">
        <v>2012</v>
      </c>
    </row>
    <row r="2093" spans="1:86" hidden="1" x14ac:dyDescent="0.25">
      <c r="A2093">
        <v>330541</v>
      </c>
      <c r="B2093" t="s">
        <v>86</v>
      </c>
      <c r="C2093" t="s">
        <v>104</v>
      </c>
      <c r="D2093" t="s">
        <v>115</v>
      </c>
      <c r="K2093" t="s">
        <v>1645</v>
      </c>
      <c r="L2093" t="s">
        <v>1646</v>
      </c>
      <c r="M2093" t="s">
        <v>1647</v>
      </c>
      <c r="N2093" t="s">
        <v>945</v>
      </c>
      <c r="P2093">
        <v>6</v>
      </c>
      <c r="U2093" t="s">
        <v>1111</v>
      </c>
      <c r="V2093" t="s">
        <v>91</v>
      </c>
      <c r="W2093" t="s">
        <v>107</v>
      </c>
      <c r="X2093" t="s">
        <v>93</v>
      </c>
      <c r="Y2093">
        <v>3</v>
      </c>
      <c r="Z2093" t="s">
        <v>94</v>
      </c>
      <c r="AB2093">
        <v>5.0000000000000001E-4</v>
      </c>
      <c r="AG2093" t="s">
        <v>95</v>
      </c>
      <c r="AX2093" t="s">
        <v>615</v>
      </c>
      <c r="AY2093" t="s">
        <v>1666</v>
      </c>
      <c r="AZ2093" t="s">
        <v>486</v>
      </c>
      <c r="BC2093">
        <v>0.25</v>
      </c>
      <c r="BH2093" t="s">
        <v>99</v>
      </c>
      <c r="BO2093" t="s">
        <v>111</v>
      </c>
      <c r="CD2093" t="s">
        <v>1667</v>
      </c>
      <c r="CE2093">
        <v>176117</v>
      </c>
      <c r="CF2093" t="s">
        <v>1668</v>
      </c>
      <c r="CG2093" t="s">
        <v>1669</v>
      </c>
      <c r="CH2093">
        <v>2016</v>
      </c>
    </row>
    <row r="2094" spans="1:86" hidden="1" x14ac:dyDescent="0.25">
      <c r="A2094">
        <v>330541</v>
      </c>
      <c r="B2094" t="s">
        <v>86</v>
      </c>
      <c r="D2094" t="s">
        <v>87</v>
      </c>
      <c r="K2094" t="s">
        <v>1645</v>
      </c>
      <c r="L2094" t="s">
        <v>1646</v>
      </c>
      <c r="M2094" t="s">
        <v>1647</v>
      </c>
      <c r="N2094" t="s">
        <v>1648</v>
      </c>
      <c r="O2094" t="s">
        <v>434</v>
      </c>
      <c r="P2094">
        <v>1</v>
      </c>
      <c r="U2094" t="s">
        <v>1345</v>
      </c>
      <c r="V2094" t="s">
        <v>91</v>
      </c>
      <c r="W2094" t="s">
        <v>107</v>
      </c>
      <c r="X2094" t="s">
        <v>93</v>
      </c>
      <c r="Y2094">
        <v>2</v>
      </c>
      <c r="Z2094" t="s">
        <v>94</v>
      </c>
      <c r="AB2094">
        <v>8.0000000000000004E-4</v>
      </c>
      <c r="AG2094" t="s">
        <v>95</v>
      </c>
      <c r="AX2094" t="s">
        <v>282</v>
      </c>
      <c r="AY2094" t="s">
        <v>485</v>
      </c>
      <c r="AZ2094" t="s">
        <v>486</v>
      </c>
      <c r="BA2094" t="s">
        <v>1649</v>
      </c>
      <c r="BC2094">
        <v>0.25</v>
      </c>
      <c r="BH2094" t="s">
        <v>99</v>
      </c>
      <c r="BO2094" t="s">
        <v>111</v>
      </c>
      <c r="CD2094" t="s">
        <v>1650</v>
      </c>
      <c r="CE2094">
        <v>157639</v>
      </c>
      <c r="CF2094" t="s">
        <v>1651</v>
      </c>
      <c r="CG2094" t="s">
        <v>1652</v>
      </c>
      <c r="CH2094">
        <v>2012</v>
      </c>
    </row>
    <row r="2095" spans="1:86" hidden="1" x14ac:dyDescent="0.25">
      <c r="A2095">
        <v>330541</v>
      </c>
      <c r="B2095" t="s">
        <v>86</v>
      </c>
      <c r="D2095" t="s">
        <v>87</v>
      </c>
      <c r="K2095" t="s">
        <v>1645</v>
      </c>
      <c r="L2095" t="s">
        <v>1646</v>
      </c>
      <c r="M2095" t="s">
        <v>1647</v>
      </c>
      <c r="N2095" t="s">
        <v>1648</v>
      </c>
      <c r="O2095" t="s">
        <v>434</v>
      </c>
      <c r="P2095">
        <v>1</v>
      </c>
      <c r="U2095" t="s">
        <v>1345</v>
      </c>
      <c r="V2095" t="s">
        <v>91</v>
      </c>
      <c r="W2095" t="s">
        <v>107</v>
      </c>
      <c r="X2095" t="s">
        <v>93</v>
      </c>
      <c r="Y2095">
        <v>2</v>
      </c>
      <c r="Z2095" t="s">
        <v>94</v>
      </c>
      <c r="AB2095">
        <v>8.0000000000000004E-4</v>
      </c>
      <c r="AG2095" t="s">
        <v>95</v>
      </c>
      <c r="AX2095" t="s">
        <v>282</v>
      </c>
      <c r="AY2095" t="s">
        <v>1674</v>
      </c>
      <c r="AZ2095" t="s">
        <v>486</v>
      </c>
      <c r="BA2095" t="s">
        <v>1649</v>
      </c>
      <c r="BC2095">
        <v>8.3299999999999999E-2</v>
      </c>
      <c r="BH2095" t="s">
        <v>99</v>
      </c>
      <c r="BO2095" t="s">
        <v>111</v>
      </c>
      <c r="CD2095" t="s">
        <v>1650</v>
      </c>
      <c r="CE2095">
        <v>157639</v>
      </c>
      <c r="CF2095" t="s">
        <v>1651</v>
      </c>
      <c r="CG2095" t="s">
        <v>1652</v>
      </c>
      <c r="CH2095">
        <v>2012</v>
      </c>
    </row>
    <row r="2096" spans="1:86" hidden="1" x14ac:dyDescent="0.25">
      <c r="A2096">
        <v>330541</v>
      </c>
      <c r="B2096" t="s">
        <v>86</v>
      </c>
      <c r="D2096" t="s">
        <v>87</v>
      </c>
      <c r="K2096" t="s">
        <v>1645</v>
      </c>
      <c r="L2096" t="s">
        <v>1646</v>
      </c>
      <c r="M2096" t="s">
        <v>1647</v>
      </c>
      <c r="N2096" t="s">
        <v>1648</v>
      </c>
      <c r="O2096" t="s">
        <v>434</v>
      </c>
      <c r="P2096">
        <v>1</v>
      </c>
      <c r="U2096" t="s">
        <v>1345</v>
      </c>
      <c r="V2096" t="s">
        <v>91</v>
      </c>
      <c r="W2096" t="s">
        <v>107</v>
      </c>
      <c r="X2096" t="s">
        <v>93</v>
      </c>
      <c r="Y2096">
        <v>2</v>
      </c>
      <c r="Z2096" t="s">
        <v>94</v>
      </c>
      <c r="AB2096">
        <v>8.0000000000000004E-4</v>
      </c>
      <c r="AG2096" t="s">
        <v>95</v>
      </c>
      <c r="AX2096" t="s">
        <v>615</v>
      </c>
      <c r="AY2096" t="s">
        <v>1675</v>
      </c>
      <c r="AZ2096" t="s">
        <v>486</v>
      </c>
      <c r="BA2096" t="s">
        <v>1671</v>
      </c>
      <c r="BC2096">
        <v>8.3299999999999999E-2</v>
      </c>
      <c r="BH2096" t="s">
        <v>99</v>
      </c>
      <c r="BO2096" t="s">
        <v>111</v>
      </c>
      <c r="CD2096" t="s">
        <v>1650</v>
      </c>
      <c r="CE2096">
        <v>157639</v>
      </c>
      <c r="CF2096" t="s">
        <v>1651</v>
      </c>
      <c r="CG2096" t="s">
        <v>1652</v>
      </c>
      <c r="CH2096">
        <v>2012</v>
      </c>
    </row>
    <row r="2097" spans="1:86" hidden="1" x14ac:dyDescent="0.25">
      <c r="A2097">
        <v>330541</v>
      </c>
      <c r="B2097" t="s">
        <v>86</v>
      </c>
      <c r="C2097" t="s">
        <v>104</v>
      </c>
      <c r="D2097" t="s">
        <v>115</v>
      </c>
      <c r="K2097" t="s">
        <v>1645</v>
      </c>
      <c r="L2097" t="s">
        <v>1646</v>
      </c>
      <c r="M2097" t="s">
        <v>1647</v>
      </c>
      <c r="N2097" t="s">
        <v>945</v>
      </c>
      <c r="P2097">
        <v>6</v>
      </c>
      <c r="U2097" t="s">
        <v>1111</v>
      </c>
      <c r="V2097" t="s">
        <v>91</v>
      </c>
      <c r="W2097" t="s">
        <v>107</v>
      </c>
      <c r="X2097" t="s">
        <v>93</v>
      </c>
      <c r="Y2097">
        <v>5</v>
      </c>
      <c r="Z2097" t="s">
        <v>94</v>
      </c>
      <c r="AB2097">
        <v>1.0000000000000001E-5</v>
      </c>
      <c r="AG2097" t="s">
        <v>95</v>
      </c>
      <c r="AX2097" t="s">
        <v>912</v>
      </c>
      <c r="AY2097" t="s">
        <v>1316</v>
      </c>
      <c r="AZ2097" t="s">
        <v>486</v>
      </c>
      <c r="BC2097">
        <v>1</v>
      </c>
      <c r="BH2097" t="s">
        <v>99</v>
      </c>
      <c r="BO2097" t="s">
        <v>111</v>
      </c>
      <c r="CD2097" t="s">
        <v>1667</v>
      </c>
      <c r="CE2097">
        <v>176117</v>
      </c>
      <c r="CF2097" t="s">
        <v>1668</v>
      </c>
      <c r="CG2097" t="s">
        <v>1669</v>
      </c>
      <c r="CH2097">
        <v>2016</v>
      </c>
    </row>
    <row r="2098" spans="1:86" hidden="1" x14ac:dyDescent="0.25">
      <c r="A2098">
        <v>330541</v>
      </c>
      <c r="B2098" t="s">
        <v>86</v>
      </c>
      <c r="D2098" t="s">
        <v>87</v>
      </c>
      <c r="K2098" t="s">
        <v>1645</v>
      </c>
      <c r="L2098" t="s">
        <v>1646</v>
      </c>
      <c r="M2098" t="s">
        <v>1647</v>
      </c>
      <c r="N2098" t="s">
        <v>1648</v>
      </c>
      <c r="O2098" t="s">
        <v>434</v>
      </c>
      <c r="P2098">
        <v>1</v>
      </c>
      <c r="U2098" t="s">
        <v>1345</v>
      </c>
      <c r="V2098" t="s">
        <v>91</v>
      </c>
      <c r="W2098" t="s">
        <v>107</v>
      </c>
      <c r="X2098" t="s">
        <v>93</v>
      </c>
      <c r="Y2098">
        <v>2</v>
      </c>
      <c r="Z2098" t="s">
        <v>94</v>
      </c>
      <c r="AB2098">
        <v>8.0000000000000004E-4</v>
      </c>
      <c r="AG2098" t="s">
        <v>95</v>
      </c>
      <c r="AX2098" t="s">
        <v>615</v>
      </c>
      <c r="AY2098" t="s">
        <v>1676</v>
      </c>
      <c r="AZ2098" t="s">
        <v>486</v>
      </c>
      <c r="BA2098" t="s">
        <v>1671</v>
      </c>
      <c r="BC2098">
        <v>8.3299999999999999E-2</v>
      </c>
      <c r="BH2098" t="s">
        <v>99</v>
      </c>
      <c r="BO2098" t="s">
        <v>111</v>
      </c>
      <c r="CD2098" t="s">
        <v>1650</v>
      </c>
      <c r="CE2098">
        <v>157639</v>
      </c>
      <c r="CF2098" t="s">
        <v>1651</v>
      </c>
      <c r="CG2098" t="s">
        <v>1652</v>
      </c>
      <c r="CH2098">
        <v>2012</v>
      </c>
    </row>
    <row r="2099" spans="1:86" hidden="1" x14ac:dyDescent="0.25">
      <c r="A2099">
        <v>330541</v>
      </c>
      <c r="B2099" t="s">
        <v>86</v>
      </c>
      <c r="D2099" t="s">
        <v>87</v>
      </c>
      <c r="K2099" t="s">
        <v>1645</v>
      </c>
      <c r="L2099" t="s">
        <v>1646</v>
      </c>
      <c r="M2099" t="s">
        <v>1647</v>
      </c>
      <c r="N2099" t="s">
        <v>1648</v>
      </c>
      <c r="O2099" t="s">
        <v>434</v>
      </c>
      <c r="P2099">
        <v>1</v>
      </c>
      <c r="U2099" t="s">
        <v>1345</v>
      </c>
      <c r="V2099" t="s">
        <v>91</v>
      </c>
      <c r="W2099" t="s">
        <v>107</v>
      </c>
      <c r="X2099" t="s">
        <v>93</v>
      </c>
      <c r="Y2099">
        <v>2</v>
      </c>
      <c r="Z2099" t="s">
        <v>94</v>
      </c>
      <c r="AB2099">
        <v>8.0000000000000004E-4</v>
      </c>
      <c r="AG2099" t="s">
        <v>95</v>
      </c>
      <c r="AX2099" t="s">
        <v>615</v>
      </c>
      <c r="AY2099" t="s">
        <v>1677</v>
      </c>
      <c r="AZ2099" t="s">
        <v>486</v>
      </c>
      <c r="BA2099" t="s">
        <v>1671</v>
      </c>
      <c r="BC2099">
        <v>8.3299999999999999E-2</v>
      </c>
      <c r="BH2099" t="s">
        <v>99</v>
      </c>
      <c r="BO2099" t="s">
        <v>111</v>
      </c>
      <c r="CD2099" t="s">
        <v>1650</v>
      </c>
      <c r="CE2099">
        <v>157639</v>
      </c>
      <c r="CF2099" t="s">
        <v>1651</v>
      </c>
      <c r="CG2099" t="s">
        <v>1652</v>
      </c>
      <c r="CH2099">
        <v>2012</v>
      </c>
    </row>
    <row r="2100" spans="1:86" hidden="1" x14ac:dyDescent="0.25">
      <c r="A2100">
        <v>330541</v>
      </c>
      <c r="B2100" t="s">
        <v>86</v>
      </c>
      <c r="D2100" t="s">
        <v>115</v>
      </c>
      <c r="K2100" t="s">
        <v>1645</v>
      </c>
      <c r="L2100" t="s">
        <v>1646</v>
      </c>
      <c r="M2100" t="s">
        <v>1647</v>
      </c>
      <c r="N2100" t="s">
        <v>1064</v>
      </c>
      <c r="P2100">
        <v>3</v>
      </c>
      <c r="U2100" t="s">
        <v>1345</v>
      </c>
      <c r="V2100" t="s">
        <v>507</v>
      </c>
      <c r="W2100" t="s">
        <v>107</v>
      </c>
      <c r="X2100" t="s">
        <v>93</v>
      </c>
      <c r="Y2100">
        <v>3</v>
      </c>
      <c r="Z2100" t="s">
        <v>137</v>
      </c>
      <c r="AB2100">
        <v>2.9999999999999997E-4</v>
      </c>
      <c r="AG2100" t="s">
        <v>95</v>
      </c>
      <c r="AX2100" t="s">
        <v>615</v>
      </c>
      <c r="AY2100" t="s">
        <v>1678</v>
      </c>
      <c r="AZ2100" t="s">
        <v>555</v>
      </c>
      <c r="BC2100">
        <v>77</v>
      </c>
      <c r="BH2100" t="s">
        <v>99</v>
      </c>
      <c r="BO2100" t="s">
        <v>111</v>
      </c>
      <c r="CD2100" t="s">
        <v>1679</v>
      </c>
      <c r="CE2100">
        <v>102069</v>
      </c>
      <c r="CF2100" t="s">
        <v>1680</v>
      </c>
      <c r="CG2100" t="s">
        <v>1681</v>
      </c>
      <c r="CH2100">
        <v>2007</v>
      </c>
    </row>
    <row r="2101" spans="1:86" hidden="1" x14ac:dyDescent="0.25">
      <c r="A2101">
        <v>330541</v>
      </c>
      <c r="B2101" t="s">
        <v>86</v>
      </c>
      <c r="D2101" t="s">
        <v>115</v>
      </c>
      <c r="K2101" t="s">
        <v>1645</v>
      </c>
      <c r="L2101" t="s">
        <v>1646</v>
      </c>
      <c r="M2101" t="s">
        <v>1647</v>
      </c>
      <c r="N2101" t="s">
        <v>1064</v>
      </c>
      <c r="P2101">
        <v>3</v>
      </c>
      <c r="U2101" t="s">
        <v>1345</v>
      </c>
      <c r="V2101" t="s">
        <v>507</v>
      </c>
      <c r="W2101" t="s">
        <v>107</v>
      </c>
      <c r="X2101" t="s">
        <v>93</v>
      </c>
      <c r="Y2101">
        <v>3</v>
      </c>
      <c r="Z2101" t="s">
        <v>137</v>
      </c>
      <c r="AB2101">
        <v>2.9999999999999997E-4</v>
      </c>
      <c r="AG2101" t="s">
        <v>95</v>
      </c>
      <c r="AX2101" t="s">
        <v>707</v>
      </c>
      <c r="AY2101" t="s">
        <v>1682</v>
      </c>
      <c r="AZ2101" t="s">
        <v>555</v>
      </c>
      <c r="BA2101" t="s">
        <v>1671</v>
      </c>
      <c r="BC2101">
        <v>28</v>
      </c>
      <c r="BH2101" t="s">
        <v>99</v>
      </c>
      <c r="BO2101" t="s">
        <v>111</v>
      </c>
      <c r="CD2101" t="s">
        <v>1679</v>
      </c>
      <c r="CE2101">
        <v>102069</v>
      </c>
      <c r="CF2101" t="s">
        <v>1680</v>
      </c>
      <c r="CG2101" t="s">
        <v>1681</v>
      </c>
      <c r="CH2101">
        <v>2007</v>
      </c>
    </row>
    <row r="2102" spans="1:86" hidden="1" x14ac:dyDescent="0.25">
      <c r="A2102">
        <v>330541</v>
      </c>
      <c r="B2102" t="s">
        <v>86</v>
      </c>
      <c r="D2102" t="s">
        <v>115</v>
      </c>
      <c r="K2102" t="s">
        <v>1645</v>
      </c>
      <c r="L2102" t="s">
        <v>1646</v>
      </c>
      <c r="M2102" t="s">
        <v>1647</v>
      </c>
      <c r="N2102" t="s">
        <v>1064</v>
      </c>
      <c r="P2102">
        <v>3</v>
      </c>
      <c r="U2102" t="s">
        <v>1345</v>
      </c>
      <c r="V2102" t="s">
        <v>507</v>
      </c>
      <c r="W2102" t="s">
        <v>107</v>
      </c>
      <c r="X2102" t="s">
        <v>93</v>
      </c>
      <c r="Y2102">
        <v>3</v>
      </c>
      <c r="Z2102" t="s">
        <v>137</v>
      </c>
      <c r="AB2102">
        <v>3.0000000000000001E-3</v>
      </c>
      <c r="AG2102" t="s">
        <v>95</v>
      </c>
      <c r="AX2102" t="s">
        <v>615</v>
      </c>
      <c r="AY2102" t="s">
        <v>1678</v>
      </c>
      <c r="AZ2102" t="s">
        <v>555</v>
      </c>
      <c r="BA2102" t="s">
        <v>1683</v>
      </c>
      <c r="BC2102">
        <v>77</v>
      </c>
      <c r="BH2102" t="s">
        <v>99</v>
      </c>
      <c r="BO2102" t="s">
        <v>111</v>
      </c>
      <c r="CD2102" t="s">
        <v>1679</v>
      </c>
      <c r="CE2102">
        <v>102069</v>
      </c>
      <c r="CF2102" t="s">
        <v>1680</v>
      </c>
      <c r="CG2102" t="s">
        <v>1681</v>
      </c>
      <c r="CH2102">
        <v>2007</v>
      </c>
    </row>
    <row r="2103" spans="1:86" hidden="1" x14ac:dyDescent="0.25">
      <c r="A2103">
        <v>330541</v>
      </c>
      <c r="B2103" t="s">
        <v>86</v>
      </c>
      <c r="D2103" t="s">
        <v>87</v>
      </c>
      <c r="K2103" t="s">
        <v>1645</v>
      </c>
      <c r="L2103" t="s">
        <v>1646</v>
      </c>
      <c r="M2103" t="s">
        <v>1647</v>
      </c>
      <c r="N2103" t="s">
        <v>1648</v>
      </c>
      <c r="O2103" t="s">
        <v>434</v>
      </c>
      <c r="P2103">
        <v>1</v>
      </c>
      <c r="U2103" t="s">
        <v>1345</v>
      </c>
      <c r="V2103" t="s">
        <v>91</v>
      </c>
      <c r="W2103" t="s">
        <v>107</v>
      </c>
      <c r="X2103" t="s">
        <v>93</v>
      </c>
      <c r="Y2103">
        <v>2</v>
      </c>
      <c r="Z2103" t="s">
        <v>94</v>
      </c>
      <c r="AB2103">
        <v>8.0000000000000004E-4</v>
      </c>
      <c r="AG2103" t="s">
        <v>95</v>
      </c>
      <c r="AX2103" t="s">
        <v>615</v>
      </c>
      <c r="AY2103" t="s">
        <v>1676</v>
      </c>
      <c r="AZ2103" t="s">
        <v>586</v>
      </c>
      <c r="BA2103" t="s">
        <v>1671</v>
      </c>
      <c r="BC2103">
        <v>1</v>
      </c>
      <c r="BH2103" t="s">
        <v>99</v>
      </c>
      <c r="BO2103" t="s">
        <v>111</v>
      </c>
      <c r="CD2103" t="s">
        <v>1650</v>
      </c>
      <c r="CE2103">
        <v>157639</v>
      </c>
      <c r="CF2103" t="s">
        <v>1651</v>
      </c>
      <c r="CG2103" t="s">
        <v>1652</v>
      </c>
      <c r="CH2103">
        <v>2012</v>
      </c>
    </row>
    <row r="2104" spans="1:86" hidden="1" x14ac:dyDescent="0.25">
      <c r="A2104">
        <v>330541</v>
      </c>
      <c r="B2104" t="s">
        <v>86</v>
      </c>
      <c r="D2104" t="s">
        <v>87</v>
      </c>
      <c r="K2104" t="s">
        <v>1645</v>
      </c>
      <c r="L2104" t="s">
        <v>1646</v>
      </c>
      <c r="M2104" t="s">
        <v>1647</v>
      </c>
      <c r="N2104" t="s">
        <v>1648</v>
      </c>
      <c r="O2104" t="s">
        <v>434</v>
      </c>
      <c r="P2104">
        <v>1</v>
      </c>
      <c r="U2104" t="s">
        <v>1345</v>
      </c>
      <c r="V2104" t="s">
        <v>91</v>
      </c>
      <c r="W2104" t="s">
        <v>107</v>
      </c>
      <c r="X2104" t="s">
        <v>93</v>
      </c>
      <c r="Y2104">
        <v>2</v>
      </c>
      <c r="Z2104" t="s">
        <v>94</v>
      </c>
      <c r="AB2104">
        <v>8.0000000000000004E-4</v>
      </c>
      <c r="AG2104" t="s">
        <v>95</v>
      </c>
      <c r="AX2104" t="s">
        <v>615</v>
      </c>
      <c r="AY2104" t="s">
        <v>1670</v>
      </c>
      <c r="AZ2104" t="s">
        <v>586</v>
      </c>
      <c r="BA2104" t="s">
        <v>1671</v>
      </c>
      <c r="BC2104">
        <v>1</v>
      </c>
      <c r="BH2104" t="s">
        <v>99</v>
      </c>
      <c r="BO2104" t="s">
        <v>111</v>
      </c>
      <c r="CD2104" t="s">
        <v>1650</v>
      </c>
      <c r="CE2104">
        <v>157639</v>
      </c>
      <c r="CF2104" t="s">
        <v>1651</v>
      </c>
      <c r="CG2104" t="s">
        <v>1652</v>
      </c>
      <c r="CH2104">
        <v>2012</v>
      </c>
    </row>
    <row r="2105" spans="1:86" hidden="1" x14ac:dyDescent="0.25">
      <c r="A2105">
        <v>330541</v>
      </c>
      <c r="B2105" t="s">
        <v>86</v>
      </c>
      <c r="D2105" t="s">
        <v>87</v>
      </c>
      <c r="K2105" t="s">
        <v>1645</v>
      </c>
      <c r="L2105" t="s">
        <v>1646</v>
      </c>
      <c r="M2105" t="s">
        <v>1647</v>
      </c>
      <c r="N2105" t="s">
        <v>1648</v>
      </c>
      <c r="O2105" t="s">
        <v>434</v>
      </c>
      <c r="P2105">
        <v>1</v>
      </c>
      <c r="U2105" t="s">
        <v>1345</v>
      </c>
      <c r="V2105" t="s">
        <v>91</v>
      </c>
      <c r="W2105" t="s">
        <v>107</v>
      </c>
      <c r="X2105" t="s">
        <v>93</v>
      </c>
      <c r="Y2105">
        <v>2</v>
      </c>
      <c r="Z2105" t="s">
        <v>94</v>
      </c>
      <c r="AB2105">
        <v>8.0000000000000004E-4</v>
      </c>
      <c r="AG2105" t="s">
        <v>95</v>
      </c>
      <c r="AX2105" t="s">
        <v>615</v>
      </c>
      <c r="AY2105" t="s">
        <v>1676</v>
      </c>
      <c r="AZ2105" t="s">
        <v>586</v>
      </c>
      <c r="BA2105" t="s">
        <v>1671</v>
      </c>
      <c r="BC2105">
        <v>0.25</v>
      </c>
      <c r="BH2105" t="s">
        <v>99</v>
      </c>
      <c r="BO2105" t="s">
        <v>111</v>
      </c>
      <c r="CD2105" t="s">
        <v>1650</v>
      </c>
      <c r="CE2105">
        <v>157639</v>
      </c>
      <c r="CF2105" t="s">
        <v>1651</v>
      </c>
      <c r="CG2105" t="s">
        <v>1652</v>
      </c>
      <c r="CH2105">
        <v>2012</v>
      </c>
    </row>
    <row r="2106" spans="1:86" hidden="1" x14ac:dyDescent="0.25">
      <c r="A2106">
        <v>330541</v>
      </c>
      <c r="B2106" t="s">
        <v>86</v>
      </c>
      <c r="D2106" t="s">
        <v>87</v>
      </c>
      <c r="K2106" t="s">
        <v>1645</v>
      </c>
      <c r="L2106" t="s">
        <v>1646</v>
      </c>
      <c r="M2106" t="s">
        <v>1647</v>
      </c>
      <c r="N2106" t="s">
        <v>1648</v>
      </c>
      <c r="O2106" t="s">
        <v>434</v>
      </c>
      <c r="P2106">
        <v>1</v>
      </c>
      <c r="U2106" t="s">
        <v>1345</v>
      </c>
      <c r="V2106" t="s">
        <v>91</v>
      </c>
      <c r="W2106" t="s">
        <v>107</v>
      </c>
      <c r="X2106" t="s">
        <v>93</v>
      </c>
      <c r="Y2106">
        <v>2</v>
      </c>
      <c r="Z2106" t="s">
        <v>94</v>
      </c>
      <c r="AB2106">
        <v>8.0000000000000004E-4</v>
      </c>
      <c r="AG2106" t="s">
        <v>95</v>
      </c>
      <c r="AX2106" t="s">
        <v>282</v>
      </c>
      <c r="AY2106" t="s">
        <v>1674</v>
      </c>
      <c r="AZ2106" t="s">
        <v>586</v>
      </c>
      <c r="BA2106" t="s">
        <v>1649</v>
      </c>
      <c r="BC2106">
        <v>1</v>
      </c>
      <c r="BH2106" t="s">
        <v>99</v>
      </c>
      <c r="BO2106" t="s">
        <v>111</v>
      </c>
      <c r="CD2106" t="s">
        <v>1650</v>
      </c>
      <c r="CE2106">
        <v>157639</v>
      </c>
      <c r="CF2106" t="s">
        <v>1651</v>
      </c>
      <c r="CG2106" t="s">
        <v>1652</v>
      </c>
      <c r="CH2106">
        <v>2012</v>
      </c>
    </row>
    <row r="2107" spans="1:86" hidden="1" x14ac:dyDescent="0.25">
      <c r="A2107">
        <v>330541</v>
      </c>
      <c r="B2107" t="s">
        <v>86</v>
      </c>
      <c r="D2107" t="s">
        <v>87</v>
      </c>
      <c r="K2107" t="s">
        <v>1645</v>
      </c>
      <c r="L2107" t="s">
        <v>1646</v>
      </c>
      <c r="M2107" t="s">
        <v>1647</v>
      </c>
      <c r="N2107" t="s">
        <v>1648</v>
      </c>
      <c r="O2107" t="s">
        <v>434</v>
      </c>
      <c r="P2107">
        <v>1</v>
      </c>
      <c r="U2107" t="s">
        <v>1345</v>
      </c>
      <c r="V2107" t="s">
        <v>91</v>
      </c>
      <c r="W2107" t="s">
        <v>107</v>
      </c>
      <c r="X2107" t="s">
        <v>93</v>
      </c>
      <c r="Y2107">
        <v>2</v>
      </c>
      <c r="Z2107" t="s">
        <v>94</v>
      </c>
      <c r="AB2107">
        <v>8.0000000000000004E-4</v>
      </c>
      <c r="AG2107" t="s">
        <v>95</v>
      </c>
      <c r="AX2107" t="s">
        <v>615</v>
      </c>
      <c r="AY2107" t="s">
        <v>1677</v>
      </c>
      <c r="AZ2107" t="s">
        <v>586</v>
      </c>
      <c r="BA2107" t="s">
        <v>1671</v>
      </c>
      <c r="BC2107">
        <v>0.25</v>
      </c>
      <c r="BH2107" t="s">
        <v>99</v>
      </c>
      <c r="BO2107" t="s">
        <v>111</v>
      </c>
      <c r="CD2107" t="s">
        <v>1650</v>
      </c>
      <c r="CE2107">
        <v>157639</v>
      </c>
      <c r="CF2107" t="s">
        <v>1651</v>
      </c>
      <c r="CG2107" t="s">
        <v>1652</v>
      </c>
      <c r="CH2107">
        <v>2012</v>
      </c>
    </row>
    <row r="2108" spans="1:86" hidden="1" x14ac:dyDescent="0.25">
      <c r="A2108">
        <v>330541</v>
      </c>
      <c r="B2108" t="s">
        <v>86</v>
      </c>
      <c r="D2108" t="s">
        <v>87</v>
      </c>
      <c r="K2108" t="s">
        <v>1645</v>
      </c>
      <c r="L2108" t="s">
        <v>1646</v>
      </c>
      <c r="M2108" t="s">
        <v>1647</v>
      </c>
      <c r="N2108" t="s">
        <v>1648</v>
      </c>
      <c r="O2108" t="s">
        <v>434</v>
      </c>
      <c r="P2108">
        <v>1</v>
      </c>
      <c r="U2108" t="s">
        <v>1345</v>
      </c>
      <c r="V2108" t="s">
        <v>91</v>
      </c>
      <c r="W2108" t="s">
        <v>107</v>
      </c>
      <c r="X2108" t="s">
        <v>93</v>
      </c>
      <c r="Y2108">
        <v>2</v>
      </c>
      <c r="Z2108" t="s">
        <v>94</v>
      </c>
      <c r="AB2108">
        <v>8.0000000000000004E-4</v>
      </c>
      <c r="AG2108" t="s">
        <v>95</v>
      </c>
      <c r="AX2108" t="s">
        <v>615</v>
      </c>
      <c r="AY2108" t="s">
        <v>1675</v>
      </c>
      <c r="AZ2108" t="s">
        <v>586</v>
      </c>
      <c r="BA2108" t="s">
        <v>1671</v>
      </c>
      <c r="BC2108">
        <v>1</v>
      </c>
      <c r="BH2108" t="s">
        <v>99</v>
      </c>
      <c r="BO2108" t="s">
        <v>111</v>
      </c>
      <c r="CD2108" t="s">
        <v>1650</v>
      </c>
      <c r="CE2108">
        <v>157639</v>
      </c>
      <c r="CF2108" t="s">
        <v>1651</v>
      </c>
      <c r="CG2108" t="s">
        <v>1652</v>
      </c>
      <c r="CH2108">
        <v>2012</v>
      </c>
    </row>
    <row r="2109" spans="1:86" hidden="1" x14ac:dyDescent="0.25">
      <c r="A2109">
        <v>330541</v>
      </c>
      <c r="B2109" t="s">
        <v>86</v>
      </c>
      <c r="D2109" t="s">
        <v>87</v>
      </c>
      <c r="K2109" t="s">
        <v>1645</v>
      </c>
      <c r="L2109" t="s">
        <v>1646</v>
      </c>
      <c r="M2109" t="s">
        <v>1647</v>
      </c>
      <c r="N2109" t="s">
        <v>1648</v>
      </c>
      <c r="O2109" t="s">
        <v>434</v>
      </c>
      <c r="P2109">
        <v>1</v>
      </c>
      <c r="U2109" t="s">
        <v>1345</v>
      </c>
      <c r="V2109" t="s">
        <v>91</v>
      </c>
      <c r="W2109" t="s">
        <v>107</v>
      </c>
      <c r="X2109" t="s">
        <v>93</v>
      </c>
      <c r="Y2109">
        <v>2</v>
      </c>
      <c r="Z2109" t="s">
        <v>94</v>
      </c>
      <c r="AB2109">
        <v>8.0000000000000004E-4</v>
      </c>
      <c r="AG2109" t="s">
        <v>95</v>
      </c>
      <c r="AX2109" t="s">
        <v>615</v>
      </c>
      <c r="AY2109" t="s">
        <v>1675</v>
      </c>
      <c r="AZ2109" t="s">
        <v>586</v>
      </c>
      <c r="BA2109" t="s">
        <v>1671</v>
      </c>
      <c r="BC2109">
        <v>0.25</v>
      </c>
      <c r="BH2109" t="s">
        <v>99</v>
      </c>
      <c r="BO2109" t="s">
        <v>111</v>
      </c>
      <c r="CD2109" t="s">
        <v>1650</v>
      </c>
      <c r="CE2109">
        <v>157639</v>
      </c>
      <c r="CF2109" t="s">
        <v>1651</v>
      </c>
      <c r="CG2109" t="s">
        <v>1652</v>
      </c>
      <c r="CH2109">
        <v>2012</v>
      </c>
    </row>
    <row r="2110" spans="1:86" hidden="1" x14ac:dyDescent="0.25">
      <c r="A2110">
        <v>330541</v>
      </c>
      <c r="B2110" t="s">
        <v>86</v>
      </c>
      <c r="D2110" t="s">
        <v>87</v>
      </c>
      <c r="K2110" t="s">
        <v>1645</v>
      </c>
      <c r="L2110" t="s">
        <v>1646</v>
      </c>
      <c r="M2110" t="s">
        <v>1647</v>
      </c>
      <c r="N2110" t="s">
        <v>1648</v>
      </c>
      <c r="O2110" t="s">
        <v>434</v>
      </c>
      <c r="P2110">
        <v>1</v>
      </c>
      <c r="U2110" t="s">
        <v>1345</v>
      </c>
      <c r="V2110" t="s">
        <v>91</v>
      </c>
      <c r="W2110" t="s">
        <v>107</v>
      </c>
      <c r="X2110" t="s">
        <v>93</v>
      </c>
      <c r="Y2110">
        <v>2</v>
      </c>
      <c r="Z2110" t="s">
        <v>94</v>
      </c>
      <c r="AB2110">
        <v>8.0000000000000004E-4</v>
      </c>
      <c r="AG2110" t="s">
        <v>95</v>
      </c>
      <c r="AX2110" t="s">
        <v>615</v>
      </c>
      <c r="AY2110" t="s">
        <v>1684</v>
      </c>
      <c r="AZ2110" t="s">
        <v>586</v>
      </c>
      <c r="BA2110" t="s">
        <v>1671</v>
      </c>
      <c r="BC2110">
        <v>1</v>
      </c>
      <c r="BH2110" t="s">
        <v>99</v>
      </c>
      <c r="BO2110" t="s">
        <v>111</v>
      </c>
      <c r="CD2110" t="s">
        <v>1650</v>
      </c>
      <c r="CE2110">
        <v>157639</v>
      </c>
      <c r="CF2110" t="s">
        <v>1651</v>
      </c>
      <c r="CG2110" t="s">
        <v>1652</v>
      </c>
      <c r="CH2110">
        <v>2012</v>
      </c>
    </row>
    <row r="2111" spans="1:86" hidden="1" x14ac:dyDescent="0.25">
      <c r="A2111">
        <v>330541</v>
      </c>
      <c r="B2111" t="s">
        <v>86</v>
      </c>
      <c r="D2111" t="s">
        <v>87</v>
      </c>
      <c r="K2111" t="s">
        <v>1645</v>
      </c>
      <c r="L2111" t="s">
        <v>1646</v>
      </c>
      <c r="M2111" t="s">
        <v>1647</v>
      </c>
      <c r="N2111" t="s">
        <v>1648</v>
      </c>
      <c r="O2111" t="s">
        <v>434</v>
      </c>
      <c r="P2111">
        <v>1</v>
      </c>
      <c r="U2111" t="s">
        <v>1345</v>
      </c>
      <c r="V2111" t="s">
        <v>91</v>
      </c>
      <c r="W2111" t="s">
        <v>107</v>
      </c>
      <c r="X2111" t="s">
        <v>93</v>
      </c>
      <c r="Y2111">
        <v>2</v>
      </c>
      <c r="Z2111" t="s">
        <v>94</v>
      </c>
      <c r="AB2111">
        <v>8.0000000000000004E-4</v>
      </c>
      <c r="AG2111" t="s">
        <v>95</v>
      </c>
      <c r="AX2111" t="s">
        <v>615</v>
      </c>
      <c r="AY2111" t="s">
        <v>1670</v>
      </c>
      <c r="AZ2111" t="s">
        <v>586</v>
      </c>
      <c r="BA2111" t="s">
        <v>1671</v>
      </c>
      <c r="BC2111">
        <v>8.3299999999999999E-2</v>
      </c>
      <c r="BH2111" t="s">
        <v>99</v>
      </c>
      <c r="BO2111" t="s">
        <v>111</v>
      </c>
      <c r="CD2111" t="s">
        <v>1650</v>
      </c>
      <c r="CE2111">
        <v>157639</v>
      </c>
      <c r="CF2111" t="s">
        <v>1651</v>
      </c>
      <c r="CG2111" t="s">
        <v>1652</v>
      </c>
      <c r="CH2111">
        <v>2012</v>
      </c>
    </row>
    <row r="2112" spans="1:86" hidden="1" x14ac:dyDescent="0.25">
      <c r="A2112">
        <v>330541</v>
      </c>
      <c r="B2112" t="s">
        <v>86</v>
      </c>
      <c r="D2112" t="s">
        <v>87</v>
      </c>
      <c r="K2112" t="s">
        <v>1645</v>
      </c>
      <c r="L2112" t="s">
        <v>1646</v>
      </c>
      <c r="M2112" t="s">
        <v>1647</v>
      </c>
      <c r="N2112" t="s">
        <v>1648</v>
      </c>
      <c r="O2112" t="s">
        <v>434</v>
      </c>
      <c r="P2112">
        <v>1</v>
      </c>
      <c r="U2112" t="s">
        <v>1345</v>
      </c>
      <c r="V2112" t="s">
        <v>91</v>
      </c>
      <c r="W2112" t="s">
        <v>107</v>
      </c>
      <c r="X2112" t="s">
        <v>93</v>
      </c>
      <c r="Y2112">
        <v>2</v>
      </c>
      <c r="Z2112" t="s">
        <v>94</v>
      </c>
      <c r="AB2112">
        <v>8.0000000000000004E-4</v>
      </c>
      <c r="AG2112" t="s">
        <v>95</v>
      </c>
      <c r="AX2112" t="s">
        <v>615</v>
      </c>
      <c r="AY2112" t="s">
        <v>1677</v>
      </c>
      <c r="AZ2112" t="s">
        <v>586</v>
      </c>
      <c r="BA2112" t="s">
        <v>1671</v>
      </c>
      <c r="BC2112">
        <v>1</v>
      </c>
      <c r="BH2112" t="s">
        <v>99</v>
      </c>
      <c r="BO2112" t="s">
        <v>111</v>
      </c>
      <c r="CD2112" t="s">
        <v>1650</v>
      </c>
      <c r="CE2112">
        <v>157639</v>
      </c>
      <c r="CF2112" t="s">
        <v>1651</v>
      </c>
      <c r="CG2112" t="s">
        <v>1652</v>
      </c>
      <c r="CH2112">
        <v>2012</v>
      </c>
    </row>
    <row r="2113" spans="1:86" hidden="1" x14ac:dyDescent="0.25">
      <c r="A2113">
        <v>330541</v>
      </c>
      <c r="B2113" t="s">
        <v>86</v>
      </c>
      <c r="D2113" t="s">
        <v>87</v>
      </c>
      <c r="K2113" t="s">
        <v>1645</v>
      </c>
      <c r="L2113" t="s">
        <v>1646</v>
      </c>
      <c r="M2113" t="s">
        <v>1647</v>
      </c>
      <c r="N2113" t="s">
        <v>1648</v>
      </c>
      <c r="O2113" t="s">
        <v>434</v>
      </c>
      <c r="P2113">
        <v>1</v>
      </c>
      <c r="U2113" t="s">
        <v>1345</v>
      </c>
      <c r="V2113" t="s">
        <v>91</v>
      </c>
      <c r="W2113" t="s">
        <v>107</v>
      </c>
      <c r="X2113" t="s">
        <v>93</v>
      </c>
      <c r="Y2113">
        <v>2</v>
      </c>
      <c r="Z2113" t="s">
        <v>94</v>
      </c>
      <c r="AB2113">
        <v>8.0000000000000004E-4</v>
      </c>
      <c r="AG2113" t="s">
        <v>95</v>
      </c>
      <c r="AX2113" t="s">
        <v>615</v>
      </c>
      <c r="AY2113" t="s">
        <v>1684</v>
      </c>
      <c r="AZ2113" t="s">
        <v>586</v>
      </c>
      <c r="BA2113" t="s">
        <v>1671</v>
      </c>
      <c r="BC2113">
        <v>8.3299999999999999E-2</v>
      </c>
      <c r="BH2113" t="s">
        <v>99</v>
      </c>
      <c r="BO2113" t="s">
        <v>111</v>
      </c>
      <c r="CD2113" t="s">
        <v>1650</v>
      </c>
      <c r="CE2113">
        <v>157639</v>
      </c>
      <c r="CF2113" t="s">
        <v>1651</v>
      </c>
      <c r="CG2113" t="s">
        <v>1652</v>
      </c>
      <c r="CH2113">
        <v>2012</v>
      </c>
    </row>
    <row r="2114" spans="1:86" hidden="1" x14ac:dyDescent="0.25">
      <c r="A2114">
        <v>330541</v>
      </c>
      <c r="B2114" t="s">
        <v>86</v>
      </c>
      <c r="C2114" t="s">
        <v>104</v>
      </c>
      <c r="D2114" t="s">
        <v>115</v>
      </c>
      <c r="K2114" t="s">
        <v>1645</v>
      </c>
      <c r="L2114" t="s">
        <v>1646</v>
      </c>
      <c r="M2114" t="s">
        <v>1647</v>
      </c>
      <c r="N2114" t="s">
        <v>945</v>
      </c>
      <c r="P2114">
        <v>6</v>
      </c>
      <c r="U2114" t="s">
        <v>1111</v>
      </c>
      <c r="V2114" t="s">
        <v>91</v>
      </c>
      <c r="W2114" t="s">
        <v>107</v>
      </c>
      <c r="X2114" t="s">
        <v>93</v>
      </c>
      <c r="Y2114">
        <v>5</v>
      </c>
      <c r="Z2114" t="s">
        <v>94</v>
      </c>
      <c r="AB2114">
        <v>1.9999999999999999E-6</v>
      </c>
      <c r="AG2114" t="s">
        <v>95</v>
      </c>
      <c r="AX2114" t="s">
        <v>201</v>
      </c>
      <c r="AY2114" t="s">
        <v>490</v>
      </c>
      <c r="AZ2114" t="s">
        <v>586</v>
      </c>
      <c r="BC2114">
        <v>0.25</v>
      </c>
      <c r="BH2114" t="s">
        <v>99</v>
      </c>
      <c r="BO2114" t="s">
        <v>111</v>
      </c>
      <c r="CD2114" t="s">
        <v>1667</v>
      </c>
      <c r="CE2114">
        <v>176117</v>
      </c>
      <c r="CF2114" t="s">
        <v>1668</v>
      </c>
      <c r="CG2114" t="s">
        <v>1669</v>
      </c>
      <c r="CH2114">
        <v>2016</v>
      </c>
    </row>
    <row r="2115" spans="1:86" hidden="1" x14ac:dyDescent="0.25">
      <c r="A2115">
        <v>330541</v>
      </c>
      <c r="B2115" t="s">
        <v>86</v>
      </c>
      <c r="C2115" t="s">
        <v>104</v>
      </c>
      <c r="D2115" t="s">
        <v>115</v>
      </c>
      <c r="K2115" t="s">
        <v>1645</v>
      </c>
      <c r="L2115" t="s">
        <v>1646</v>
      </c>
      <c r="M2115" t="s">
        <v>1647</v>
      </c>
      <c r="N2115" t="s">
        <v>945</v>
      </c>
      <c r="P2115">
        <v>6</v>
      </c>
      <c r="U2115" t="s">
        <v>1111</v>
      </c>
      <c r="V2115" t="s">
        <v>91</v>
      </c>
      <c r="W2115" t="s">
        <v>107</v>
      </c>
      <c r="X2115" t="s">
        <v>93</v>
      </c>
      <c r="Y2115">
        <v>5</v>
      </c>
      <c r="Z2115" t="s">
        <v>94</v>
      </c>
      <c r="AB2115">
        <v>1.9999999999999999E-6</v>
      </c>
      <c r="AG2115" t="s">
        <v>95</v>
      </c>
      <c r="AX2115" t="s">
        <v>912</v>
      </c>
      <c r="AY2115" t="s">
        <v>1316</v>
      </c>
      <c r="AZ2115" t="s">
        <v>586</v>
      </c>
      <c r="BC2115">
        <v>1</v>
      </c>
      <c r="BH2115" t="s">
        <v>99</v>
      </c>
      <c r="BO2115" t="s">
        <v>111</v>
      </c>
      <c r="CD2115" t="s">
        <v>1667</v>
      </c>
      <c r="CE2115">
        <v>176117</v>
      </c>
      <c r="CF2115" t="s">
        <v>1668</v>
      </c>
      <c r="CG2115" t="s">
        <v>1669</v>
      </c>
      <c r="CH2115">
        <v>2016</v>
      </c>
    </row>
    <row r="2116" spans="1:86" hidden="1" x14ac:dyDescent="0.25">
      <c r="A2116">
        <v>330541</v>
      </c>
      <c r="B2116" t="s">
        <v>86</v>
      </c>
      <c r="C2116" t="s">
        <v>104</v>
      </c>
      <c r="D2116" t="s">
        <v>115</v>
      </c>
      <c r="K2116" t="s">
        <v>1645</v>
      </c>
      <c r="L2116" t="s">
        <v>1646</v>
      </c>
      <c r="M2116" t="s">
        <v>1647</v>
      </c>
      <c r="N2116" t="s">
        <v>945</v>
      </c>
      <c r="P2116">
        <v>6</v>
      </c>
      <c r="U2116" t="s">
        <v>1111</v>
      </c>
      <c r="V2116" t="s">
        <v>91</v>
      </c>
      <c r="W2116" t="s">
        <v>107</v>
      </c>
      <c r="X2116" t="s">
        <v>93</v>
      </c>
      <c r="Y2116">
        <v>5</v>
      </c>
      <c r="Z2116" t="s">
        <v>94</v>
      </c>
      <c r="AB2116">
        <v>1.9999999999999999E-6</v>
      </c>
      <c r="AG2116" t="s">
        <v>95</v>
      </c>
      <c r="AX2116" t="s">
        <v>615</v>
      </c>
      <c r="AY2116" t="s">
        <v>1666</v>
      </c>
      <c r="AZ2116" t="s">
        <v>586</v>
      </c>
      <c r="BC2116">
        <v>0.25</v>
      </c>
      <c r="BH2116" t="s">
        <v>99</v>
      </c>
      <c r="BO2116" t="s">
        <v>111</v>
      </c>
      <c r="CD2116" t="s">
        <v>1667</v>
      </c>
      <c r="CE2116">
        <v>176117</v>
      </c>
      <c r="CF2116" t="s">
        <v>1668</v>
      </c>
      <c r="CG2116" t="s">
        <v>1669</v>
      </c>
      <c r="CH2116">
        <v>2016</v>
      </c>
    </row>
    <row r="2117" spans="1:86" hidden="1" x14ac:dyDescent="0.25">
      <c r="A2117">
        <v>330541</v>
      </c>
      <c r="B2117" t="s">
        <v>86</v>
      </c>
      <c r="D2117" t="s">
        <v>87</v>
      </c>
      <c r="K2117" t="s">
        <v>1645</v>
      </c>
      <c r="L2117" t="s">
        <v>1646</v>
      </c>
      <c r="M2117" t="s">
        <v>1647</v>
      </c>
      <c r="N2117" t="s">
        <v>1648</v>
      </c>
      <c r="O2117" t="s">
        <v>434</v>
      </c>
      <c r="P2117">
        <v>1</v>
      </c>
      <c r="U2117" t="s">
        <v>1345</v>
      </c>
      <c r="V2117" t="s">
        <v>91</v>
      </c>
      <c r="W2117" t="s">
        <v>107</v>
      </c>
      <c r="X2117" t="s">
        <v>93</v>
      </c>
      <c r="Y2117">
        <v>2</v>
      </c>
      <c r="Z2117" t="s">
        <v>94</v>
      </c>
      <c r="AB2117">
        <v>8.0000000000000004E-4</v>
      </c>
      <c r="AG2117" t="s">
        <v>95</v>
      </c>
      <c r="AX2117" t="s">
        <v>282</v>
      </c>
      <c r="AY2117" t="s">
        <v>485</v>
      </c>
      <c r="AZ2117" t="s">
        <v>586</v>
      </c>
      <c r="BA2117" t="s">
        <v>1649</v>
      </c>
      <c r="BC2117">
        <v>8.3299999999999999E-2</v>
      </c>
      <c r="BH2117" t="s">
        <v>99</v>
      </c>
      <c r="BO2117" t="s">
        <v>111</v>
      </c>
      <c r="CD2117" t="s">
        <v>1650</v>
      </c>
      <c r="CE2117">
        <v>157639</v>
      </c>
      <c r="CF2117" t="s">
        <v>1651</v>
      </c>
      <c r="CG2117" t="s">
        <v>1652</v>
      </c>
      <c r="CH2117">
        <v>2012</v>
      </c>
    </row>
    <row r="2118" spans="1:86" hidden="1" x14ac:dyDescent="0.25">
      <c r="A2118">
        <v>330541</v>
      </c>
      <c r="B2118" t="s">
        <v>86</v>
      </c>
      <c r="D2118" t="s">
        <v>87</v>
      </c>
      <c r="K2118" t="s">
        <v>1645</v>
      </c>
      <c r="L2118" t="s">
        <v>1646</v>
      </c>
      <c r="M2118" t="s">
        <v>1647</v>
      </c>
      <c r="N2118" t="s">
        <v>1648</v>
      </c>
      <c r="O2118" t="s">
        <v>434</v>
      </c>
      <c r="P2118">
        <v>1</v>
      </c>
      <c r="U2118" t="s">
        <v>1345</v>
      </c>
      <c r="V2118" t="s">
        <v>91</v>
      </c>
      <c r="W2118" t="s">
        <v>107</v>
      </c>
      <c r="X2118" t="s">
        <v>93</v>
      </c>
      <c r="Y2118">
        <v>2</v>
      </c>
      <c r="Z2118" t="s">
        <v>94</v>
      </c>
      <c r="AB2118">
        <v>8.0000000000000004E-4</v>
      </c>
      <c r="AG2118" t="s">
        <v>95</v>
      </c>
      <c r="AX2118" t="s">
        <v>615</v>
      </c>
      <c r="AY2118" t="s">
        <v>1673</v>
      </c>
      <c r="AZ2118" t="s">
        <v>586</v>
      </c>
      <c r="BA2118" t="s">
        <v>1671</v>
      </c>
      <c r="BC2118">
        <v>0.25</v>
      </c>
      <c r="BH2118" t="s">
        <v>99</v>
      </c>
      <c r="BO2118" t="s">
        <v>111</v>
      </c>
      <c r="CD2118" t="s">
        <v>1650</v>
      </c>
      <c r="CE2118">
        <v>157639</v>
      </c>
      <c r="CF2118" t="s">
        <v>1651</v>
      </c>
      <c r="CG2118" t="s">
        <v>1652</v>
      </c>
      <c r="CH2118">
        <v>2012</v>
      </c>
    </row>
    <row r="2119" spans="1:86" hidden="1" x14ac:dyDescent="0.25">
      <c r="A2119">
        <v>330541</v>
      </c>
      <c r="B2119" t="s">
        <v>86</v>
      </c>
      <c r="D2119" t="s">
        <v>87</v>
      </c>
      <c r="K2119" t="s">
        <v>1645</v>
      </c>
      <c r="L2119" t="s">
        <v>1646</v>
      </c>
      <c r="M2119" t="s">
        <v>1647</v>
      </c>
      <c r="N2119" t="s">
        <v>1648</v>
      </c>
      <c r="O2119" t="s">
        <v>434</v>
      </c>
      <c r="P2119">
        <v>1</v>
      </c>
      <c r="U2119" t="s">
        <v>1345</v>
      </c>
      <c r="V2119" t="s">
        <v>91</v>
      </c>
      <c r="W2119" t="s">
        <v>107</v>
      </c>
      <c r="X2119" t="s">
        <v>93</v>
      </c>
      <c r="Y2119">
        <v>2</v>
      </c>
      <c r="Z2119" t="s">
        <v>94</v>
      </c>
      <c r="AB2119">
        <v>8.0000000000000004E-4</v>
      </c>
      <c r="AG2119" t="s">
        <v>95</v>
      </c>
      <c r="AX2119" t="s">
        <v>615</v>
      </c>
      <c r="AY2119" t="s">
        <v>1684</v>
      </c>
      <c r="AZ2119" t="s">
        <v>586</v>
      </c>
      <c r="BA2119" t="s">
        <v>1671</v>
      </c>
      <c r="BC2119">
        <v>0.25</v>
      </c>
      <c r="BH2119" t="s">
        <v>99</v>
      </c>
      <c r="BO2119" t="s">
        <v>111</v>
      </c>
      <c r="CD2119" t="s">
        <v>1650</v>
      </c>
      <c r="CE2119">
        <v>157639</v>
      </c>
      <c r="CF2119" t="s">
        <v>1651</v>
      </c>
      <c r="CG2119" t="s">
        <v>1652</v>
      </c>
      <c r="CH2119">
        <v>2012</v>
      </c>
    </row>
    <row r="2120" spans="1:86" hidden="1" x14ac:dyDescent="0.25">
      <c r="A2120">
        <v>330541</v>
      </c>
      <c r="B2120" t="s">
        <v>86</v>
      </c>
      <c r="F2120">
        <v>96.8</v>
      </c>
      <c r="K2120" t="s">
        <v>1658</v>
      </c>
      <c r="L2120" t="s">
        <v>1659</v>
      </c>
      <c r="M2120" t="s">
        <v>1647</v>
      </c>
      <c r="N2120" t="s">
        <v>1648</v>
      </c>
      <c r="V2120" t="s">
        <v>257</v>
      </c>
      <c r="W2120" t="s">
        <v>107</v>
      </c>
      <c r="X2120" t="s">
        <v>93</v>
      </c>
      <c r="Z2120" t="s">
        <v>94</v>
      </c>
      <c r="AA2120" t="s">
        <v>234</v>
      </c>
      <c r="AB2120">
        <v>2.4</v>
      </c>
      <c r="AG2120" t="s">
        <v>95</v>
      </c>
      <c r="AX2120" t="s">
        <v>980</v>
      </c>
      <c r="AY2120" t="s">
        <v>981</v>
      </c>
      <c r="AZ2120" t="s">
        <v>609</v>
      </c>
      <c r="BC2120">
        <v>4</v>
      </c>
      <c r="BH2120" t="s">
        <v>99</v>
      </c>
      <c r="BO2120" t="s">
        <v>111</v>
      </c>
      <c r="CD2120" t="s">
        <v>366</v>
      </c>
      <c r="CE2120">
        <v>344</v>
      </c>
      <c r="CF2120" t="s">
        <v>367</v>
      </c>
      <c r="CG2120" t="s">
        <v>368</v>
      </c>
      <c r="CH2120">
        <v>1992</v>
      </c>
    </row>
    <row r="2121" spans="1:86" hidden="1" x14ac:dyDescent="0.25">
      <c r="A2121">
        <v>330541</v>
      </c>
      <c r="B2121" t="s">
        <v>86</v>
      </c>
      <c r="D2121" t="s">
        <v>115</v>
      </c>
      <c r="K2121" t="s">
        <v>1645</v>
      </c>
      <c r="L2121" t="s">
        <v>1646</v>
      </c>
      <c r="M2121" t="s">
        <v>1647</v>
      </c>
      <c r="N2121" t="s">
        <v>1064</v>
      </c>
      <c r="P2121">
        <v>3</v>
      </c>
      <c r="U2121" t="s">
        <v>1345</v>
      </c>
      <c r="V2121" t="s">
        <v>507</v>
      </c>
      <c r="W2121" t="s">
        <v>107</v>
      </c>
      <c r="X2121" t="s">
        <v>93</v>
      </c>
      <c r="Y2121">
        <v>3</v>
      </c>
      <c r="Z2121" t="s">
        <v>137</v>
      </c>
      <c r="AB2121">
        <v>2.9999999999999997E-4</v>
      </c>
      <c r="AG2121" t="s">
        <v>95</v>
      </c>
      <c r="AX2121" t="s">
        <v>615</v>
      </c>
      <c r="AY2121" t="s">
        <v>1678</v>
      </c>
      <c r="AZ2121" t="s">
        <v>609</v>
      </c>
      <c r="BA2121" t="s">
        <v>1683</v>
      </c>
      <c r="BC2121">
        <v>77</v>
      </c>
      <c r="BH2121" t="s">
        <v>99</v>
      </c>
      <c r="BO2121" t="s">
        <v>111</v>
      </c>
      <c r="CD2121" t="s">
        <v>1679</v>
      </c>
      <c r="CE2121">
        <v>102069</v>
      </c>
      <c r="CF2121" t="s">
        <v>1680</v>
      </c>
      <c r="CG2121" t="s">
        <v>1681</v>
      </c>
      <c r="CH2121">
        <v>2007</v>
      </c>
    </row>
    <row r="2122" spans="1:86" hidden="1" x14ac:dyDescent="0.25">
      <c r="A2122">
        <v>330541</v>
      </c>
      <c r="B2122" t="s">
        <v>86</v>
      </c>
      <c r="D2122" t="s">
        <v>115</v>
      </c>
      <c r="K2122" t="s">
        <v>1653</v>
      </c>
      <c r="L2122" t="s">
        <v>1654</v>
      </c>
      <c r="M2122" t="s">
        <v>1647</v>
      </c>
      <c r="N2122" t="s">
        <v>945</v>
      </c>
      <c r="P2122">
        <v>48</v>
      </c>
      <c r="U2122" t="s">
        <v>213</v>
      </c>
      <c r="V2122" t="s">
        <v>507</v>
      </c>
      <c r="W2122" t="s">
        <v>107</v>
      </c>
      <c r="X2122" t="s">
        <v>93</v>
      </c>
      <c r="Y2122">
        <v>5</v>
      </c>
      <c r="Z2122" t="s">
        <v>137</v>
      </c>
      <c r="AB2122"/>
      <c r="AD2122">
        <v>0.25</v>
      </c>
      <c r="AF2122">
        <v>5</v>
      </c>
      <c r="AG2122" t="s">
        <v>95</v>
      </c>
      <c r="AX2122" t="s">
        <v>196</v>
      </c>
      <c r="AY2122" t="s">
        <v>817</v>
      </c>
      <c r="BA2122" t="s">
        <v>179</v>
      </c>
      <c r="BC2122">
        <v>12</v>
      </c>
      <c r="BH2122" t="s">
        <v>99</v>
      </c>
      <c r="BO2122" t="s">
        <v>111</v>
      </c>
      <c r="CD2122" t="s">
        <v>1685</v>
      </c>
      <c r="CE2122">
        <v>4811</v>
      </c>
      <c r="CF2122" t="s">
        <v>1686</v>
      </c>
      <c r="CG2122" t="s">
        <v>1687</v>
      </c>
      <c r="CH2122">
        <v>1961</v>
      </c>
    </row>
    <row r="2123" spans="1:86" hidden="1" x14ac:dyDescent="0.25">
      <c r="A2123">
        <v>330541</v>
      </c>
      <c r="B2123" t="s">
        <v>86</v>
      </c>
      <c r="D2123" t="s">
        <v>115</v>
      </c>
      <c r="K2123" t="s">
        <v>1653</v>
      </c>
      <c r="L2123" t="s">
        <v>1654</v>
      </c>
      <c r="M2123" t="s">
        <v>1647</v>
      </c>
      <c r="N2123" t="s">
        <v>945</v>
      </c>
      <c r="P2123">
        <v>2</v>
      </c>
      <c r="U2123" t="s">
        <v>99</v>
      </c>
      <c r="V2123" t="s">
        <v>507</v>
      </c>
      <c r="W2123" t="s">
        <v>107</v>
      </c>
      <c r="X2123" t="s">
        <v>93</v>
      </c>
      <c r="Z2123" t="s">
        <v>137</v>
      </c>
      <c r="AB2123"/>
      <c r="AD2123">
        <v>0.25</v>
      </c>
      <c r="AF2123">
        <v>5</v>
      </c>
      <c r="AG2123" t="s">
        <v>95</v>
      </c>
      <c r="AX2123" t="s">
        <v>196</v>
      </c>
      <c r="AY2123" t="s">
        <v>197</v>
      </c>
      <c r="BC2123">
        <v>12</v>
      </c>
      <c r="BH2123" t="s">
        <v>99</v>
      </c>
      <c r="BO2123" t="s">
        <v>111</v>
      </c>
      <c r="CD2123" t="s">
        <v>1655</v>
      </c>
      <c r="CE2123">
        <v>2400</v>
      </c>
      <c r="CF2123" t="s">
        <v>1656</v>
      </c>
      <c r="CG2123" t="s">
        <v>1657</v>
      </c>
      <c r="CH2123">
        <v>1969</v>
      </c>
    </row>
    <row r="2124" spans="1:86" hidden="1" x14ac:dyDescent="0.25">
      <c r="A2124">
        <v>330541</v>
      </c>
      <c r="B2124" t="s">
        <v>86</v>
      </c>
      <c r="D2124" t="s">
        <v>115</v>
      </c>
      <c r="K2124" t="s">
        <v>1653</v>
      </c>
      <c r="L2124" t="s">
        <v>1654</v>
      </c>
      <c r="M2124" t="s">
        <v>1647</v>
      </c>
      <c r="N2124" t="s">
        <v>1110</v>
      </c>
      <c r="V2124" t="s">
        <v>91</v>
      </c>
      <c r="W2124" t="s">
        <v>107</v>
      </c>
      <c r="X2124" t="s">
        <v>93</v>
      </c>
      <c r="Y2124">
        <v>5</v>
      </c>
      <c r="Z2124" t="s">
        <v>137</v>
      </c>
      <c r="AB2124"/>
      <c r="AD2124">
        <v>0.25</v>
      </c>
      <c r="AF2124">
        <v>5</v>
      </c>
      <c r="AG2124" t="s">
        <v>95</v>
      </c>
      <c r="AX2124" t="s">
        <v>912</v>
      </c>
      <c r="AY2124" t="s">
        <v>911</v>
      </c>
      <c r="BC2124">
        <v>2</v>
      </c>
      <c r="BH2124" t="s">
        <v>99</v>
      </c>
      <c r="BO2124" t="s">
        <v>111</v>
      </c>
      <c r="CD2124" t="s">
        <v>1685</v>
      </c>
      <c r="CE2124">
        <v>4811</v>
      </c>
      <c r="CF2124" t="s">
        <v>1686</v>
      </c>
      <c r="CG2124" t="s">
        <v>1687</v>
      </c>
      <c r="CH2124">
        <v>1961</v>
      </c>
    </row>
    <row r="2125" spans="1:86" hidden="1" x14ac:dyDescent="0.25">
      <c r="A2125">
        <v>330541</v>
      </c>
      <c r="B2125" t="s">
        <v>86</v>
      </c>
      <c r="D2125" t="s">
        <v>115</v>
      </c>
      <c r="K2125" t="s">
        <v>1645</v>
      </c>
      <c r="L2125" t="s">
        <v>1646</v>
      </c>
      <c r="M2125" t="s">
        <v>1647</v>
      </c>
      <c r="N2125" t="s">
        <v>1110</v>
      </c>
      <c r="V2125" t="s">
        <v>168</v>
      </c>
      <c r="W2125" t="s">
        <v>107</v>
      </c>
      <c r="X2125" t="s">
        <v>93</v>
      </c>
      <c r="Z2125" t="s">
        <v>137</v>
      </c>
      <c r="AB2125"/>
      <c r="AD2125">
        <v>1E-3</v>
      </c>
      <c r="AF2125">
        <v>1</v>
      </c>
      <c r="AG2125" t="s">
        <v>95</v>
      </c>
      <c r="AX2125" t="s">
        <v>912</v>
      </c>
      <c r="AY2125" t="s">
        <v>913</v>
      </c>
      <c r="BE2125">
        <v>8.3299999999999999E-2</v>
      </c>
      <c r="BG2125">
        <v>1</v>
      </c>
      <c r="BH2125" t="s">
        <v>99</v>
      </c>
      <c r="BO2125" t="s">
        <v>111</v>
      </c>
      <c r="CD2125" t="s">
        <v>1663</v>
      </c>
      <c r="CE2125">
        <v>157883</v>
      </c>
      <c r="CF2125" t="s">
        <v>1664</v>
      </c>
      <c r="CG2125" t="s">
        <v>1665</v>
      </c>
      <c r="CH2125">
        <v>2011</v>
      </c>
    </row>
    <row r="2126" spans="1:86" hidden="1" x14ac:dyDescent="0.25">
      <c r="A2126">
        <v>330541</v>
      </c>
      <c r="B2126" t="s">
        <v>86</v>
      </c>
      <c r="D2126" t="s">
        <v>115</v>
      </c>
      <c r="K2126" t="s">
        <v>1653</v>
      </c>
      <c r="L2126" t="s">
        <v>1654</v>
      </c>
      <c r="M2126" t="s">
        <v>1647</v>
      </c>
      <c r="N2126" t="s">
        <v>945</v>
      </c>
      <c r="P2126">
        <v>48</v>
      </c>
      <c r="U2126" t="s">
        <v>213</v>
      </c>
      <c r="V2126" t="s">
        <v>507</v>
      </c>
      <c r="W2126" t="s">
        <v>107</v>
      </c>
      <c r="X2126" t="s">
        <v>93</v>
      </c>
      <c r="Y2126">
        <v>5</v>
      </c>
      <c r="Z2126" t="s">
        <v>137</v>
      </c>
      <c r="AB2126"/>
      <c r="AD2126">
        <v>0.25</v>
      </c>
      <c r="AF2126">
        <v>5</v>
      </c>
      <c r="AG2126" t="s">
        <v>95</v>
      </c>
      <c r="AX2126" t="s">
        <v>523</v>
      </c>
      <c r="AY2126" t="s">
        <v>523</v>
      </c>
      <c r="BB2126" t="s">
        <v>499</v>
      </c>
      <c r="BC2126">
        <v>12</v>
      </c>
      <c r="BH2126" t="s">
        <v>99</v>
      </c>
      <c r="BO2126" t="s">
        <v>111</v>
      </c>
      <c r="CD2126" t="s">
        <v>1685</v>
      </c>
      <c r="CE2126">
        <v>4811</v>
      </c>
      <c r="CF2126" t="s">
        <v>1686</v>
      </c>
      <c r="CG2126" t="s">
        <v>1687</v>
      </c>
      <c r="CH2126">
        <v>1961</v>
      </c>
    </row>
    <row r="2127" spans="1:86" hidden="1" x14ac:dyDescent="0.25">
      <c r="A2127">
        <v>330541</v>
      </c>
      <c r="B2127" t="s">
        <v>86</v>
      </c>
      <c r="D2127" t="s">
        <v>115</v>
      </c>
      <c r="F2127">
        <v>98</v>
      </c>
      <c r="K2127" t="s">
        <v>1688</v>
      </c>
      <c r="L2127" t="s">
        <v>1689</v>
      </c>
      <c r="M2127" t="s">
        <v>1690</v>
      </c>
      <c r="N2127" t="s">
        <v>945</v>
      </c>
      <c r="O2127" t="s">
        <v>234</v>
      </c>
      <c r="P2127">
        <v>24</v>
      </c>
      <c r="U2127" t="s">
        <v>213</v>
      </c>
      <c r="V2127" t="s">
        <v>168</v>
      </c>
      <c r="W2127" t="s">
        <v>107</v>
      </c>
      <c r="X2127" t="s">
        <v>93</v>
      </c>
      <c r="Z2127" t="s">
        <v>94</v>
      </c>
      <c r="AB2127">
        <v>12</v>
      </c>
      <c r="AD2127">
        <v>11</v>
      </c>
      <c r="AF2127">
        <v>14</v>
      </c>
      <c r="AG2127" t="s">
        <v>95</v>
      </c>
      <c r="AX2127" t="s">
        <v>523</v>
      </c>
      <c r="AY2127" t="s">
        <v>523</v>
      </c>
      <c r="AZ2127" t="s">
        <v>987</v>
      </c>
      <c r="BC2127">
        <v>2</v>
      </c>
      <c r="BH2127" t="s">
        <v>99</v>
      </c>
      <c r="BO2127" t="s">
        <v>111</v>
      </c>
      <c r="CD2127" t="s">
        <v>169</v>
      </c>
      <c r="CE2127">
        <v>156339</v>
      </c>
      <c r="CF2127" t="s">
        <v>170</v>
      </c>
      <c r="CG2127" t="s">
        <v>171</v>
      </c>
      <c r="CH2127">
        <v>2011</v>
      </c>
    </row>
    <row r="2128" spans="1:86" hidden="1" x14ac:dyDescent="0.25">
      <c r="A2128">
        <v>330541</v>
      </c>
      <c r="B2128" t="s">
        <v>86</v>
      </c>
      <c r="D2128" t="s">
        <v>115</v>
      </c>
      <c r="F2128">
        <v>98</v>
      </c>
      <c r="K2128" t="s">
        <v>1688</v>
      </c>
      <c r="L2128" t="s">
        <v>1689</v>
      </c>
      <c r="M2128" t="s">
        <v>1690</v>
      </c>
      <c r="N2128" t="s">
        <v>945</v>
      </c>
      <c r="O2128" t="s">
        <v>234</v>
      </c>
      <c r="P2128">
        <v>24</v>
      </c>
      <c r="U2128" t="s">
        <v>213</v>
      </c>
      <c r="V2128" t="s">
        <v>168</v>
      </c>
      <c r="W2128" t="s">
        <v>107</v>
      </c>
      <c r="X2128" t="s">
        <v>93</v>
      </c>
      <c r="Z2128" t="s">
        <v>94</v>
      </c>
      <c r="AB2128">
        <v>16</v>
      </c>
      <c r="AD2128">
        <v>15</v>
      </c>
      <c r="AF2128">
        <v>17</v>
      </c>
      <c r="AG2128" t="s">
        <v>95</v>
      </c>
      <c r="AX2128" t="s">
        <v>523</v>
      </c>
      <c r="AY2128" t="s">
        <v>523</v>
      </c>
      <c r="AZ2128" t="s">
        <v>475</v>
      </c>
      <c r="BC2128">
        <v>2</v>
      </c>
      <c r="BH2128" t="s">
        <v>99</v>
      </c>
      <c r="BO2128" t="s">
        <v>111</v>
      </c>
      <c r="CD2128" t="s">
        <v>169</v>
      </c>
      <c r="CE2128">
        <v>156339</v>
      </c>
      <c r="CF2128" t="s">
        <v>170</v>
      </c>
      <c r="CG2128" t="s">
        <v>171</v>
      </c>
      <c r="CH2128">
        <v>2011</v>
      </c>
    </row>
    <row r="2129" spans="1:86" hidden="1" x14ac:dyDescent="0.25">
      <c r="A2129">
        <v>330541</v>
      </c>
      <c r="B2129" t="s">
        <v>86</v>
      </c>
      <c r="D2129" t="s">
        <v>115</v>
      </c>
      <c r="F2129">
        <v>99</v>
      </c>
      <c r="K2129" t="s">
        <v>1691</v>
      </c>
      <c r="L2129" t="s">
        <v>1692</v>
      </c>
      <c r="M2129" t="s">
        <v>1690</v>
      </c>
      <c r="W2129" t="s">
        <v>92</v>
      </c>
      <c r="X2129" t="s">
        <v>93</v>
      </c>
      <c r="Y2129">
        <v>4</v>
      </c>
      <c r="Z2129" t="s">
        <v>94</v>
      </c>
      <c r="AB2129">
        <v>100</v>
      </c>
      <c r="AG2129" t="s">
        <v>95</v>
      </c>
      <c r="AX2129" t="s">
        <v>523</v>
      </c>
      <c r="AY2129" t="s">
        <v>523</v>
      </c>
      <c r="AZ2129" t="s">
        <v>486</v>
      </c>
      <c r="BC2129">
        <v>2</v>
      </c>
      <c r="BH2129" t="s">
        <v>99</v>
      </c>
      <c r="BO2129" t="s">
        <v>111</v>
      </c>
      <c r="CD2129" t="s">
        <v>1693</v>
      </c>
      <c r="CE2129">
        <v>184005</v>
      </c>
      <c r="CF2129" t="s">
        <v>1694</v>
      </c>
      <c r="CG2129" t="s">
        <v>1695</v>
      </c>
      <c r="CH2129">
        <v>2019</v>
      </c>
    </row>
    <row r="2130" spans="1:86" hidden="1" x14ac:dyDescent="0.25">
      <c r="A2130">
        <v>330541</v>
      </c>
      <c r="B2130" t="s">
        <v>86</v>
      </c>
      <c r="D2130" t="s">
        <v>115</v>
      </c>
      <c r="F2130">
        <v>99</v>
      </c>
      <c r="K2130" t="s">
        <v>1696</v>
      </c>
      <c r="L2130" t="s">
        <v>1692</v>
      </c>
      <c r="M2130" t="s">
        <v>1690</v>
      </c>
      <c r="W2130" t="s">
        <v>92</v>
      </c>
      <c r="X2130" t="s">
        <v>93</v>
      </c>
      <c r="Y2130">
        <v>4</v>
      </c>
      <c r="Z2130" t="s">
        <v>94</v>
      </c>
      <c r="AB2130">
        <v>100</v>
      </c>
      <c r="AG2130" t="s">
        <v>95</v>
      </c>
      <c r="AX2130" t="s">
        <v>523</v>
      </c>
      <c r="AY2130" t="s">
        <v>523</v>
      </c>
      <c r="AZ2130" t="s">
        <v>486</v>
      </c>
      <c r="BC2130">
        <v>2</v>
      </c>
      <c r="BH2130" t="s">
        <v>99</v>
      </c>
      <c r="BO2130" t="s">
        <v>111</v>
      </c>
      <c r="CD2130" t="s">
        <v>1693</v>
      </c>
      <c r="CE2130">
        <v>184005</v>
      </c>
      <c r="CF2130" t="s">
        <v>1694</v>
      </c>
      <c r="CG2130" t="s">
        <v>1695</v>
      </c>
      <c r="CH2130">
        <v>2019</v>
      </c>
    </row>
    <row r="2131" spans="1:86" hidden="1" x14ac:dyDescent="0.25">
      <c r="A2131">
        <v>330541</v>
      </c>
      <c r="B2131" t="s">
        <v>86</v>
      </c>
      <c r="D2131" t="s">
        <v>115</v>
      </c>
      <c r="F2131">
        <v>99</v>
      </c>
      <c r="K2131" t="s">
        <v>1696</v>
      </c>
      <c r="L2131" t="s">
        <v>1692</v>
      </c>
      <c r="M2131" t="s">
        <v>1690</v>
      </c>
      <c r="W2131" t="s">
        <v>92</v>
      </c>
      <c r="X2131" t="s">
        <v>93</v>
      </c>
      <c r="Y2131">
        <v>4</v>
      </c>
      <c r="Z2131" t="s">
        <v>94</v>
      </c>
      <c r="AB2131">
        <v>10</v>
      </c>
      <c r="AG2131" t="s">
        <v>95</v>
      </c>
      <c r="AX2131" t="s">
        <v>523</v>
      </c>
      <c r="AY2131" t="s">
        <v>523</v>
      </c>
      <c r="AZ2131" t="s">
        <v>586</v>
      </c>
      <c r="BC2131">
        <v>2</v>
      </c>
      <c r="BH2131" t="s">
        <v>99</v>
      </c>
      <c r="BO2131" t="s">
        <v>111</v>
      </c>
      <c r="CD2131" t="s">
        <v>1693</v>
      </c>
      <c r="CE2131">
        <v>184005</v>
      </c>
      <c r="CF2131" t="s">
        <v>1694</v>
      </c>
      <c r="CG2131" t="s">
        <v>1695</v>
      </c>
      <c r="CH2131">
        <v>2019</v>
      </c>
    </row>
    <row r="2132" spans="1:86" hidden="1" x14ac:dyDescent="0.25">
      <c r="A2132">
        <v>330541</v>
      </c>
      <c r="B2132" t="s">
        <v>86</v>
      </c>
      <c r="D2132" t="s">
        <v>115</v>
      </c>
      <c r="F2132">
        <v>99</v>
      </c>
      <c r="K2132" t="s">
        <v>1697</v>
      </c>
      <c r="L2132" t="s">
        <v>1692</v>
      </c>
      <c r="M2132" t="s">
        <v>1690</v>
      </c>
      <c r="W2132" t="s">
        <v>92</v>
      </c>
      <c r="X2132" t="s">
        <v>93</v>
      </c>
      <c r="Y2132">
        <v>4</v>
      </c>
      <c r="Z2132" t="s">
        <v>94</v>
      </c>
      <c r="AB2132">
        <v>100</v>
      </c>
      <c r="AG2132" t="s">
        <v>95</v>
      </c>
      <c r="AX2132" t="s">
        <v>523</v>
      </c>
      <c r="AY2132" t="s">
        <v>523</v>
      </c>
      <c r="AZ2132" t="s">
        <v>586</v>
      </c>
      <c r="BC2132">
        <v>2</v>
      </c>
      <c r="BH2132" t="s">
        <v>99</v>
      </c>
      <c r="BO2132" t="s">
        <v>111</v>
      </c>
      <c r="CD2132" t="s">
        <v>1693</v>
      </c>
      <c r="CE2132">
        <v>184005</v>
      </c>
      <c r="CF2132" t="s">
        <v>1694</v>
      </c>
      <c r="CG2132" t="s">
        <v>1695</v>
      </c>
      <c r="CH2132">
        <v>2019</v>
      </c>
    </row>
    <row r="2133" spans="1:86" hidden="1" x14ac:dyDescent="0.25">
      <c r="A2133">
        <v>330541</v>
      </c>
      <c r="B2133" t="s">
        <v>86</v>
      </c>
      <c r="D2133" t="s">
        <v>115</v>
      </c>
      <c r="F2133">
        <v>99</v>
      </c>
      <c r="K2133" t="s">
        <v>1698</v>
      </c>
      <c r="L2133" t="s">
        <v>1692</v>
      </c>
      <c r="M2133" t="s">
        <v>1690</v>
      </c>
      <c r="W2133" t="s">
        <v>92</v>
      </c>
      <c r="X2133" t="s">
        <v>93</v>
      </c>
      <c r="Y2133">
        <v>4</v>
      </c>
      <c r="Z2133" t="s">
        <v>94</v>
      </c>
      <c r="AB2133">
        <v>100</v>
      </c>
      <c r="AG2133" t="s">
        <v>95</v>
      </c>
      <c r="AX2133" t="s">
        <v>523</v>
      </c>
      <c r="AY2133" t="s">
        <v>523</v>
      </c>
      <c r="AZ2133" t="s">
        <v>586</v>
      </c>
      <c r="BC2133">
        <v>2</v>
      </c>
      <c r="BH2133" t="s">
        <v>99</v>
      </c>
      <c r="BO2133" t="s">
        <v>111</v>
      </c>
      <c r="CD2133" t="s">
        <v>1693</v>
      </c>
      <c r="CE2133">
        <v>184005</v>
      </c>
      <c r="CF2133" t="s">
        <v>1694</v>
      </c>
      <c r="CG2133" t="s">
        <v>1695</v>
      </c>
      <c r="CH2133">
        <v>2019</v>
      </c>
    </row>
    <row r="2134" spans="1:86" hidden="1" x14ac:dyDescent="0.25">
      <c r="A2134">
        <v>330541</v>
      </c>
      <c r="B2134" t="s">
        <v>86</v>
      </c>
      <c r="D2134" t="s">
        <v>115</v>
      </c>
      <c r="F2134">
        <v>99</v>
      </c>
      <c r="K2134" t="s">
        <v>1699</v>
      </c>
      <c r="L2134" t="s">
        <v>1692</v>
      </c>
      <c r="M2134" t="s">
        <v>1690</v>
      </c>
      <c r="W2134" t="s">
        <v>92</v>
      </c>
      <c r="X2134" t="s">
        <v>93</v>
      </c>
      <c r="Y2134">
        <v>4</v>
      </c>
      <c r="Z2134" t="s">
        <v>94</v>
      </c>
      <c r="AB2134">
        <v>100</v>
      </c>
      <c r="AG2134" t="s">
        <v>95</v>
      </c>
      <c r="AX2134" t="s">
        <v>523</v>
      </c>
      <c r="AY2134" t="s">
        <v>523</v>
      </c>
      <c r="AZ2134" t="s">
        <v>586</v>
      </c>
      <c r="BC2134">
        <v>2</v>
      </c>
      <c r="BH2134" t="s">
        <v>99</v>
      </c>
      <c r="BO2134" t="s">
        <v>111</v>
      </c>
      <c r="CD2134" t="s">
        <v>1693</v>
      </c>
      <c r="CE2134">
        <v>184005</v>
      </c>
      <c r="CF2134" t="s">
        <v>1694</v>
      </c>
      <c r="CG2134" t="s">
        <v>1695</v>
      </c>
      <c r="CH2134">
        <v>2019</v>
      </c>
    </row>
    <row r="2135" spans="1:86" hidden="1" x14ac:dyDescent="0.25">
      <c r="A2135">
        <v>330541</v>
      </c>
      <c r="B2135" t="s">
        <v>86</v>
      </c>
      <c r="D2135" t="s">
        <v>115</v>
      </c>
      <c r="F2135">
        <v>99</v>
      </c>
      <c r="K2135" t="s">
        <v>1691</v>
      </c>
      <c r="L2135" t="s">
        <v>1692</v>
      </c>
      <c r="M2135" t="s">
        <v>1690</v>
      </c>
      <c r="W2135" t="s">
        <v>92</v>
      </c>
      <c r="X2135" t="s">
        <v>93</v>
      </c>
      <c r="Y2135">
        <v>4</v>
      </c>
      <c r="Z2135" t="s">
        <v>94</v>
      </c>
      <c r="AB2135">
        <v>10</v>
      </c>
      <c r="AG2135" t="s">
        <v>95</v>
      </c>
      <c r="AX2135" t="s">
        <v>523</v>
      </c>
      <c r="AY2135" t="s">
        <v>523</v>
      </c>
      <c r="AZ2135" t="s">
        <v>586</v>
      </c>
      <c r="BC2135">
        <v>2</v>
      </c>
      <c r="BH2135" t="s">
        <v>99</v>
      </c>
      <c r="BO2135" t="s">
        <v>111</v>
      </c>
      <c r="CD2135" t="s">
        <v>1693</v>
      </c>
      <c r="CE2135">
        <v>184005</v>
      </c>
      <c r="CF2135" t="s">
        <v>1694</v>
      </c>
      <c r="CG2135" t="s">
        <v>1695</v>
      </c>
      <c r="CH2135">
        <v>2019</v>
      </c>
    </row>
    <row r="2136" spans="1:86" hidden="1" x14ac:dyDescent="0.25">
      <c r="A2136">
        <v>330541</v>
      </c>
      <c r="B2136" t="s">
        <v>86</v>
      </c>
      <c r="D2136" t="s">
        <v>115</v>
      </c>
      <c r="F2136">
        <v>99</v>
      </c>
      <c r="K2136" t="s">
        <v>1699</v>
      </c>
      <c r="L2136" t="s">
        <v>1692</v>
      </c>
      <c r="M2136" t="s">
        <v>1690</v>
      </c>
      <c r="W2136" t="s">
        <v>92</v>
      </c>
      <c r="X2136" t="s">
        <v>93</v>
      </c>
      <c r="Y2136">
        <v>4</v>
      </c>
      <c r="Z2136" t="s">
        <v>94</v>
      </c>
      <c r="AB2136"/>
      <c r="AD2136">
        <v>10</v>
      </c>
      <c r="AF2136">
        <v>100</v>
      </c>
      <c r="AG2136" t="s">
        <v>95</v>
      </c>
      <c r="AX2136" t="s">
        <v>523</v>
      </c>
      <c r="AY2136" t="s">
        <v>1700</v>
      </c>
      <c r="BC2136">
        <v>2</v>
      </c>
      <c r="BH2136" t="s">
        <v>99</v>
      </c>
      <c r="BO2136" t="s">
        <v>111</v>
      </c>
      <c r="CD2136" t="s">
        <v>1693</v>
      </c>
      <c r="CE2136">
        <v>184005</v>
      </c>
      <c r="CF2136" t="s">
        <v>1694</v>
      </c>
      <c r="CG2136" t="s">
        <v>1695</v>
      </c>
      <c r="CH2136">
        <v>2019</v>
      </c>
    </row>
    <row r="2137" spans="1:86" hidden="1" x14ac:dyDescent="0.25">
      <c r="A2137">
        <v>330541</v>
      </c>
      <c r="B2137" t="s">
        <v>86</v>
      </c>
      <c r="D2137" t="s">
        <v>115</v>
      </c>
      <c r="F2137">
        <v>99</v>
      </c>
      <c r="K2137" t="s">
        <v>1697</v>
      </c>
      <c r="L2137" t="s">
        <v>1692</v>
      </c>
      <c r="M2137" t="s">
        <v>1690</v>
      </c>
      <c r="W2137" t="s">
        <v>92</v>
      </c>
      <c r="X2137" t="s">
        <v>93</v>
      </c>
      <c r="Y2137">
        <v>4</v>
      </c>
      <c r="Z2137" t="s">
        <v>94</v>
      </c>
      <c r="AB2137"/>
      <c r="AD2137">
        <v>10</v>
      </c>
      <c r="AF2137">
        <v>100</v>
      </c>
      <c r="AG2137" t="s">
        <v>95</v>
      </c>
      <c r="AX2137" t="s">
        <v>523</v>
      </c>
      <c r="AY2137" t="s">
        <v>1700</v>
      </c>
      <c r="BC2137">
        <v>2</v>
      </c>
      <c r="BH2137" t="s">
        <v>99</v>
      </c>
      <c r="BO2137" t="s">
        <v>111</v>
      </c>
      <c r="CD2137" t="s">
        <v>1693</v>
      </c>
      <c r="CE2137">
        <v>184005</v>
      </c>
      <c r="CF2137" t="s">
        <v>1694</v>
      </c>
      <c r="CG2137" t="s">
        <v>1695</v>
      </c>
      <c r="CH2137">
        <v>2019</v>
      </c>
    </row>
    <row r="2138" spans="1:86" hidden="1" x14ac:dyDescent="0.25">
      <c r="A2138">
        <v>330541</v>
      </c>
      <c r="B2138" t="s">
        <v>86</v>
      </c>
      <c r="D2138" t="s">
        <v>115</v>
      </c>
      <c r="F2138">
        <v>99</v>
      </c>
      <c r="K2138" t="s">
        <v>1691</v>
      </c>
      <c r="L2138" t="s">
        <v>1692</v>
      </c>
      <c r="M2138" t="s">
        <v>1690</v>
      </c>
      <c r="W2138" t="s">
        <v>92</v>
      </c>
      <c r="X2138" t="s">
        <v>93</v>
      </c>
      <c r="Y2138">
        <v>4</v>
      </c>
      <c r="Z2138" t="s">
        <v>94</v>
      </c>
      <c r="AB2138"/>
      <c r="AD2138">
        <v>10</v>
      </c>
      <c r="AF2138">
        <v>100</v>
      </c>
      <c r="AG2138" t="s">
        <v>95</v>
      </c>
      <c r="AX2138" t="s">
        <v>523</v>
      </c>
      <c r="AY2138" t="s">
        <v>1700</v>
      </c>
      <c r="BC2138">
        <v>2</v>
      </c>
      <c r="BH2138" t="s">
        <v>99</v>
      </c>
      <c r="BO2138" t="s">
        <v>111</v>
      </c>
      <c r="CD2138" t="s">
        <v>1693</v>
      </c>
      <c r="CE2138">
        <v>184005</v>
      </c>
      <c r="CF2138" t="s">
        <v>1694</v>
      </c>
      <c r="CG2138" t="s">
        <v>1695</v>
      </c>
      <c r="CH2138">
        <v>2019</v>
      </c>
    </row>
    <row r="2139" spans="1:86" hidden="1" x14ac:dyDescent="0.25">
      <c r="A2139">
        <v>330541</v>
      </c>
      <c r="B2139" t="s">
        <v>86</v>
      </c>
      <c r="D2139" t="s">
        <v>115</v>
      </c>
      <c r="F2139">
        <v>99</v>
      </c>
      <c r="K2139" t="s">
        <v>1696</v>
      </c>
      <c r="L2139" t="s">
        <v>1692</v>
      </c>
      <c r="M2139" t="s">
        <v>1690</v>
      </c>
      <c r="W2139" t="s">
        <v>92</v>
      </c>
      <c r="X2139" t="s">
        <v>93</v>
      </c>
      <c r="Y2139">
        <v>4</v>
      </c>
      <c r="Z2139" t="s">
        <v>94</v>
      </c>
      <c r="AB2139"/>
      <c r="AD2139">
        <v>10</v>
      </c>
      <c r="AF2139">
        <v>100</v>
      </c>
      <c r="AG2139" t="s">
        <v>95</v>
      </c>
      <c r="AX2139" t="s">
        <v>523</v>
      </c>
      <c r="AY2139" t="s">
        <v>1700</v>
      </c>
      <c r="BC2139">
        <v>2</v>
      </c>
      <c r="BH2139" t="s">
        <v>99</v>
      </c>
      <c r="BO2139" t="s">
        <v>111</v>
      </c>
      <c r="CD2139" t="s">
        <v>1693</v>
      </c>
      <c r="CE2139">
        <v>184005</v>
      </c>
      <c r="CF2139" t="s">
        <v>1694</v>
      </c>
      <c r="CG2139" t="s">
        <v>1695</v>
      </c>
      <c r="CH2139">
        <v>2019</v>
      </c>
    </row>
    <row r="2140" spans="1:86" hidden="1" x14ac:dyDescent="0.25">
      <c r="A2140">
        <v>330541</v>
      </c>
      <c r="B2140" t="s">
        <v>86</v>
      </c>
      <c r="D2140" t="s">
        <v>115</v>
      </c>
      <c r="F2140">
        <v>99</v>
      </c>
      <c r="K2140" t="s">
        <v>1698</v>
      </c>
      <c r="L2140" t="s">
        <v>1692</v>
      </c>
      <c r="M2140" t="s">
        <v>1690</v>
      </c>
      <c r="W2140" t="s">
        <v>92</v>
      </c>
      <c r="X2140" t="s">
        <v>93</v>
      </c>
      <c r="Y2140">
        <v>4</v>
      </c>
      <c r="Z2140" t="s">
        <v>94</v>
      </c>
      <c r="AB2140"/>
      <c r="AD2140">
        <v>10</v>
      </c>
      <c r="AF2140">
        <v>100</v>
      </c>
      <c r="AG2140" t="s">
        <v>95</v>
      </c>
      <c r="AX2140" t="s">
        <v>523</v>
      </c>
      <c r="AY2140" t="s">
        <v>1700</v>
      </c>
      <c r="BC2140">
        <v>2</v>
      </c>
      <c r="BH2140" t="s">
        <v>99</v>
      </c>
      <c r="BO2140" t="s">
        <v>111</v>
      </c>
      <c r="CD2140" t="s">
        <v>1693</v>
      </c>
      <c r="CE2140">
        <v>184005</v>
      </c>
      <c r="CF2140" t="s">
        <v>1694</v>
      </c>
      <c r="CG2140" t="s">
        <v>1695</v>
      </c>
      <c r="CH2140">
        <v>2019</v>
      </c>
    </row>
    <row r="2141" spans="1:86" hidden="1" x14ac:dyDescent="0.25">
      <c r="A2141">
        <v>330541</v>
      </c>
      <c r="B2141" t="s">
        <v>86</v>
      </c>
      <c r="C2141" t="s">
        <v>183</v>
      </c>
      <c r="D2141" t="s">
        <v>87</v>
      </c>
      <c r="F2141">
        <v>99.8</v>
      </c>
      <c r="K2141" t="s">
        <v>1701</v>
      </c>
      <c r="L2141" t="s">
        <v>1702</v>
      </c>
      <c r="M2141" t="s">
        <v>1703</v>
      </c>
      <c r="N2141" t="s">
        <v>1064</v>
      </c>
      <c r="V2141" t="s">
        <v>507</v>
      </c>
      <c r="W2141" t="s">
        <v>92</v>
      </c>
      <c r="X2141" t="s">
        <v>93</v>
      </c>
      <c r="Z2141" t="s">
        <v>94</v>
      </c>
      <c r="AB2141">
        <v>3.5</v>
      </c>
      <c r="AG2141" t="s">
        <v>95</v>
      </c>
      <c r="AX2141" t="s">
        <v>196</v>
      </c>
      <c r="AY2141" t="s">
        <v>928</v>
      </c>
      <c r="AZ2141" t="s">
        <v>486</v>
      </c>
      <c r="BA2141" t="s">
        <v>179</v>
      </c>
      <c r="BC2141">
        <v>10</v>
      </c>
      <c r="BH2141" t="s">
        <v>99</v>
      </c>
      <c r="BO2141" t="s">
        <v>111</v>
      </c>
      <c r="CD2141" t="s">
        <v>1065</v>
      </c>
      <c r="CE2141">
        <v>20182</v>
      </c>
      <c r="CF2141" t="s">
        <v>1066</v>
      </c>
      <c r="CG2141" t="s">
        <v>1067</v>
      </c>
      <c r="CH2141">
        <v>1998</v>
      </c>
    </row>
    <row r="2142" spans="1:86" hidden="1" x14ac:dyDescent="0.25">
      <c r="A2142">
        <v>330541</v>
      </c>
      <c r="B2142" t="s">
        <v>86</v>
      </c>
      <c r="C2142" t="s">
        <v>183</v>
      </c>
      <c r="D2142" t="s">
        <v>87</v>
      </c>
      <c r="F2142">
        <v>99.8</v>
      </c>
      <c r="K2142" t="s">
        <v>1701</v>
      </c>
      <c r="L2142" t="s">
        <v>1702</v>
      </c>
      <c r="M2142" t="s">
        <v>1703</v>
      </c>
      <c r="N2142" t="s">
        <v>1064</v>
      </c>
      <c r="V2142" t="s">
        <v>507</v>
      </c>
      <c r="W2142" t="s">
        <v>92</v>
      </c>
      <c r="X2142" t="s">
        <v>93</v>
      </c>
      <c r="Z2142" t="s">
        <v>94</v>
      </c>
      <c r="AB2142">
        <v>1.8</v>
      </c>
      <c r="AG2142" t="s">
        <v>95</v>
      </c>
      <c r="AX2142" t="s">
        <v>196</v>
      </c>
      <c r="AY2142" t="s">
        <v>928</v>
      </c>
      <c r="AZ2142" t="s">
        <v>586</v>
      </c>
      <c r="BA2142" t="s">
        <v>179</v>
      </c>
      <c r="BC2142">
        <v>10</v>
      </c>
      <c r="BH2142" t="s">
        <v>99</v>
      </c>
      <c r="BO2142" t="s">
        <v>111</v>
      </c>
      <c r="CD2142" t="s">
        <v>1065</v>
      </c>
      <c r="CE2142">
        <v>20182</v>
      </c>
      <c r="CF2142" t="s">
        <v>1066</v>
      </c>
      <c r="CG2142" t="s">
        <v>1067</v>
      </c>
      <c r="CH2142">
        <v>1998</v>
      </c>
    </row>
    <row r="2143" spans="1:86" hidden="1" x14ac:dyDescent="0.25">
      <c r="A2143">
        <v>330541</v>
      </c>
      <c r="B2143" t="s">
        <v>86</v>
      </c>
      <c r="C2143" t="s">
        <v>183</v>
      </c>
      <c r="D2143" t="s">
        <v>87</v>
      </c>
      <c r="F2143">
        <v>99.8</v>
      </c>
      <c r="K2143" t="s">
        <v>1701</v>
      </c>
      <c r="L2143" t="s">
        <v>1702</v>
      </c>
      <c r="M2143" t="s">
        <v>1703</v>
      </c>
      <c r="N2143" t="s">
        <v>1064</v>
      </c>
      <c r="V2143" t="s">
        <v>507</v>
      </c>
      <c r="W2143" t="s">
        <v>92</v>
      </c>
      <c r="X2143" t="s">
        <v>93</v>
      </c>
      <c r="Z2143" t="s">
        <v>94</v>
      </c>
      <c r="AB2143"/>
      <c r="AD2143">
        <v>0.4</v>
      </c>
      <c r="AF2143">
        <v>29.1</v>
      </c>
      <c r="AG2143" t="s">
        <v>95</v>
      </c>
      <c r="AX2143" t="s">
        <v>523</v>
      </c>
      <c r="AY2143" t="s">
        <v>1013</v>
      </c>
      <c r="BC2143">
        <v>10</v>
      </c>
      <c r="BH2143" t="s">
        <v>99</v>
      </c>
      <c r="BO2143" t="s">
        <v>111</v>
      </c>
      <c r="CD2143" t="s">
        <v>1065</v>
      </c>
      <c r="CE2143">
        <v>20182</v>
      </c>
      <c r="CF2143" t="s">
        <v>1066</v>
      </c>
      <c r="CG2143" t="s">
        <v>1067</v>
      </c>
      <c r="CH2143">
        <v>1998</v>
      </c>
    </row>
    <row r="2144" spans="1:86" hidden="1" x14ac:dyDescent="0.25">
      <c r="A2144">
        <v>330541</v>
      </c>
      <c r="B2144" t="s">
        <v>86</v>
      </c>
      <c r="C2144" t="s">
        <v>183</v>
      </c>
      <c r="D2144" t="s">
        <v>87</v>
      </c>
      <c r="F2144">
        <v>99.8</v>
      </c>
      <c r="K2144" t="s">
        <v>1701</v>
      </c>
      <c r="L2144" t="s">
        <v>1702</v>
      </c>
      <c r="M2144" t="s">
        <v>1703</v>
      </c>
      <c r="N2144" t="s">
        <v>1064</v>
      </c>
      <c r="V2144" t="s">
        <v>507</v>
      </c>
      <c r="W2144" t="s">
        <v>92</v>
      </c>
      <c r="X2144" t="s">
        <v>93</v>
      </c>
      <c r="Z2144" t="s">
        <v>94</v>
      </c>
      <c r="AB2144"/>
      <c r="AD2144">
        <v>0.4</v>
      </c>
      <c r="AF2144">
        <v>29.1</v>
      </c>
      <c r="AG2144" t="s">
        <v>95</v>
      </c>
      <c r="AX2144" t="s">
        <v>602</v>
      </c>
      <c r="AY2144" t="s">
        <v>1085</v>
      </c>
      <c r="BC2144">
        <v>10</v>
      </c>
      <c r="BH2144" t="s">
        <v>99</v>
      </c>
      <c r="BO2144" t="s">
        <v>111</v>
      </c>
      <c r="CD2144" t="s">
        <v>1065</v>
      </c>
      <c r="CE2144">
        <v>20182</v>
      </c>
      <c r="CF2144" t="s">
        <v>1066</v>
      </c>
      <c r="CG2144" t="s">
        <v>1067</v>
      </c>
      <c r="CH2144">
        <v>1998</v>
      </c>
    </row>
    <row r="2146" spans="25:27" x14ac:dyDescent="0.25">
      <c r="Y2146" s="282" t="s">
        <v>2012</v>
      </c>
      <c r="Z2146" s="282" t="s">
        <v>214</v>
      </c>
      <c r="AA2146" s="282">
        <f>GEOMEAN(AB73:AB881)</f>
        <v>3.2577181524997625E-2</v>
      </c>
    </row>
    <row r="2147" spans="25:27" x14ac:dyDescent="0.25">
      <c r="Z2147" s="282" t="s">
        <v>422</v>
      </c>
      <c r="AA2147" s="282">
        <f>GEOMEAN(AB252:AB908)</f>
        <v>3.6583780188771169E-2</v>
      </c>
    </row>
    <row r="2149" spans="25:27" x14ac:dyDescent="0.25">
      <c r="Y2149" s="283" t="s">
        <v>2014</v>
      </c>
      <c r="Z2149" s="283" t="s">
        <v>412</v>
      </c>
      <c r="AA2149" s="283">
        <f>GEOMEAN(AB1495:AB1497)</f>
        <v>6.9929160000000001</v>
      </c>
    </row>
    <row r="2150" spans="25:27" x14ac:dyDescent="0.25">
      <c r="Z2150" s="283" t="s">
        <v>1267</v>
      </c>
      <c r="AA2150" s="283">
        <f>GEOMEAN(AB1489:AB1492)</f>
        <v>1.8254324934538766</v>
      </c>
    </row>
    <row r="2151" spans="25:27" x14ac:dyDescent="0.25">
      <c r="Z2151" s="283" t="s">
        <v>1307</v>
      </c>
      <c r="AA2151" s="283">
        <v>6.9835921120000002</v>
      </c>
    </row>
    <row r="2154" spans="25:27" x14ac:dyDescent="0.25">
      <c r="Y2154" s="284" t="s">
        <v>2015</v>
      </c>
      <c r="Z2154" s="284" t="s">
        <v>214</v>
      </c>
      <c r="AA2154" s="284">
        <f>GEOMEAN(AB1240:AB1294)</f>
        <v>2.1328080611752025</v>
      </c>
    </row>
    <row r="2155" spans="25:27" x14ac:dyDescent="0.25">
      <c r="Y2155" s="284"/>
      <c r="Z2155" s="284" t="s">
        <v>475</v>
      </c>
      <c r="AA2155" s="284">
        <f>GEOMEAN(AB1261:AB1294)</f>
        <v>1.7984547641146649</v>
      </c>
    </row>
  </sheetData>
  <autoFilter ref="A1:CH2144" xr:uid="{00000000-0001-0000-0000-000000000000}">
    <filterColumn colId="10">
      <filters>
        <filter val="Danio rerio"/>
        <filter val="Daphnia magna"/>
        <filter val="Raphidocelis subcapitata"/>
      </filters>
    </filterColumn>
  </autoFilter>
  <sortState xmlns:xlrd2="http://schemas.microsoft.com/office/spreadsheetml/2017/richdata2" ref="A2:CH2144">
    <sortCondition ref="A1:A2144"/>
  </sortState>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9113D9-D298-4E9F-AA25-A05F037336A3}">
  <dimension ref="A1:F19"/>
  <sheetViews>
    <sheetView tabSelected="1" workbookViewId="0">
      <selection activeCell="A19" sqref="A19"/>
    </sheetView>
  </sheetViews>
  <sheetFormatPr defaultRowHeight="15" x14ac:dyDescent="0.25"/>
  <cols>
    <col min="1" max="1" width="11.85546875" bestFit="1" customWidth="1"/>
  </cols>
  <sheetData>
    <row r="1" spans="1:6" x14ac:dyDescent="0.25">
      <c r="A1" s="282" t="s">
        <v>2009</v>
      </c>
      <c r="B1" s="282">
        <v>3.2577000000000002E-2</v>
      </c>
      <c r="C1" s="282" t="s">
        <v>2011</v>
      </c>
    </row>
    <row r="2" spans="1:6" x14ac:dyDescent="0.25">
      <c r="A2" s="282" t="s">
        <v>2010</v>
      </c>
      <c r="B2" s="282">
        <v>3.6583999999999998E-2</v>
      </c>
      <c r="C2" s="282" t="s">
        <v>2011</v>
      </c>
      <c r="F2" t="s">
        <v>2017</v>
      </c>
    </row>
    <row r="4" spans="1:6" x14ac:dyDescent="0.25">
      <c r="A4" s="282" t="s">
        <v>2012</v>
      </c>
    </row>
    <row r="7" spans="1:6" x14ac:dyDescent="0.25">
      <c r="A7" s="283" t="s">
        <v>412</v>
      </c>
      <c r="B7" s="283">
        <v>6.9929100000000002</v>
      </c>
      <c r="C7" s="283" t="s">
        <v>2011</v>
      </c>
      <c r="F7" t="s">
        <v>2018</v>
      </c>
    </row>
    <row r="8" spans="1:6" x14ac:dyDescent="0.25">
      <c r="A8" s="283" t="s">
        <v>1267</v>
      </c>
      <c r="B8" s="283">
        <v>1.8253999999999999</v>
      </c>
      <c r="C8" s="283" t="s">
        <v>2011</v>
      </c>
    </row>
    <row r="9" spans="1:6" x14ac:dyDescent="0.25">
      <c r="A9" s="283" t="s">
        <v>1307</v>
      </c>
      <c r="B9" s="283">
        <v>6.9835921120000002</v>
      </c>
      <c r="C9" s="283" t="s">
        <v>2011</v>
      </c>
    </row>
    <row r="11" spans="1:6" x14ac:dyDescent="0.25">
      <c r="A11" s="283" t="s">
        <v>1265</v>
      </c>
    </row>
    <row r="15" spans="1:6" x14ac:dyDescent="0.25">
      <c r="A15" s="284" t="s">
        <v>214</v>
      </c>
      <c r="B15" s="284">
        <v>2.1328079999999998</v>
      </c>
      <c r="C15" s="284" t="s">
        <v>2011</v>
      </c>
      <c r="F15" t="s">
        <v>2019</v>
      </c>
    </row>
    <row r="16" spans="1:6" x14ac:dyDescent="0.25">
      <c r="A16" s="284" t="s">
        <v>475</v>
      </c>
      <c r="B16" s="284">
        <v>1.7984549999999999</v>
      </c>
      <c r="C16" s="284" t="s">
        <v>2011</v>
      </c>
    </row>
    <row r="17" spans="1:2" x14ac:dyDescent="0.25">
      <c r="A17" s="284" t="s">
        <v>2013</v>
      </c>
      <c r="B17" s="284"/>
    </row>
    <row r="19" spans="1:2" x14ac:dyDescent="0.25">
      <c r="A19" s="285" t="s">
        <v>2016</v>
      </c>
    </row>
  </sheetData>
  <pageMargins left="0.7" right="0.7" top="0.75" bottom="0.75" header="0.3" footer="0.3"/>
  <drawing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280"/>
  <sheetViews>
    <sheetView workbookViewId="0">
      <pane xSplit="1" ySplit="1" topLeftCell="B2" activePane="bottomRight" state="frozen"/>
      <selection pane="topRight"/>
      <selection pane="bottomLeft"/>
      <selection pane="bottomRight"/>
    </sheetView>
  </sheetViews>
  <sheetFormatPr defaultRowHeight="15" x14ac:dyDescent="0.25"/>
  <sheetData>
    <row r="1" spans="1:8" x14ac:dyDescent="0.25">
      <c r="A1" t="s">
        <v>1704</v>
      </c>
      <c r="B1" t="s">
        <v>81</v>
      </c>
      <c r="C1" t="s">
        <v>83</v>
      </c>
      <c r="D1" t="s">
        <v>84</v>
      </c>
      <c r="E1" t="s">
        <v>1705</v>
      </c>
      <c r="F1" t="s">
        <v>1706</v>
      </c>
      <c r="G1" t="s">
        <v>1707</v>
      </c>
      <c r="H1" t="s">
        <v>1708</v>
      </c>
    </row>
    <row r="2" spans="1:8" x14ac:dyDescent="0.25">
      <c r="A2">
        <v>13640</v>
      </c>
      <c r="B2" t="s">
        <v>1496</v>
      </c>
      <c r="C2" t="s">
        <v>1497</v>
      </c>
      <c r="D2" t="s">
        <v>1498</v>
      </c>
      <c r="E2">
        <v>1986</v>
      </c>
      <c r="G2" t="s">
        <v>1709</v>
      </c>
      <c r="H2" s="1" t="str">
        <f>HYPERLINK("https://scholar.google.com/scholar?hl=en&amp;as_q=&amp;as_oq=&amp;as_eq=&amp;as_sauthors=&amp;as_publication=&amp;as_ylo=&amp;as_yhi=&amp;as_occt=title&amp;as_sdt=0%2C5&amp;as_epq=%22The+Effect+of+Diuron+and+Mitrobuzin+on+the+Root+Tip+Mitosis+of+Waterhyacinth+%28Eichhornia+crassipes+%28Mart.%29", "Google Scholar")</f>
        <v>Google Scholar</v>
      </c>
    </row>
    <row r="3" spans="1:8" x14ac:dyDescent="0.25">
      <c r="A3">
        <v>60691</v>
      </c>
      <c r="B3" t="s">
        <v>1139</v>
      </c>
      <c r="C3" t="s">
        <v>1140</v>
      </c>
      <c r="D3" t="s">
        <v>1141</v>
      </c>
      <c r="E3">
        <v>1976</v>
      </c>
      <c r="G3" t="s">
        <v>1710</v>
      </c>
      <c r="H3" s="2" t="str">
        <f>HYPERLINK("https://scholar.google.com/scholar?hl=en&amp;as_q=&amp;as_oq=&amp;as_eq=&amp;as_sauthors=&amp;as_publication=&amp;as_ylo=&amp;as_yhi=&amp;as_occt=title&amp;as_sdt=0%2C5&amp;as_epq=%22The+Effectiveness+of+Predators+of+Rice+Field+Mosquitoes+in+Relation+to+Pesticide+Use+in+Rice+Culture", "Google Scholar")</f>
        <v>Google Scholar</v>
      </c>
    </row>
    <row r="4" spans="1:8" x14ac:dyDescent="0.25">
      <c r="A4">
        <v>161689</v>
      </c>
      <c r="B4" t="s">
        <v>1639</v>
      </c>
      <c r="C4" t="s">
        <v>1640</v>
      </c>
      <c r="D4" t="s">
        <v>1641</v>
      </c>
      <c r="E4">
        <v>2012</v>
      </c>
      <c r="G4" t="s">
        <v>1711</v>
      </c>
      <c r="H4" s="3" t="str">
        <f>HYPERLINK("https://scholar.google.com/scholar?hl=en&amp;as_q=&amp;as_oq=&amp;as_eq=&amp;as_sauthors=&amp;as_publication=&amp;as_ylo=&amp;as_yhi=&amp;as_occt=title&amp;as_sdt=0%2C5&amp;as_epq=%22Genotoxicity+of+Diuron+and+Glyphosate+in+Oyster+Spermatozoa+and+Embryos", "Google Scholar")</f>
        <v>Google Scholar</v>
      </c>
    </row>
    <row r="5" spans="1:8" x14ac:dyDescent="0.25">
      <c r="A5">
        <v>101992</v>
      </c>
      <c r="B5" t="s">
        <v>439</v>
      </c>
      <c r="C5" t="s">
        <v>440</v>
      </c>
      <c r="D5" t="s">
        <v>441</v>
      </c>
      <c r="E5">
        <v>2004</v>
      </c>
      <c r="G5" t="s">
        <v>1712</v>
      </c>
      <c r="H5" s="4" t="str">
        <f>HYPERLINK("https://scholar.google.com/scholar?hl=en&amp;as_q=&amp;as_oq=&amp;as_eq=&amp;as_sauthors=&amp;as_publication=&amp;as_ylo=&amp;as_yhi=&amp;as_occt=title&amp;as_sdt=0%2C5&amp;as_epq=%22Differing+Involvement+of+Sulfoquinovosyl+Diacylglycerol+in+Photosystem+II+in+Two+Species+of+Unicellular+Cyanobac", "Google Scholar")</f>
        <v>Google Scholar</v>
      </c>
    </row>
    <row r="6" spans="1:8" x14ac:dyDescent="0.25">
      <c r="A6">
        <v>180287</v>
      </c>
      <c r="B6" t="s">
        <v>112</v>
      </c>
      <c r="C6" t="s">
        <v>113</v>
      </c>
      <c r="D6" t="s">
        <v>114</v>
      </c>
      <c r="E6">
        <v>2004</v>
      </c>
      <c r="G6" t="s">
        <v>1713</v>
      </c>
      <c r="H6" s="5" t="str">
        <f>HYPERLINK("https://scholar.google.com/scholar?hl=en&amp;as_q=&amp;as_oq=&amp;as_eq=&amp;as_sauthors=&amp;as_publication=&amp;as_ylo=&amp;as_yhi=&amp;as_occt=title&amp;as_sdt=0%2C5&amp;as_epq=%22Predictability+of+the+Mixture+Toxicity+of+12+Similarly+Acting+Congeneric+Inhibitors+of+Photosystem+II+in+Marine+", "Google Scholar")</f>
        <v>Google Scholar</v>
      </c>
    </row>
    <row r="7" spans="1:8" x14ac:dyDescent="0.25">
      <c r="A7">
        <v>156339</v>
      </c>
      <c r="B7" t="s">
        <v>169</v>
      </c>
      <c r="C7" t="s">
        <v>170</v>
      </c>
      <c r="D7" t="s">
        <v>171</v>
      </c>
      <c r="E7">
        <v>2011</v>
      </c>
      <c r="G7" t="s">
        <v>1714</v>
      </c>
      <c r="H7" s="6" t="str">
        <f>HYPERLINK("https://scholar.google.com/scholar?hl=en&amp;as_q=&amp;as_oq=&amp;as_eq=&amp;as_sauthors=&amp;as_publication=&amp;as_ylo=&amp;as_yhi=&amp;as_occt=title&amp;as_sdt=0%2C5&amp;as_epq=%22Acute+Toxicities+of+Five+Commonly+Used+Antifouling+Booster+Biocides+to+Selected+Subtropical+and+Cosmopolitan+Mar", "Google Scholar")</f>
        <v>Google Scholar</v>
      </c>
    </row>
    <row r="8" spans="1:8" x14ac:dyDescent="0.25">
      <c r="A8">
        <v>17259</v>
      </c>
      <c r="B8" t="s">
        <v>477</v>
      </c>
      <c r="C8" t="s">
        <v>478</v>
      </c>
      <c r="D8" t="s">
        <v>479</v>
      </c>
      <c r="E8">
        <v>1981</v>
      </c>
      <c r="G8" t="s">
        <v>1715</v>
      </c>
      <c r="H8" s="7" t="str">
        <f>HYPERLINK("https://scholar.google.com/scholar?hl=en&amp;as_q=&amp;as_oq=&amp;as_eq=&amp;as_sauthors=&amp;as_publication=&amp;as_ylo=&amp;as_yhi=&amp;as_occt=title&amp;as_sdt=0%2C5&amp;as_epq=%22The+Effect+of+Pesticides+on+the+Growth+of+Green+and+Blue-Green+Algae+Cultures", "Google Scholar")</f>
        <v>Google Scholar</v>
      </c>
    </row>
    <row r="9" spans="1:8" x14ac:dyDescent="0.25">
      <c r="A9">
        <v>60995</v>
      </c>
      <c r="B9" t="s">
        <v>477</v>
      </c>
      <c r="C9" t="s">
        <v>694</v>
      </c>
      <c r="D9" t="s">
        <v>695</v>
      </c>
      <c r="E9">
        <v>1981</v>
      </c>
      <c r="G9" t="s">
        <v>1716</v>
      </c>
      <c r="H9" s="8" t="str">
        <f>HYPERLINK("https://scholar.google.com/scholar?hl=en&amp;as_q=&amp;as_oq=&amp;as_eq=&amp;as_sauthors=&amp;as_publication=&amp;as_ylo=&amp;as_yhi=&amp;as_occt=title&amp;as_sdt=0%2C5&amp;as_epq=%22The+Evaluation+of+the+Adaptation+Ability+of+Some+Green+Algae+to+2%2C4-D+Acid%2C+Monuron%2C+and+Diuron+Admixtures", "Google Scholar")</f>
        <v>Google Scholar</v>
      </c>
    </row>
    <row r="10" spans="1:8" x14ac:dyDescent="0.25">
      <c r="A10">
        <v>176117</v>
      </c>
      <c r="B10" t="s">
        <v>1667</v>
      </c>
      <c r="C10" t="s">
        <v>1668</v>
      </c>
      <c r="D10" t="s">
        <v>1669</v>
      </c>
      <c r="E10">
        <v>2016</v>
      </c>
      <c r="G10" t="s">
        <v>1717</v>
      </c>
      <c r="H10" s="9" t="str">
        <f>HYPERLINK("https://scholar.google.com/scholar?hl=en&amp;as_q=&amp;as_oq=&amp;as_eq=&amp;as_sauthors=&amp;as_publication=&amp;as_ylo=&amp;as_yhi=&amp;as_occt=title&amp;as_sdt=0%2C5&amp;as_epq=%22Comparative+Embryotoxicity+and+Genotoxicity+of+the+Herbicide+Diuron+and+Its+Metabolites+in+Early+Life+Stages+of+", "Google Scholar")</f>
        <v>Google Scholar</v>
      </c>
    </row>
    <row r="11" spans="1:8" x14ac:dyDescent="0.25">
      <c r="A11">
        <v>102068</v>
      </c>
      <c r="B11" t="s">
        <v>1014</v>
      </c>
      <c r="C11" t="s">
        <v>1015</v>
      </c>
      <c r="D11" t="s">
        <v>1016</v>
      </c>
      <c r="E11">
        <v>2005</v>
      </c>
      <c r="G11" t="s">
        <v>1718</v>
      </c>
      <c r="H11" s="10" t="str">
        <f>HYPERLINK("https://scholar.google.com/scholar?hl=en&amp;as_q=&amp;as_oq=&amp;as_eq=&amp;as_sauthors=&amp;as_publication=&amp;as_ylo=&amp;as_yhi=&amp;as_occt=title&amp;as_sdt=0%2C5&amp;as_epq=%22Toxicity+of+Organic+Compounds+to+Marine+Invertebrate+Embryos+and+Larvae%3A++A+Comparison+Between+the+Sea+Urchin+", "Google Scholar")</f>
        <v>Google Scholar</v>
      </c>
    </row>
    <row r="12" spans="1:8" x14ac:dyDescent="0.25">
      <c r="A12">
        <v>80943</v>
      </c>
      <c r="B12" t="s">
        <v>395</v>
      </c>
      <c r="C12" t="s">
        <v>396</v>
      </c>
      <c r="D12" t="s">
        <v>397</v>
      </c>
      <c r="E12">
        <v>2005</v>
      </c>
      <c r="G12" t="s">
        <v>1719</v>
      </c>
      <c r="H12" s="11" t="str">
        <f>HYPERLINK("https://scholar.google.com/scholar?hl=en&amp;as_q=&amp;as_oq=&amp;as_eq=&amp;as_sauthors=&amp;as_publication=&amp;as_ylo=&amp;as_yhi=&amp;as_occt=title&amp;as_sdt=0%2C5&amp;as_epq=%22The+Selection+of+a+Model+Microalgal+Species+as+Biomaterial+for+a+Novel+Aquatic+Phytotoxicity+Assay", "Google Scholar")</f>
        <v>Google Scholar</v>
      </c>
    </row>
    <row r="13" spans="1:8" x14ac:dyDescent="0.25">
      <c r="A13">
        <v>11239</v>
      </c>
      <c r="B13" t="s">
        <v>198</v>
      </c>
      <c r="C13" t="s">
        <v>199</v>
      </c>
      <c r="D13" t="s">
        <v>200</v>
      </c>
      <c r="E13">
        <v>1984</v>
      </c>
      <c r="G13" t="s">
        <v>1720</v>
      </c>
      <c r="H13" s="12" t="str">
        <f>HYPERLINK("https://scholar.google.com/scholar?hl=en&amp;as_q=&amp;as_oq=&amp;as_eq=&amp;as_sauthors=&amp;as_publication=&amp;as_ylo=&amp;as_yhi=&amp;as_occt=title&amp;as_sdt=0%2C5&amp;as_epq=%22Species-Dependent+Variation+in+Algal+Sensitivity+to+Chemical+Compounds", "Google Scholar")</f>
        <v>Google Scholar</v>
      </c>
    </row>
    <row r="14" spans="1:8" x14ac:dyDescent="0.25">
      <c r="A14">
        <v>17783</v>
      </c>
      <c r="B14" t="s">
        <v>324</v>
      </c>
      <c r="C14" t="s">
        <v>325</v>
      </c>
      <c r="D14" t="s">
        <v>326</v>
      </c>
      <c r="E14">
        <v>1996</v>
      </c>
      <c r="G14" t="s">
        <v>1721</v>
      </c>
      <c r="H14" s="13" t="str">
        <f>HYPERLINK("https://scholar.google.com/scholar?hl=en&amp;as_q=&amp;as_oq=&amp;as_eq=&amp;as_sauthors=&amp;as_publication=&amp;as_ylo=&amp;as_yhi=&amp;as_occt=title&amp;as_sdt=0%2C5&amp;as_epq=%22Pollution-Induced+Community+Tolerance+%28PICT%29+in+Marine+Periphyton+in+a+Gradient+of+Tri-n-butyltin+%28TBT%29+", "Google Scholar")</f>
        <v>Google Scholar</v>
      </c>
    </row>
    <row r="15" spans="1:8" x14ac:dyDescent="0.25">
      <c r="A15">
        <v>62033</v>
      </c>
      <c r="B15" t="s">
        <v>1604</v>
      </c>
      <c r="C15" t="s">
        <v>1605</v>
      </c>
      <c r="D15" t="s">
        <v>1606</v>
      </c>
      <c r="E15">
        <v>2001</v>
      </c>
      <c r="G15" t="s">
        <v>1722</v>
      </c>
      <c r="H15" s="14" t="str">
        <f>HYPERLINK("https://scholar.google.com/scholar?hl=en&amp;as_q=&amp;as_oq=&amp;as_eq=&amp;as_sauthors=&amp;as_publication=&amp;as_ylo=&amp;as_yhi=&amp;as_occt=title&amp;as_sdt=0%2C5&amp;as_epq=%22Use+of+the+Ciliated+Protozoan+Tetrahymena+pyriformis+for+the+Assessment+of+Toxicity+and+Quantitative+Structure-A", "Google Scholar")</f>
        <v>Google Scholar</v>
      </c>
    </row>
    <row r="16" spans="1:8" x14ac:dyDescent="0.25">
      <c r="A16">
        <v>876</v>
      </c>
      <c r="B16" t="s">
        <v>1252</v>
      </c>
      <c r="C16" t="s">
        <v>1253</v>
      </c>
      <c r="D16" t="s">
        <v>1254</v>
      </c>
      <c r="E16">
        <v>1960</v>
      </c>
      <c r="G16" t="s">
        <v>1723</v>
      </c>
      <c r="H16" s="15" t="str">
        <f>HYPERLINK("https://scholar.google.com/scholar?hl=en&amp;as_q=&amp;as_oq=&amp;as_eq=&amp;as_sauthors=&amp;as_publication=&amp;as_ylo=&amp;as_yhi=&amp;as_occt=title&amp;as_sdt=0%2C5&amp;as_epq=%22Toxicity+of+Various+Herbicidal+Materials+to+Fishes", "Google Scholar")</f>
        <v>Google Scholar</v>
      </c>
    </row>
    <row r="17" spans="1:8" x14ac:dyDescent="0.25">
      <c r="A17">
        <v>97635</v>
      </c>
      <c r="B17" t="s">
        <v>1607</v>
      </c>
      <c r="C17" t="s">
        <v>1608</v>
      </c>
      <c r="D17" t="s">
        <v>1609</v>
      </c>
      <c r="E17">
        <v>2007</v>
      </c>
      <c r="G17" t="s">
        <v>1724</v>
      </c>
      <c r="H17" s="16" t="str">
        <f>HYPERLINK("https://scholar.google.com/scholar?hl=en&amp;as_q=&amp;as_oq=&amp;as_eq=&amp;as_sauthors=&amp;as_publication=&amp;as_ylo=&amp;as_yhi=&amp;as_occt=title&amp;as_sdt=0%2C5&amp;as_epq=%22Assessment+of+the+Potential+Toxicity+of+Herbicides+and+Their+Degradation+Products+to+Nontarget+Cells+Using+Two+M", "Google Scholar")</f>
        <v>Google Scholar</v>
      </c>
    </row>
    <row r="18" spans="1:8" x14ac:dyDescent="0.25">
      <c r="A18">
        <v>165329</v>
      </c>
      <c r="B18" t="s">
        <v>1309</v>
      </c>
      <c r="C18" t="s">
        <v>1310</v>
      </c>
      <c r="D18" t="s">
        <v>1311</v>
      </c>
      <c r="E18">
        <v>2010</v>
      </c>
      <c r="G18" t="s">
        <v>1725</v>
      </c>
      <c r="H18" s="17" t="str">
        <f>HYPERLINK("https://scholar.google.com/scholar?hl=en&amp;as_q=&amp;as_oq=&amp;as_eq=&amp;as_sauthors=&amp;as_publication=&amp;as_ylo=&amp;as_yhi=&amp;as_occt=title&amp;as_sdt=0%2C5&amp;as_epq=%22Genotoxicity+Assessment+of+Two+Vineyard+Pesticides+in+Zebrafish", "Google Scholar")</f>
        <v>Google Scholar</v>
      </c>
    </row>
    <row r="19" spans="1:8" x14ac:dyDescent="0.25">
      <c r="A19">
        <v>165582</v>
      </c>
      <c r="B19" t="s">
        <v>829</v>
      </c>
      <c r="C19" t="s">
        <v>830</v>
      </c>
      <c r="D19" t="s">
        <v>831</v>
      </c>
      <c r="E19">
        <v>2013</v>
      </c>
      <c r="G19" t="s">
        <v>1726</v>
      </c>
      <c r="H19" s="18" t="str">
        <f>HYPERLINK("https://scholar.google.com/scholar?hl=en&amp;as_q=&amp;as_oq=&amp;as_eq=&amp;as_sauthors=&amp;as_publication=&amp;as_ylo=&amp;as_yhi=&amp;as_occt=title&amp;as_sdt=0%2C5&amp;as_epq=%22Extraction+Tools+for+Identification+of+Chemical+Contaminants+in+Estuarine+and++Coastal+Waters+to+Determine+Toxic", "Google Scholar")</f>
        <v>Google Scholar</v>
      </c>
    </row>
    <row r="20" spans="1:8" x14ac:dyDescent="0.25">
      <c r="A20">
        <v>176001</v>
      </c>
      <c r="B20" t="s">
        <v>1194</v>
      </c>
      <c r="C20" t="s">
        <v>1195</v>
      </c>
      <c r="D20" t="s">
        <v>1196</v>
      </c>
      <c r="E20">
        <v>2018</v>
      </c>
      <c r="G20" t="s">
        <v>1727</v>
      </c>
      <c r="H20" s="19" t="str">
        <f>HYPERLINK("https://scholar.google.com/scholar?hl=en&amp;as_q=&amp;as_oq=&amp;as_eq=&amp;as_sauthors=&amp;as_publication=&amp;as_ylo=&amp;as_yhi=&amp;as_occt=title&amp;as_sdt=0%2C5&amp;as_epq=%22Diuron+Metabolites+Act+as+Endocrine+Disruptors+and+Alter+Aggressive+Behavior+in+Nile+Tilapia+%28Oreochromis+nilo", "Google Scholar")</f>
        <v>Google Scholar</v>
      </c>
    </row>
    <row r="21" spans="1:8" x14ac:dyDescent="0.25">
      <c r="A21">
        <v>102069</v>
      </c>
      <c r="B21" t="s">
        <v>1679</v>
      </c>
      <c r="C21" t="s">
        <v>1680</v>
      </c>
      <c r="D21" t="s">
        <v>1681</v>
      </c>
      <c r="E21">
        <v>2007</v>
      </c>
      <c r="G21" t="s">
        <v>1728</v>
      </c>
      <c r="H21" s="20" t="str">
        <f>HYPERLINK("https://scholar.google.com/scholar?hl=en&amp;as_q=&amp;as_oq=&amp;as_eq=&amp;as_sauthors=&amp;as_publication=&amp;as_ylo=&amp;as_yhi=&amp;as_occt=title&amp;as_sdt=0%2C5&amp;as_epq=%22Impact+of+Diuron+on+Aneuploidy+and+Hemocyte+Parameters+in+Pacific+Oyster%2C+Crassostrea+gigas", "Google Scholar")</f>
        <v>Google Scholar</v>
      </c>
    </row>
    <row r="22" spans="1:8" x14ac:dyDescent="0.25">
      <c r="A22">
        <v>63613</v>
      </c>
      <c r="B22" t="s">
        <v>215</v>
      </c>
      <c r="C22" t="s">
        <v>216</v>
      </c>
      <c r="D22" t="s">
        <v>217</v>
      </c>
      <c r="E22">
        <v>1997</v>
      </c>
      <c r="G22" t="s">
        <v>1729</v>
      </c>
      <c r="H22" s="21" t="str">
        <f>HYPERLINK("https://scholar.google.com/scholar?hl=en&amp;as_q=&amp;as_oq=&amp;as_eq=&amp;as_sauthors=&amp;as_publication=&amp;as_ylo=&amp;as_yhi=&amp;as_occt=title&amp;as_sdt=0%2C5&amp;as_epq=%22Characterization+of+Mutants+of+the+Red+Microalga+Porphyridium+aerugineum+%28Rhodophyceae%29+Resistant+to+DCMU+an", "Google Scholar")</f>
        <v>Google Scholar</v>
      </c>
    </row>
    <row r="23" spans="1:8" x14ac:dyDescent="0.25">
      <c r="A23">
        <v>59758</v>
      </c>
      <c r="B23" t="s">
        <v>1319</v>
      </c>
      <c r="C23" t="s">
        <v>1320</v>
      </c>
      <c r="D23" t="s">
        <v>1321</v>
      </c>
      <c r="E23">
        <v>2000</v>
      </c>
      <c r="G23" t="s">
        <v>1730</v>
      </c>
      <c r="H23" s="22" t="str">
        <f>HYPERLINK("https://scholar.google.com/scholar?hl=en&amp;as_q=&amp;as_oq=&amp;as_eq=&amp;as_sauthors=&amp;as_publication=&amp;as_ylo=&amp;as_yhi=&amp;as_occt=title&amp;as_sdt=0%2C5&amp;as_epq=%22Effects+of+Carbofuran%2C+Diuron%2C+and+Nicosulfuron+on+Acetylcholinesterase+Activity+in+Goldfish+%28Carassius+au", "Google Scholar")</f>
        <v>Google Scholar</v>
      </c>
    </row>
    <row r="24" spans="1:8" x14ac:dyDescent="0.25">
      <c r="A24">
        <v>7364</v>
      </c>
      <c r="B24" t="s">
        <v>722</v>
      </c>
      <c r="C24" t="s">
        <v>723</v>
      </c>
      <c r="D24" t="s">
        <v>724</v>
      </c>
      <c r="E24">
        <v>1975</v>
      </c>
      <c r="F24" t="s">
        <v>1731</v>
      </c>
      <c r="G24" t="s">
        <v>1732</v>
      </c>
      <c r="H24" s="23" t="str">
        <f>HYPERLINK("https://scholar.google.com/scholar?hl=en&amp;as_q=&amp;as_oq=&amp;as_eq=&amp;as_sauthors=&amp;as_publication=&amp;as_ylo=&amp;as_yhi=&amp;as_occt=title&amp;as_sdt=0%2C5&amp;as_epq=%22Effect+of+Herbicidal+Phenylurea+Derivatives+on+Blue+Algae+%28Model+Organisms%3AMicrocystic+aeruginosa+and+Nostoc", "Google Scholar")</f>
        <v>Google Scholar</v>
      </c>
    </row>
    <row r="25" spans="1:8" x14ac:dyDescent="0.25">
      <c r="A25">
        <v>13724</v>
      </c>
      <c r="B25" t="s">
        <v>1613</v>
      </c>
      <c r="C25" t="s">
        <v>1614</v>
      </c>
      <c r="D25" t="s">
        <v>1615</v>
      </c>
      <c r="E25">
        <v>1995</v>
      </c>
      <c r="G25" t="s">
        <v>1733</v>
      </c>
      <c r="H25" s="24" t="str">
        <f>HYPERLINK("https://scholar.google.com/scholar?hl=en&amp;as_q=&amp;as_oq=&amp;as_eq=&amp;as_sauthors=&amp;as_publication=&amp;as_ylo=&amp;as_yhi=&amp;as_occt=title&amp;as_sdt=0%2C5&amp;as_epq=%22Toxicity+of+Selected+Pesticides+to+Lake+Phytoplankton+Measured+Using+Photosynthetic+Inhibition+Compared+to+Maxim", "Google Scholar")</f>
        <v>Google Scholar</v>
      </c>
    </row>
    <row r="26" spans="1:8" x14ac:dyDescent="0.25">
      <c r="A26">
        <v>91692</v>
      </c>
      <c r="B26" t="s">
        <v>377</v>
      </c>
      <c r="C26" t="s">
        <v>378</v>
      </c>
      <c r="D26" t="s">
        <v>379</v>
      </c>
      <c r="E26">
        <v>1977</v>
      </c>
      <c r="G26" t="s">
        <v>1734</v>
      </c>
      <c r="H26" s="25" t="str">
        <f>HYPERLINK("https://scholar.google.com/scholar?hl=en&amp;as_q=&amp;as_oq=&amp;as_eq=&amp;as_sauthors=&amp;as_publication=&amp;as_ylo=&amp;as_yhi=&amp;as_occt=title&amp;as_sdt=0%2C5&amp;as_epq=%22Bioassays+for+the+Detection+of+Herbicides+and+Algicides+in+Water", "Google Scholar")</f>
        <v>Google Scholar</v>
      </c>
    </row>
    <row r="27" spans="1:8" x14ac:dyDescent="0.25">
      <c r="A27">
        <v>646</v>
      </c>
      <c r="B27" t="s">
        <v>682</v>
      </c>
      <c r="C27" t="s">
        <v>1092</v>
      </c>
      <c r="D27" t="s">
        <v>1660</v>
      </c>
      <c r="E27">
        <v>1964</v>
      </c>
      <c r="G27" t="s">
        <v>1735</v>
      </c>
      <c r="H27" s="26" t="str">
        <f>HYPERLINK("https://scholar.google.com/scholar?hl=en&amp;as_q=&amp;as_oq=&amp;as_eq=&amp;as_sauthors=&amp;as_publication=&amp;as_ylo=&amp;as_yhi=&amp;as_occt=title&amp;as_sdt=0%2C5&amp;as_epq=%22Commercial+Fishery+Investigations", "Google Scholar")</f>
        <v>Google Scholar</v>
      </c>
    </row>
    <row r="28" spans="1:8" x14ac:dyDescent="0.25">
      <c r="A28">
        <v>807</v>
      </c>
      <c r="B28" t="s">
        <v>682</v>
      </c>
      <c r="C28" t="s">
        <v>1092</v>
      </c>
      <c r="D28" t="s">
        <v>1093</v>
      </c>
      <c r="E28">
        <v>1965</v>
      </c>
      <c r="G28" t="s">
        <v>1736</v>
      </c>
      <c r="H28" s="27" t="str">
        <f>HYPERLINK("https://scholar.google.com/scholar?hl=en&amp;as_q=&amp;as_oq=&amp;as_eq=&amp;as_sauthors=&amp;as_publication=&amp;as_ylo=&amp;as_yhi=&amp;as_occt=title&amp;as_sdt=0%2C5&amp;as_epq=%22Commercial+Fishery+Investigations", "Google Scholar")</f>
        <v>Google Scholar</v>
      </c>
    </row>
    <row r="29" spans="1:8" x14ac:dyDescent="0.25">
      <c r="A29">
        <v>2188</v>
      </c>
      <c r="B29" t="s">
        <v>682</v>
      </c>
      <c r="C29" t="s">
        <v>752</v>
      </c>
      <c r="D29" t="s">
        <v>753</v>
      </c>
      <c r="E29">
        <v>1963</v>
      </c>
      <c r="G29" t="s">
        <v>1737</v>
      </c>
      <c r="H29" s="28" t="str">
        <f>HYPERLINK("https://scholar.google.com/scholar?hl=en&amp;as_q=&amp;as_oq=&amp;as_eq=&amp;as_sauthors=&amp;as_publication=&amp;as_ylo=&amp;as_yhi=&amp;as_occt=title&amp;as_sdt=0%2C5&amp;as_epq=%22Commercial+Fisheries+Investigations", "Google Scholar")</f>
        <v>Google Scholar</v>
      </c>
    </row>
    <row r="30" spans="1:8" x14ac:dyDescent="0.25">
      <c r="A30">
        <v>14134</v>
      </c>
      <c r="B30" t="s">
        <v>682</v>
      </c>
      <c r="C30" t="s">
        <v>683</v>
      </c>
      <c r="D30" t="s">
        <v>684</v>
      </c>
      <c r="E30">
        <v>1965</v>
      </c>
      <c r="G30" t="s">
        <v>1738</v>
      </c>
      <c r="H30" s="29" t="str">
        <f>HYPERLINK("https://scholar.google.com/scholar?hl=en&amp;as_q=&amp;as_oq=&amp;as_eq=&amp;as_sauthors=&amp;as_publication=&amp;as_ylo=&amp;as_yhi=&amp;as_occt=title&amp;as_sdt=0%2C5&amp;as_epq=%22Effects+of+Herbicides+on+Estuarine+Fauna", "Google Scholar")</f>
        <v>Google Scholar</v>
      </c>
    </row>
    <row r="31" spans="1:8" x14ac:dyDescent="0.25">
      <c r="A31">
        <v>61203</v>
      </c>
      <c r="B31" t="s">
        <v>443</v>
      </c>
      <c r="C31" t="s">
        <v>444</v>
      </c>
      <c r="D31" t="s">
        <v>445</v>
      </c>
      <c r="E31">
        <v>1983</v>
      </c>
      <c r="G31" t="s">
        <v>1739</v>
      </c>
      <c r="H31" s="30" t="str">
        <f>HYPERLINK("https://scholar.google.com/scholar?hl=en&amp;as_q=&amp;as_oq=&amp;as_eq=&amp;as_sauthors=&amp;as_publication=&amp;as_ylo=&amp;as_yhi=&amp;as_occt=title&amp;as_sdt=0%2C5&amp;as_epq=%22The+Effects+of+Selected+Herbicides+on+Zygospore+Germination+and+Growth+of+Chlamydomonas+moewusii+%28Chlorophycea", "Google Scholar")</f>
        <v>Google Scholar</v>
      </c>
    </row>
    <row r="32" spans="1:8" x14ac:dyDescent="0.25">
      <c r="A32">
        <v>12612</v>
      </c>
      <c r="B32" t="s">
        <v>1262</v>
      </c>
      <c r="C32" t="s">
        <v>1263</v>
      </c>
      <c r="D32" t="s">
        <v>1264</v>
      </c>
      <c r="E32">
        <v>1987</v>
      </c>
      <c r="G32" t="s">
        <v>1740</v>
      </c>
      <c r="H32" s="31" t="str">
        <f>HYPERLINK("https://scholar.google.com/scholar?hl=en&amp;as_q=&amp;as_oq=&amp;as_eq=&amp;as_sauthors=&amp;as_publication=&amp;as_ylo=&amp;as_yhi=&amp;as_occt=title&amp;as_sdt=0%2C5&amp;as_epq=%22Bromacil+and+Diuron+Herbicides%3A+Toxicity%2C+Uptake%2C+and+Elimination+in+Freshwater+Fish", "Google Scholar")</f>
        <v>Google Scholar</v>
      </c>
    </row>
    <row r="33" spans="1:8" x14ac:dyDescent="0.25">
      <c r="A33">
        <v>150898</v>
      </c>
      <c r="B33" t="s">
        <v>1313</v>
      </c>
      <c r="C33" t="s">
        <v>1314</v>
      </c>
      <c r="D33" t="s">
        <v>1315</v>
      </c>
      <c r="E33">
        <v>1992</v>
      </c>
      <c r="G33" t="s">
        <v>1741</v>
      </c>
      <c r="H33" s="32" t="str">
        <f>HYPERLINK("https://scholar.google.com/scholar?hl=en&amp;as_q=&amp;as_oq=&amp;as_eq=&amp;as_sauthors=&amp;as_publication=&amp;as_ylo=&amp;as_yhi=&amp;as_occt=title&amp;as_sdt=0%2C5&amp;as_epq=%22Subchronic+Toxicities+of+Industrial+and+Agricultural+Chemicals+to+Fathead+Minnows+%28Pimephales+promelas%29.++Vo", "Google Scholar")</f>
        <v>Google Scholar</v>
      </c>
    </row>
    <row r="34" spans="1:8" x14ac:dyDescent="0.25">
      <c r="A34">
        <v>102076</v>
      </c>
      <c r="B34" t="s">
        <v>562</v>
      </c>
      <c r="C34" t="s">
        <v>563</v>
      </c>
      <c r="D34" t="s">
        <v>564</v>
      </c>
      <c r="E34">
        <v>2007</v>
      </c>
      <c r="G34" t="s">
        <v>1742</v>
      </c>
      <c r="H34" s="33" t="str">
        <f>HYPERLINK("https://scholar.google.com/scholar?hl=en&amp;as_q=&amp;as_oq=&amp;as_eq=&amp;as_sauthors=&amp;as_publication=&amp;as_ylo=&amp;as_yhi=&amp;as_occt=title&amp;as_sdt=0%2C5&amp;as_epq=%22Photoinhibition+from+Chronic+Herbicide+Exposure+Reduces+Reproductive+Output+of+Reef-Building+Corals", "Google Scholar")</f>
        <v>Google Scholar</v>
      </c>
    </row>
    <row r="35" spans="1:8" x14ac:dyDescent="0.25">
      <c r="A35">
        <v>7464</v>
      </c>
      <c r="B35" t="s">
        <v>697</v>
      </c>
      <c r="C35" t="s">
        <v>698</v>
      </c>
      <c r="D35" t="s">
        <v>699</v>
      </c>
      <c r="E35">
        <v>1977</v>
      </c>
      <c r="G35" t="s">
        <v>1743</v>
      </c>
      <c r="H35" s="34" t="str">
        <f>HYPERLINK("https://scholar.google.com/scholar?hl=en&amp;as_q=&amp;as_oq=&amp;as_eq=&amp;as_sauthors=&amp;as_publication=&amp;as_ylo=&amp;as_yhi=&amp;as_occt=title&amp;as_sdt=0%2C5&amp;as_epq=%22The+Effect+of+Sulfide+on+the+Blue-Green+Algae+of+Hot+Springs.+II.+Yellowstone+National+Park", "Google Scholar")</f>
        <v>Google Scholar</v>
      </c>
    </row>
    <row r="36" spans="1:8" x14ac:dyDescent="0.25">
      <c r="A36">
        <v>172734</v>
      </c>
      <c r="B36" t="s">
        <v>868</v>
      </c>
      <c r="C36" t="s">
        <v>869</v>
      </c>
      <c r="D36" t="s">
        <v>870</v>
      </c>
      <c r="E36">
        <v>2014</v>
      </c>
      <c r="G36" t="s">
        <v>1744</v>
      </c>
      <c r="H36" s="35" t="str">
        <f>HYPERLINK("https://scholar.google.com/scholar?hl=en&amp;as_q=&amp;as_oq=&amp;as_eq=&amp;as_sauthors=&amp;as_publication=&amp;as_ylo=&amp;as_yhi=&amp;as_occt=title&amp;as_sdt=0%2C5&amp;as_epq=%22Reactive+Oxygen+Species+Modulate+the+Differential+Expression+of+Methionine+Sulfoxide+Reductase+Genes+in+Chlamydo", "Google Scholar")</f>
        <v>Google Scholar</v>
      </c>
    </row>
    <row r="37" spans="1:8" x14ac:dyDescent="0.25">
      <c r="A37">
        <v>173082</v>
      </c>
      <c r="B37" t="s">
        <v>610</v>
      </c>
      <c r="C37" t="s">
        <v>611</v>
      </c>
      <c r="D37" t="s">
        <v>612</v>
      </c>
      <c r="E37">
        <v>2012</v>
      </c>
      <c r="G37" t="s">
        <v>1745</v>
      </c>
      <c r="H37" s="36" t="str">
        <f>HYPERLINK("https://scholar.google.com/scholar?hl=en&amp;as_q=&amp;as_oq=&amp;as_eq=&amp;as_sauthors=&amp;as_publication=&amp;as_ylo=&amp;as_yhi=&amp;as_occt=title&amp;as_sdt=0%2C5&amp;as_epq=%22The+Combined+Effects+of+UV-B+Radiation+and+Herbicides+on+Photosynthesis%2C+Antioxidant+Enzymes+and+DNA+Damage+in", "Google Scholar")</f>
        <v>Google Scholar</v>
      </c>
    </row>
    <row r="38" spans="1:8" x14ac:dyDescent="0.25">
      <c r="A38">
        <v>73299</v>
      </c>
      <c r="B38" t="s">
        <v>1380</v>
      </c>
      <c r="C38" t="s">
        <v>1381</v>
      </c>
      <c r="D38" t="s">
        <v>1382</v>
      </c>
      <c r="E38">
        <v>2004</v>
      </c>
      <c r="G38" t="s">
        <v>1746</v>
      </c>
      <c r="H38" s="37" t="str">
        <f>HYPERLINK("https://scholar.google.com/scholar?hl=en&amp;as_q=&amp;as_oq=&amp;as_eq=&amp;as_sauthors=&amp;as_publication=&amp;as_ylo=&amp;as_yhi=&amp;as_occt=title&amp;as_sdt=0%2C5&amp;as_epq=%22The+Interactive+Effects+of+the+Antifouling+Herbicides+Irgarol+1051+and+Diuron+on+the+Seagrass+Zostera+marina+%28", "Google Scholar")</f>
        <v>Google Scholar</v>
      </c>
    </row>
    <row r="39" spans="1:8" x14ac:dyDescent="0.25">
      <c r="A39">
        <v>158970</v>
      </c>
      <c r="B39" t="s">
        <v>500</v>
      </c>
      <c r="C39" t="s">
        <v>501</v>
      </c>
      <c r="D39" t="s">
        <v>502</v>
      </c>
      <c r="E39">
        <v>2012</v>
      </c>
      <c r="G39" t="s">
        <v>1747</v>
      </c>
      <c r="H39" s="38" t="str">
        <f>HYPERLINK("https://scholar.google.com/scholar?hl=en&amp;as_q=&amp;as_oq=&amp;as_eq=&amp;as_sauthors=&amp;as_publication=&amp;as_ylo=&amp;as_yhi=&amp;as_occt=title&amp;as_sdt=0%2C5&amp;as_epq=%22Rapid+Effects+of+Diverse+Toxic+Water+Pollutants+on+Chlorophyll+a+Fluorescence%3A+Variable+Responses+Among+Freshw", "Google Scholar")</f>
        <v>Google Scholar</v>
      </c>
    </row>
    <row r="40" spans="1:8" x14ac:dyDescent="0.25">
      <c r="A40">
        <v>36156</v>
      </c>
      <c r="B40" t="s">
        <v>1633</v>
      </c>
      <c r="C40" t="s">
        <v>1634</v>
      </c>
      <c r="D40" t="s">
        <v>1635</v>
      </c>
      <c r="E40">
        <v>1983</v>
      </c>
      <c r="G40" t="s">
        <v>1748</v>
      </c>
      <c r="H40" s="39" t="str">
        <f>HYPERLINK("https://scholar.google.com/scholar?hl=en&amp;as_q=&amp;as_oq=&amp;as_eq=&amp;as_sauthors=&amp;as_publication=&amp;as_ylo=&amp;as_yhi=&amp;as_occt=title&amp;as_sdt=0%2C5&amp;as_epq=%22Toxicity+of+Fluometuron+and+Diuron+on+the+Intermediate+Snail+Host+%28Lymnea+spp.%29+of+Fasciola+hepatica", "Google Scholar")</f>
        <v>Google Scholar</v>
      </c>
    </row>
    <row r="41" spans="1:8" x14ac:dyDescent="0.25">
      <c r="A41">
        <v>45160</v>
      </c>
      <c r="B41" t="s">
        <v>715</v>
      </c>
      <c r="C41" t="s">
        <v>716</v>
      </c>
      <c r="D41" t="s">
        <v>717</v>
      </c>
      <c r="E41">
        <v>1983</v>
      </c>
      <c r="G41" t="s">
        <v>1749</v>
      </c>
      <c r="H41" s="40" t="str">
        <f>HYPERLINK("https://scholar.google.com/scholar?hl=en&amp;as_q=&amp;as_oq=&amp;as_eq=&amp;as_sauthors=&amp;as_publication=&amp;as_ylo=&amp;as_yhi=&amp;as_occt=title&amp;as_sdt=0%2C5&amp;as_epq=%22The+In-Vivo+Fluorescence+of+Chlorella+fusca+as+a+Biological+Test+for+the+Inhibition+of+Photosynthesis", "Google Scholar")</f>
        <v>Google Scholar</v>
      </c>
    </row>
    <row r="42" spans="1:8" x14ac:dyDescent="0.25">
      <c r="A42">
        <v>101990</v>
      </c>
      <c r="B42" t="s">
        <v>861</v>
      </c>
      <c r="C42" t="s">
        <v>862</v>
      </c>
      <c r="D42" t="s">
        <v>863</v>
      </c>
      <c r="E42">
        <v>1998</v>
      </c>
      <c r="G42" t="s">
        <v>1750</v>
      </c>
      <c r="H42" s="41" t="str">
        <f>HYPERLINK("https://scholar.google.com/scholar?hl=en&amp;as_q=&amp;as_oq=&amp;as_eq=&amp;as_sauthors=&amp;as_publication=&amp;as_ylo=&amp;as_yhi=&amp;as_occt=title&amp;as_sdt=0%2C5&amp;as_epq=%22An+Assessment+of+the+Cage-Culture+Turbidostat+as+an+Alternative+Algal+Bioassay", "Google Scholar")</f>
        <v>Google Scholar</v>
      </c>
    </row>
    <row r="43" spans="1:8" x14ac:dyDescent="0.25">
      <c r="A43">
        <v>14619</v>
      </c>
      <c r="B43" t="s">
        <v>461</v>
      </c>
      <c r="C43" t="s">
        <v>462</v>
      </c>
      <c r="D43" t="s">
        <v>463</v>
      </c>
      <c r="E43">
        <v>1993</v>
      </c>
      <c r="G43" t="s">
        <v>1751</v>
      </c>
      <c r="H43" s="42" t="str">
        <f>HYPERLINK("https://scholar.google.com/scholar?hl=en&amp;as_q=&amp;as_oq=&amp;as_eq=&amp;as_sauthors=&amp;as_publication=&amp;as_ylo=&amp;as_yhi=&amp;as_occt=title&amp;as_sdt=0%2C5&amp;as_epq=%22Changes+in+Yield+of+In-Vivo+Fluorescence+of+Chlorophyll+a+as+a+Tool+for+Selective+Herbicide+Monitoring", "Google Scholar")</f>
        <v>Google Scholar</v>
      </c>
    </row>
    <row r="44" spans="1:8" x14ac:dyDescent="0.25">
      <c r="A44">
        <v>2871</v>
      </c>
      <c r="B44" t="s">
        <v>1278</v>
      </c>
      <c r="C44" t="s">
        <v>1294</v>
      </c>
      <c r="D44" t="s">
        <v>1295</v>
      </c>
      <c r="E44">
        <v>1965</v>
      </c>
      <c r="G44" t="s">
        <v>1752</v>
      </c>
      <c r="H44" s="43" t="str">
        <f>HYPERLINK("https://scholar.google.com/scholar?hl=en&amp;as_q=&amp;as_oq=&amp;as_eq=&amp;as_sauthors=&amp;as_publication=&amp;as_ylo=&amp;as_yhi=&amp;as_occt=title&amp;as_sdt=0%2C5&amp;as_epq=%22Sport+Fishery+Investigations", "Google Scholar")</f>
        <v>Google Scholar</v>
      </c>
    </row>
    <row r="45" spans="1:8" x14ac:dyDescent="0.25">
      <c r="A45">
        <v>10337</v>
      </c>
      <c r="B45" t="s">
        <v>1278</v>
      </c>
      <c r="C45" t="s">
        <v>1279</v>
      </c>
      <c r="D45" t="s">
        <v>1280</v>
      </c>
      <c r="E45">
        <v>1966</v>
      </c>
      <c r="G45" t="s">
        <v>1753</v>
      </c>
      <c r="H45" s="44" t="str">
        <f>HYPERLINK("https://scholar.google.com/scholar?hl=en&amp;as_q=&amp;as_oq=&amp;as_eq=&amp;as_sauthors=&amp;as_publication=&amp;as_ylo=&amp;as_yhi=&amp;as_occt=title&amp;as_sdt=0%2C5&amp;as_epq=%22Contamination+of+the+Freshwater+Ecosystem+by+Pesticides", "Google Scholar")</f>
        <v>Google Scholar</v>
      </c>
    </row>
    <row r="46" spans="1:8" x14ac:dyDescent="0.25">
      <c r="A46">
        <v>170796</v>
      </c>
      <c r="B46" t="s">
        <v>333</v>
      </c>
      <c r="C46" t="s">
        <v>334</v>
      </c>
      <c r="D46" t="s">
        <v>335</v>
      </c>
      <c r="E46">
        <v>2015</v>
      </c>
      <c r="G46" t="s">
        <v>1754</v>
      </c>
      <c r="H46" s="45" t="str">
        <f>HYPERLINK("https://scholar.google.com/scholar?hl=en&amp;as_q=&amp;as_oq=&amp;as_eq=&amp;as_sauthors=&amp;as_publication=&amp;as_ylo=&amp;as_yhi=&amp;as_occt=title&amp;as_sdt=0%2C5&amp;as_epq=%22Modelling+the+Effects+of+Pulse+Exposure+of+Several+PSII+Inhibitors+on+Two+Algae", "Google Scholar")</f>
        <v>Google Scholar</v>
      </c>
    </row>
    <row r="47" spans="1:8" x14ac:dyDescent="0.25">
      <c r="A47">
        <v>101991</v>
      </c>
      <c r="B47" t="s">
        <v>884</v>
      </c>
      <c r="C47" t="s">
        <v>885</v>
      </c>
      <c r="D47" t="s">
        <v>886</v>
      </c>
      <c r="E47">
        <v>2006</v>
      </c>
      <c r="G47" t="s">
        <v>1755</v>
      </c>
      <c r="H47" s="46" t="str">
        <f>HYPERLINK("https://scholar.google.com/scholar?hl=en&amp;as_q=&amp;as_oq=&amp;as_eq=&amp;as_sauthors=&amp;as_publication=&amp;as_ylo=&amp;as_yhi=&amp;as_occt=title&amp;as_sdt=0%2C5&amp;as_epq=%22Copper+Sulphate+and+DCMU-Herbicide+Treatments+Increase+Asymmetry+Between+Sister+Cells+in+the+Toxic+Cyanobacteria", "Google Scholar")</f>
        <v>Google Scholar</v>
      </c>
    </row>
    <row r="48" spans="1:8" x14ac:dyDescent="0.25">
      <c r="A48">
        <v>169755</v>
      </c>
      <c r="B48" t="s">
        <v>1322</v>
      </c>
      <c r="C48" t="s">
        <v>1323</v>
      </c>
      <c r="D48" t="s">
        <v>1324</v>
      </c>
      <c r="E48">
        <v>2015</v>
      </c>
      <c r="G48" t="s">
        <v>1756</v>
      </c>
      <c r="H48" s="47" t="str">
        <f>HYPERLINK("https://scholar.google.com/scholar?hl=en&amp;as_q=&amp;as_oq=&amp;as_eq=&amp;as_sauthors=&amp;as_publication=&amp;as_ylo=&amp;as_yhi=&amp;as_occt=title&amp;as_sdt=0%2C5&amp;as_epq=%22Exploring+the+Impacts+of+Two+Separate+Mixtures+of+Pesticide+and+Surfactants+on+Estrogenic+Activity+in+Male+Fathe", "Google Scholar")</f>
        <v>Google Scholar</v>
      </c>
    </row>
    <row r="49" spans="1:8" x14ac:dyDescent="0.25">
      <c r="A49">
        <v>2775</v>
      </c>
      <c r="B49" t="s">
        <v>1051</v>
      </c>
      <c r="C49" t="s">
        <v>1052</v>
      </c>
      <c r="D49" t="s">
        <v>1053</v>
      </c>
      <c r="E49">
        <v>1966</v>
      </c>
      <c r="G49" t="s">
        <v>1757</v>
      </c>
      <c r="H49" s="48" t="str">
        <f>HYPERLINK("https://scholar.google.com/scholar?hl=en&amp;as_q=&amp;as_oq=&amp;as_eq=&amp;as_sauthors=&amp;as_publication=&amp;as_ylo=&amp;as_yhi=&amp;as_occt=title&amp;as_sdt=0%2C5&amp;as_epq=%22Toxicity+of+Aquatic+Herbicides+to+Daphnia+magna", "Google Scholar")</f>
        <v>Google Scholar</v>
      </c>
    </row>
    <row r="50" spans="1:8" x14ac:dyDescent="0.25">
      <c r="A50">
        <v>4871</v>
      </c>
      <c r="B50" t="s">
        <v>221</v>
      </c>
      <c r="C50" t="s">
        <v>222</v>
      </c>
      <c r="D50" t="s">
        <v>223</v>
      </c>
      <c r="E50">
        <v>1975</v>
      </c>
      <c r="G50" t="s">
        <v>1758</v>
      </c>
      <c r="H50" s="49" t="str">
        <f>HYPERLINK("https://scholar.google.com/scholar?hl=en&amp;as_q=&amp;as_oq=&amp;as_eq=&amp;as_sauthors=&amp;as_publication=&amp;as_ylo=&amp;as_yhi=&amp;as_occt=title&amp;as_sdt=0%2C5&amp;as_epq=%22The+In+Vitro+Sensitivity+of+Some+Species+of+Chlorophyceae+to+a+Selected+Range+of+Herbicides", "Google Scholar")</f>
        <v>Google Scholar</v>
      </c>
    </row>
    <row r="51" spans="1:8" x14ac:dyDescent="0.25">
      <c r="A51">
        <v>167045</v>
      </c>
      <c r="B51" t="s">
        <v>487</v>
      </c>
      <c r="C51" t="s">
        <v>488</v>
      </c>
      <c r="D51" t="s">
        <v>489</v>
      </c>
      <c r="E51">
        <v>2010</v>
      </c>
      <c r="G51" t="s">
        <v>1759</v>
      </c>
      <c r="H51" s="50" t="str">
        <f>HYPERLINK("https://scholar.google.com/scholar?hl=en&amp;as_q=&amp;as_oq=&amp;as_eq=&amp;as_sauthors=&amp;as_publication=&amp;as_ylo=&amp;as_yhi=&amp;as_occt=title&amp;as_sdt=0%2C5&amp;as_epq=%22Bentazone+and+Bromoxynil+Induce+H%2B+and+H2O2+Accumulation%2C+and+Inhibit+Photosynthetic+O2+Evolution+in+Synecho", "Google Scholar")</f>
        <v>Google Scholar</v>
      </c>
    </row>
    <row r="52" spans="1:8" x14ac:dyDescent="0.25">
      <c r="A52">
        <v>19633</v>
      </c>
      <c r="B52" t="s">
        <v>508</v>
      </c>
      <c r="C52" t="s">
        <v>509</v>
      </c>
      <c r="D52" t="s">
        <v>510</v>
      </c>
      <c r="E52">
        <v>1976</v>
      </c>
      <c r="G52" t="s">
        <v>1760</v>
      </c>
      <c r="H52" s="51" t="str">
        <f>HYPERLINK("https://scholar.google.com/scholar?hl=en&amp;as_q=&amp;as_oq=&amp;as_eq=&amp;as_sauthors=&amp;as_publication=&amp;as_ylo=&amp;as_yhi=&amp;as_occt=title&amp;as_sdt=0%2C5&amp;as_epq=%22Effects+of+Prometryn%2C+Diuron%2C+Fluometuron%2C+and+MSMA+on+Chlorella+and+Two+Fungi", "Google Scholar")</f>
        <v>Google Scholar</v>
      </c>
    </row>
    <row r="53" spans="1:8" x14ac:dyDescent="0.25">
      <c r="A53">
        <v>4811</v>
      </c>
      <c r="B53" t="s">
        <v>1685</v>
      </c>
      <c r="C53" t="s">
        <v>1686</v>
      </c>
      <c r="D53" t="s">
        <v>1687</v>
      </c>
      <c r="E53">
        <v>1961</v>
      </c>
      <c r="G53" t="s">
        <v>1761</v>
      </c>
      <c r="H53" s="52" t="str">
        <f>HYPERLINK("https://scholar.google.com/scholar?hl=en&amp;as_q=&amp;as_oq=&amp;as_eq=&amp;as_sauthors=&amp;as_publication=&amp;as_ylo=&amp;as_yhi=&amp;as_occt=title&amp;as_sdt=0%2C5&amp;as_epq=%22Effects+of+Some+Pesticides+on+Eggs+and+Larvae+of+Oysters+%28Crassostrea+virginica%29+and+Clams+%28Venus+mercenar", "Google Scholar")</f>
        <v>Google Scholar</v>
      </c>
    </row>
    <row r="54" spans="1:8" x14ac:dyDescent="0.25">
      <c r="A54">
        <v>2400</v>
      </c>
      <c r="B54" t="s">
        <v>1655</v>
      </c>
      <c r="C54" t="s">
        <v>1656</v>
      </c>
      <c r="D54" t="s">
        <v>1657</v>
      </c>
      <c r="E54">
        <v>1969</v>
      </c>
      <c r="G54" t="s">
        <v>1762</v>
      </c>
      <c r="H54" s="53" t="str">
        <f>HYPERLINK("https://scholar.google.com/scholar?hl=en&amp;as_q=&amp;as_oq=&amp;as_eq=&amp;as_sauthors=&amp;as_publication=&amp;as_ylo=&amp;as_yhi=&amp;as_occt=title&amp;as_sdt=0%2C5&amp;as_epq=%22Effects+of+Pesticides+on+Embryonic+Development+of+Clams+and+Oysters+and+on+Survival+and+Growth+of+the+Larvae", "Google Scholar")</f>
        <v>Google Scholar</v>
      </c>
    </row>
    <row r="55" spans="1:8" x14ac:dyDescent="0.25">
      <c r="A55">
        <v>165272</v>
      </c>
      <c r="B55" t="s">
        <v>832</v>
      </c>
      <c r="C55" t="s">
        <v>833</v>
      </c>
      <c r="D55" t="s">
        <v>834</v>
      </c>
      <c r="E55">
        <v>2013</v>
      </c>
      <c r="G55" t="s">
        <v>1763</v>
      </c>
      <c r="H55" s="54" t="str">
        <f>HYPERLINK("https://scholar.google.com/scholar?hl=en&amp;as_q=&amp;as_oq=&amp;as_eq=&amp;as_sauthors=&amp;as_publication=&amp;as_ylo=&amp;as_yhi=&amp;as_occt=title&amp;as_sdt=0%2C5&amp;as_epq=%22Influence+of+Increasing+Temperature+and+Salinity+on+Herbicide+Toxicity+in+Estuarine+Phytoplankton", "Google Scholar")</f>
        <v>Google Scholar</v>
      </c>
    </row>
    <row r="56" spans="1:8" x14ac:dyDescent="0.25">
      <c r="A56">
        <v>172991</v>
      </c>
      <c r="B56" t="s">
        <v>543</v>
      </c>
      <c r="C56" t="s">
        <v>544</v>
      </c>
      <c r="D56" t="s">
        <v>545</v>
      </c>
      <c r="E56">
        <v>2015</v>
      </c>
      <c r="G56" t="s">
        <v>1764</v>
      </c>
      <c r="H56" s="55" t="str">
        <f>HYPERLINK("https://scholar.google.com/scholar?hl=en&amp;as_q=&amp;as_oq=&amp;as_eq=&amp;as_sauthors=&amp;as_publication=&amp;as_ylo=&amp;as_yhi=&amp;as_occt=title&amp;as_sdt=0%2C5&amp;as_epq=%22Effect+of+Selected+Herbicides+on+Growth+and+Lipid+Content+of+Nannochloris+oculata", "Google Scholar")</f>
        <v>Google Scholar</v>
      </c>
    </row>
    <row r="57" spans="1:8" x14ac:dyDescent="0.25">
      <c r="A57">
        <v>98904</v>
      </c>
      <c r="B57" t="s">
        <v>348</v>
      </c>
      <c r="C57" t="s">
        <v>349</v>
      </c>
      <c r="D57" t="s">
        <v>350</v>
      </c>
      <c r="E57">
        <v>2005</v>
      </c>
      <c r="G57" t="s">
        <v>1765</v>
      </c>
      <c r="H57" s="56" t="str">
        <f>HYPERLINK("https://scholar.google.com/scholar?hl=en&amp;as_q=&amp;as_oq=&amp;as_eq=&amp;as_sauthors=&amp;as_publication=&amp;as_ylo=&amp;as_yhi=&amp;as_occt=title&amp;as_sdt=0%2C5&amp;as_epq=%22Impact+of+Antifouling+Booster+Biocides+on+Single+Microalgal+Species+and+on+a+Natural+Marine+Phytoplankton+Commun", "Google Scholar")</f>
        <v>Google Scholar</v>
      </c>
    </row>
    <row r="58" spans="1:8" x14ac:dyDescent="0.25">
      <c r="A58">
        <v>59914</v>
      </c>
      <c r="B58" t="s">
        <v>426</v>
      </c>
      <c r="C58" t="s">
        <v>427</v>
      </c>
      <c r="D58" t="s">
        <v>428</v>
      </c>
      <c r="E58">
        <v>1997</v>
      </c>
      <c r="G58" t="s">
        <v>1766</v>
      </c>
      <c r="H58" s="57" t="str">
        <f>HYPERLINK("https://scholar.google.com/scholar?hl=en&amp;as_q=&amp;as_oq=&amp;as_eq=&amp;as_sauthors=&amp;as_publication=&amp;as_ylo=&amp;as_yhi=&amp;as_occt=title&amp;as_sdt=0%2C5&amp;as_epq=%22A+High-Sensitivity+Chlorophyll+Fluorescence+Assay+for+Monitoring+Herbicide+Inhibition+of+Photosystem+II+in+the+C", "Google Scholar")</f>
        <v>Google Scholar</v>
      </c>
    </row>
    <row r="59" spans="1:8" x14ac:dyDescent="0.25">
      <c r="A59">
        <v>68778</v>
      </c>
      <c r="B59" t="s">
        <v>598</v>
      </c>
      <c r="C59" t="s">
        <v>599</v>
      </c>
      <c r="D59" t="s">
        <v>600</v>
      </c>
      <c r="E59">
        <v>1985</v>
      </c>
      <c r="G59" t="s">
        <v>1767</v>
      </c>
      <c r="H59" s="58" t="str">
        <f>HYPERLINK("https://scholar.google.com/scholar?hl=en&amp;as_q=&amp;as_oq=&amp;as_eq=&amp;as_sauthors=&amp;as_publication=&amp;as_ylo=&amp;as_yhi=&amp;as_occt=title&amp;as_sdt=0%2C5&amp;as_epq=%22Photosynthesis+Involvement+in+the+Mechanism+of+Action+of+Diphenyl+Ether+Herbicides", "Google Scholar")</f>
        <v>Google Scholar</v>
      </c>
    </row>
    <row r="60" spans="1:8" x14ac:dyDescent="0.25">
      <c r="A60">
        <v>101988</v>
      </c>
      <c r="B60" t="s">
        <v>573</v>
      </c>
      <c r="C60" t="s">
        <v>574</v>
      </c>
      <c r="D60" t="s">
        <v>575</v>
      </c>
      <c r="E60">
        <v>2002</v>
      </c>
      <c r="G60" t="s">
        <v>1768</v>
      </c>
      <c r="H60" s="59" t="str">
        <f>HYPERLINK("https://scholar.google.com/scholar?hl=en&amp;as_q=&amp;as_oq=&amp;as_eq=&amp;as_sauthors=&amp;as_publication=&amp;as_ylo=&amp;as_yhi=&amp;as_occt=title&amp;as_sdt=0%2C5&amp;as_epq=%22Potassium+Drives+Daily+Reversible+Thallus+Enlargement+in+the+Marine+Red+Alga+Porphyra+leucosticta+%28Rhodophyta%", "Google Scholar")</f>
        <v>Google Scholar</v>
      </c>
    </row>
    <row r="61" spans="1:8" x14ac:dyDescent="0.25">
      <c r="A61">
        <v>120526</v>
      </c>
      <c r="B61" t="s">
        <v>1471</v>
      </c>
      <c r="C61" t="s">
        <v>1472</v>
      </c>
      <c r="D61" t="s">
        <v>1473</v>
      </c>
      <c r="E61">
        <v>2009</v>
      </c>
      <c r="G61" t="s">
        <v>1769</v>
      </c>
      <c r="H61" s="60" t="str">
        <f>HYPERLINK("https://scholar.google.com/scholar?hl=en&amp;as_q=&amp;as_oq=&amp;as_eq=&amp;as_sauthors=&amp;as_publication=&amp;as_ylo=&amp;as_yhi=&amp;as_occt=title&amp;as_sdt=0%2C5&amp;as_epq=%22Energy+Fluxes+and+Driving+Forces+for+Photosynthesis+in+Lemna+minor+Exposed+to+Herbicides", "Google Scholar")</f>
        <v>Google Scholar</v>
      </c>
    </row>
    <row r="62" spans="1:8" x14ac:dyDescent="0.25">
      <c r="A62">
        <v>102140</v>
      </c>
      <c r="B62" t="s">
        <v>1485</v>
      </c>
      <c r="C62" t="s">
        <v>1486</v>
      </c>
      <c r="D62" t="s">
        <v>1487</v>
      </c>
      <c r="E62">
        <v>2007</v>
      </c>
      <c r="G62" t="s">
        <v>1770</v>
      </c>
      <c r="H62" s="61" t="str">
        <f>HYPERLINK("https://scholar.google.com/scholar?hl=en&amp;as_q=&amp;as_oq=&amp;as_eq=&amp;as_sauthors=&amp;as_publication=&amp;as_ylo=&amp;as_yhi=&amp;as_occt=title&amp;as_sdt=0%2C5&amp;as_epq=%22Toxic+Effect+Assessment+of+Pollutant+Mixtures+in+Lemna+minor+by+Using+Polyphasic+Fluorescence+Kinetics", "Google Scholar")</f>
        <v>Google Scholar</v>
      </c>
    </row>
    <row r="63" spans="1:8" x14ac:dyDescent="0.25">
      <c r="A63">
        <v>93825</v>
      </c>
      <c r="B63" t="s">
        <v>546</v>
      </c>
      <c r="C63" t="s">
        <v>547</v>
      </c>
      <c r="D63" t="s">
        <v>548</v>
      </c>
      <c r="E63">
        <v>2003</v>
      </c>
      <c r="G63" t="s">
        <v>1771</v>
      </c>
      <c r="H63" s="62" t="str">
        <f>HYPERLINK("https://scholar.google.com/scholar?hl=en&amp;as_q=&amp;as_oq=&amp;as_eq=&amp;as_sauthors=&amp;as_publication=&amp;as_ylo=&amp;as_yhi=&amp;as_occt=title&amp;as_sdt=0%2C5&amp;as_epq=%22The+F684%2FF735+Chlorophyll+Fluorescence+Ratio%3A++A+Potential+Tool+for+Rapid+Detection+and+Determination+of+Her", "Google Scholar")</f>
        <v>Google Scholar</v>
      </c>
    </row>
    <row r="64" spans="1:8" x14ac:dyDescent="0.25">
      <c r="A64">
        <v>946</v>
      </c>
      <c r="B64" t="s">
        <v>1239</v>
      </c>
      <c r="C64" t="s">
        <v>1240</v>
      </c>
      <c r="D64" t="s">
        <v>1241</v>
      </c>
      <c r="E64">
        <v>1974</v>
      </c>
      <c r="G64" t="s">
        <v>1772</v>
      </c>
      <c r="H64" s="63" t="str">
        <f>HYPERLINK("https://scholar.google.com/scholar?hl=en&amp;as_q=&amp;as_oq=&amp;as_eq=&amp;as_sauthors=&amp;as_publication=&amp;as_ylo=&amp;as_yhi=&amp;as_occt=title&amp;as_sdt=0%2C5&amp;as_epq=%22Resistance+to+Herbicides+in+Insecticide-Resistant+Mosquitofish%2C+Gambusia+affinis", "Google Scholar")</f>
        <v>Google Scholar</v>
      </c>
    </row>
    <row r="65" spans="1:8" x14ac:dyDescent="0.25">
      <c r="A65">
        <v>102060</v>
      </c>
      <c r="B65" t="s">
        <v>429</v>
      </c>
      <c r="C65" t="s">
        <v>430</v>
      </c>
      <c r="D65" t="s">
        <v>431</v>
      </c>
      <c r="E65">
        <v>2007</v>
      </c>
      <c r="G65" t="s">
        <v>1773</v>
      </c>
      <c r="H65" s="64" t="str">
        <f>HYPERLINK("https://scholar.google.com/scholar?hl=en&amp;as_q=&amp;as_oq=&amp;as_eq=&amp;as_sauthors=&amp;as_publication=&amp;as_ylo=&amp;as_yhi=&amp;as_occt=title&amp;as_sdt=0%2C5&amp;as_epq=%22Chlorophyll+a+Fluorescence+as+a+Biomarker+for+Rapid+Toxicity+Assessment", "Google Scholar")</f>
        <v>Google Scholar</v>
      </c>
    </row>
    <row r="66" spans="1:8" x14ac:dyDescent="0.25">
      <c r="A66">
        <v>115495</v>
      </c>
      <c r="B66" t="s">
        <v>466</v>
      </c>
      <c r="C66" t="s">
        <v>467</v>
      </c>
      <c r="D66" t="s">
        <v>468</v>
      </c>
      <c r="E66">
        <v>2009</v>
      </c>
      <c r="G66" t="s">
        <v>1774</v>
      </c>
      <c r="H66" s="65" t="str">
        <f>HYPERLINK("https://scholar.google.com/scholar?hl=en&amp;as_q=&amp;as_oq=&amp;as_eq=&amp;as_sauthors=&amp;as_publication=&amp;as_ylo=&amp;as_yhi=&amp;as_occt=title&amp;as_sdt=0%2C5&amp;as_epq=%22Compatibility+of+Hydroxypropyl-beta-Cyclodextrin+with+Algal+Toxicity+Bioassays", "Google Scholar")</f>
        <v>Google Scholar</v>
      </c>
    </row>
    <row r="67" spans="1:8" x14ac:dyDescent="0.25">
      <c r="A67">
        <v>174479</v>
      </c>
      <c r="B67" t="s">
        <v>1476</v>
      </c>
      <c r="C67" t="s">
        <v>1477</v>
      </c>
      <c r="D67" t="s">
        <v>1478</v>
      </c>
      <c r="E67">
        <v>2015</v>
      </c>
      <c r="G67" t="s">
        <v>1775</v>
      </c>
      <c r="H67" s="66" t="str">
        <f>HYPERLINK("https://scholar.google.com/scholar?hl=en&amp;as_q=&amp;as_oq=&amp;as_eq=&amp;as_sauthors=&amp;as_publication=&amp;as_ylo=&amp;as_yhi=&amp;as_occt=title&amp;as_sdt=0%2C5&amp;as_epq=%22Assessing+Toxicity+of+Organic+Aquatic+Micropollutants+Based+on+the+Total+Chlorophyll+Content+of+Lemna+minor+as+a", "Google Scholar")</f>
        <v>Google Scholar</v>
      </c>
    </row>
    <row r="68" spans="1:8" x14ac:dyDescent="0.25">
      <c r="A68">
        <v>176116</v>
      </c>
      <c r="B68" t="s">
        <v>1157</v>
      </c>
      <c r="C68" t="s">
        <v>1158</v>
      </c>
      <c r="D68" t="s">
        <v>1159</v>
      </c>
      <c r="E68">
        <v>2016</v>
      </c>
      <c r="G68" t="s">
        <v>1776</v>
      </c>
      <c r="H68" s="67" t="str">
        <f>HYPERLINK("https://scholar.google.com/scholar?hl=en&amp;as_q=&amp;as_oq=&amp;as_eq=&amp;as_sauthors=&amp;as_publication=&amp;as_ylo=&amp;as_yhi=&amp;as_occt=title&amp;as_sdt=0%2C5&amp;as_epq=%22Effects+of+Alkylphenols+on+the+Biotransformation+of+Diuron+and+Enzymes+Involved+in+the+Synthesis+and+Clearance+o", "Google Scholar")</f>
        <v>Google Scholar</v>
      </c>
    </row>
    <row r="69" spans="1:8" x14ac:dyDescent="0.25">
      <c r="A69">
        <v>177275</v>
      </c>
      <c r="B69" t="s">
        <v>1170</v>
      </c>
      <c r="C69" t="s">
        <v>1171</v>
      </c>
      <c r="D69" t="s">
        <v>1172</v>
      </c>
      <c r="E69">
        <v>2018</v>
      </c>
      <c r="G69" t="s">
        <v>1777</v>
      </c>
      <c r="H69" s="68" t="str">
        <f>HYPERLINK("https://scholar.google.com/scholar?hl=en&amp;as_q=&amp;as_oq=&amp;as_eq=&amp;as_sauthors=&amp;as_publication=&amp;as_ylo=&amp;as_yhi=&amp;as_occt=title&amp;as_sdt=0%2C5&amp;as_epq=%22Isolated+and+Mixed+Effects+of+Diuron+and+Its+Metabolites+on+Biotransformation+Enzymes+and+Oxidative+Stress+Respo", "Google Scholar")</f>
        <v>Google Scholar</v>
      </c>
    </row>
    <row r="70" spans="1:8" x14ac:dyDescent="0.25">
      <c r="A70">
        <v>13100</v>
      </c>
      <c r="B70" t="s">
        <v>639</v>
      </c>
      <c r="C70" t="s">
        <v>640</v>
      </c>
      <c r="D70" t="s">
        <v>641</v>
      </c>
      <c r="E70">
        <v>1988</v>
      </c>
      <c r="G70" t="s">
        <v>1778</v>
      </c>
      <c r="H70" s="69" t="str">
        <f>HYPERLINK("https://scholar.google.com/scholar?hl=en&amp;as_q=&amp;as_oq=&amp;as_eq=&amp;as_sauthors=&amp;as_publication=&amp;as_ylo=&amp;as_yhi=&amp;as_occt=title&amp;as_sdt=0%2C5&amp;as_epq=%22Use+of+the+Cell+Wall-Less+Alga+Dunaliella+bioculata+in+Herbicide+Screening+Tests", "Google Scholar")</f>
        <v>Google Scholar</v>
      </c>
    </row>
    <row r="71" spans="1:8" x14ac:dyDescent="0.25">
      <c r="A71">
        <v>112129</v>
      </c>
      <c r="B71" t="s">
        <v>261</v>
      </c>
      <c r="C71" t="s">
        <v>262</v>
      </c>
      <c r="D71" t="s">
        <v>263</v>
      </c>
      <c r="E71">
        <v>2002</v>
      </c>
      <c r="G71" t="s">
        <v>1779</v>
      </c>
      <c r="H71" s="70" t="str">
        <f>HYPERLINK("https://scholar.google.com/scholar?hl=en&amp;as_q=&amp;as_oq=&amp;as_eq=&amp;as_sauthors=&amp;as_publication=&amp;as_ylo=&amp;as_yhi=&amp;as_occt=title&amp;as_sdt=0%2C5&amp;as_epq=%22Toxicity+of+Single+and+Mixed+Contaminants+in+Seawater+Measured+with+Acute+Toxicity+Bioassays", "Google Scholar")</f>
        <v>Google Scholar</v>
      </c>
    </row>
    <row r="72" spans="1:8" x14ac:dyDescent="0.25">
      <c r="A72">
        <v>80747</v>
      </c>
      <c r="B72" t="s">
        <v>512</v>
      </c>
      <c r="C72" t="s">
        <v>513</v>
      </c>
      <c r="D72" t="s">
        <v>514</v>
      </c>
      <c r="E72">
        <v>2002</v>
      </c>
      <c r="G72" t="s">
        <v>1780</v>
      </c>
      <c r="H72" s="71" t="str">
        <f>HYPERLINK("https://scholar.google.com/scholar?hl=en&amp;as_q=&amp;as_oq=&amp;as_eq=&amp;as_sauthors=&amp;as_publication=&amp;as_ylo=&amp;as_yhi=&amp;as_occt=title&amp;as_sdt=0%2C5&amp;as_epq=%22Toxicity+Evaluation+of+Single+and+Mixed+Antifouling+Biocides+Measured+with+Acute+Toxicity+Bioassays", "Google Scholar")</f>
        <v>Google Scholar</v>
      </c>
    </row>
    <row r="73" spans="1:8" x14ac:dyDescent="0.25">
      <c r="A73">
        <v>172723</v>
      </c>
      <c r="B73" t="s">
        <v>778</v>
      </c>
      <c r="C73" t="s">
        <v>779</v>
      </c>
      <c r="D73" t="s">
        <v>780</v>
      </c>
      <c r="E73">
        <v>2012</v>
      </c>
      <c r="G73" t="s">
        <v>1781</v>
      </c>
      <c r="H73" s="72" t="str">
        <f>HYPERLINK("https://scholar.google.com/scholar?hl=en&amp;as_q=&amp;as_oq=&amp;as_eq=&amp;as_sauthors=&amp;as_publication=&amp;as_ylo=&amp;as_yhi=&amp;as_occt=title&amp;as_sdt=0%2C5&amp;as_epq=%22Multiple+Stressor+Effects+of+Predation+by+Rotifers+and+Herbicide+Pollution+on+Different+Chlamydomonas+Strains+an", "Google Scholar")</f>
        <v>Google Scholar</v>
      </c>
    </row>
    <row r="74" spans="1:8" x14ac:dyDescent="0.25">
      <c r="A74">
        <v>167314</v>
      </c>
      <c r="B74" t="s">
        <v>1397</v>
      </c>
      <c r="C74" t="s">
        <v>1398</v>
      </c>
      <c r="D74" t="s">
        <v>1399</v>
      </c>
      <c r="E74">
        <v>2013</v>
      </c>
      <c r="G74" t="s">
        <v>1782</v>
      </c>
      <c r="H74" s="73" t="str">
        <f>HYPERLINK("https://scholar.google.com/scholar?hl=en&amp;as_q=&amp;as_oq=&amp;as_eq=&amp;as_sauthors=&amp;as_publication=&amp;as_ylo=&amp;as_yhi=&amp;as_occt=title&amp;as_sdt=0%2C5&amp;as_epq=%22Phytotoxicity+of+Four+Photosystem+II+Herbicides+to+Tropical+Seagrasses", "Google Scholar")</f>
        <v>Google Scholar</v>
      </c>
    </row>
    <row r="75" spans="1:8" x14ac:dyDescent="0.25">
      <c r="A75">
        <v>12661</v>
      </c>
      <c r="B75" t="s">
        <v>1617</v>
      </c>
      <c r="C75" t="s">
        <v>1618</v>
      </c>
      <c r="D75" t="s">
        <v>1619</v>
      </c>
      <c r="E75">
        <v>1987</v>
      </c>
      <c r="G75" t="s">
        <v>1783</v>
      </c>
      <c r="H75" s="74" t="str">
        <f>HYPERLINK("https://scholar.google.com/scholar?hl=en&amp;as_q=&amp;as_oq=&amp;as_eq=&amp;as_sauthors=&amp;as_publication=&amp;as_ylo=&amp;as_yhi=&amp;as_occt=title&amp;as_sdt=0%2C5&amp;as_epq=%22The+Effects+of+Three+Related+Amides+on+Microecosystem+Stability", "Google Scholar")</f>
        <v>Google Scholar</v>
      </c>
    </row>
    <row r="76" spans="1:8" x14ac:dyDescent="0.25">
      <c r="A76">
        <v>150127</v>
      </c>
      <c r="B76" t="s">
        <v>536</v>
      </c>
      <c r="C76" t="s">
        <v>537</v>
      </c>
      <c r="D76" t="s">
        <v>538</v>
      </c>
      <c r="E76">
        <v>2009</v>
      </c>
      <c r="G76" t="s">
        <v>1784</v>
      </c>
      <c r="H76" s="75" t="str">
        <f>HYPERLINK("https://scholar.google.com/scholar?hl=en&amp;as_q=&amp;as_oq=&amp;as_eq=&amp;as_sauthors=&amp;as_publication=&amp;as_ylo=&amp;as_yhi=&amp;as_occt=title&amp;as_sdt=0%2C5&amp;as_epq=%22Stress-Physiological+Reactions+of+the+Green+Alga+Scenedesmus+opoliensis+to+Water+Pollution+with+Herbicides", "Google Scholar")</f>
        <v>Google Scholar</v>
      </c>
    </row>
    <row r="77" spans="1:8" x14ac:dyDescent="0.25">
      <c r="A77">
        <v>10735</v>
      </c>
      <c r="B77" t="s">
        <v>670</v>
      </c>
      <c r="C77" t="s">
        <v>671</v>
      </c>
      <c r="D77" t="s">
        <v>672</v>
      </c>
      <c r="E77">
        <v>1984</v>
      </c>
      <c r="G77" t="s">
        <v>1785</v>
      </c>
      <c r="H77" s="76" t="str">
        <f>HYPERLINK("https://scholar.google.com/scholar?hl=en&amp;as_q=&amp;as_oq=&amp;as_eq=&amp;as_sauthors=&amp;as_publication=&amp;as_ylo=&amp;as_yhi=&amp;as_occt=title&amp;as_sdt=0%2C5&amp;as_epq=%22Effect+of+3-%283%2C4-Dichlorophenyl%29-1%2C1-Dimethylurea+%28DCMU%29+on+Photosynthesis+and+Respiration+of+Nitell", "Google Scholar")</f>
        <v>Google Scholar</v>
      </c>
    </row>
    <row r="78" spans="1:8" x14ac:dyDescent="0.25">
      <c r="A78">
        <v>71603</v>
      </c>
      <c r="B78" t="s">
        <v>768</v>
      </c>
      <c r="C78" t="s">
        <v>769</v>
      </c>
      <c r="D78" t="s">
        <v>770</v>
      </c>
      <c r="E78">
        <v>1997</v>
      </c>
      <c r="G78" t="s">
        <v>1786</v>
      </c>
      <c r="H78" s="77" t="str">
        <f>HYPERLINK("https://scholar.google.com/scholar?hl=en&amp;as_q=&amp;as_oq=&amp;as_eq=&amp;as_sauthors=&amp;as_publication=&amp;as_ylo=&amp;as_yhi=&amp;as_occt=title&amp;as_sdt=0%2C5&amp;as_epq=%22Herbicide+Resistance+and+Growth+of+D1+Ala251+Mutants+in+Chlamydomonas", "Google Scholar")</f>
        <v>Google Scholar</v>
      </c>
    </row>
    <row r="79" spans="1:8" x14ac:dyDescent="0.25">
      <c r="A79">
        <v>67777</v>
      </c>
      <c r="B79" t="s">
        <v>1048</v>
      </c>
      <c r="C79" t="s">
        <v>1049</v>
      </c>
      <c r="D79" t="s">
        <v>1050</v>
      </c>
      <c r="E79">
        <v>1998</v>
      </c>
      <c r="G79" t="s">
        <v>1787</v>
      </c>
      <c r="H79" s="78" t="str">
        <f>HYPERLINK("https://scholar.google.com/scholar?hl=en&amp;as_q=&amp;as_oq=&amp;as_eq=&amp;as_sauthors=&amp;as_publication=&amp;as_ylo=&amp;as_yhi=&amp;as_occt=title&amp;as_sdt=0%2C5&amp;as_epq=%22Laboratory-Derived+Acute+Toxicity+of+Selected+Pesticides+to+Ceriodaphnia+dubia", "Google Scholar")</f>
        <v>Google Scholar</v>
      </c>
    </row>
    <row r="80" spans="1:8" x14ac:dyDescent="0.25">
      <c r="A80">
        <v>177269</v>
      </c>
      <c r="B80" t="s">
        <v>957</v>
      </c>
      <c r="C80" t="s">
        <v>958</v>
      </c>
      <c r="D80" t="s">
        <v>959</v>
      </c>
      <c r="E80">
        <v>2016</v>
      </c>
      <c r="G80" t="s">
        <v>1788</v>
      </c>
      <c r="H80" s="79" t="str">
        <f>HYPERLINK("https://scholar.google.com/scholar?hl=en&amp;as_q=&amp;as_oq=&amp;as_eq=&amp;as_sauthors=&amp;as_publication=&amp;as_ylo=&amp;as_yhi=&amp;as_occt=title&amp;as_sdt=0%2C5&amp;as_epq=%22Influence+of+Temperature+on+the+Thyroidogenic+Effects+of+Diuron+and+Its+Metabolite+3%2C4-DCA+in+Tadpoles+of+the+", "Google Scholar")</f>
        <v>Google Scholar</v>
      </c>
    </row>
    <row r="81" spans="1:8" x14ac:dyDescent="0.25">
      <c r="A81">
        <v>18752</v>
      </c>
      <c r="B81" t="s">
        <v>657</v>
      </c>
      <c r="C81" t="s">
        <v>658</v>
      </c>
      <c r="D81" t="s">
        <v>659</v>
      </c>
      <c r="E81">
        <v>1988</v>
      </c>
      <c r="G81" t="s">
        <v>1789</v>
      </c>
      <c r="H81" s="80" t="str">
        <f>HYPERLINK("https://scholar.google.com/scholar?hl=en&amp;as_q=&amp;as_oq=&amp;as_eq=&amp;as_sauthors=&amp;as_publication=&amp;as_ylo=&amp;as_yhi=&amp;as_occt=title&amp;as_sdt=0%2C5&amp;as_epq=%22Assessment+of+the+Effects+of+the+Photosynthesis-Inhibiting+Herbicides+Diuron%2C+DCMU%2C+Metamitron+and+Metribuzi", "Google Scholar")</f>
        <v>Google Scholar</v>
      </c>
    </row>
    <row r="82" spans="1:8" x14ac:dyDescent="0.25">
      <c r="A82">
        <v>156289</v>
      </c>
      <c r="B82" t="s">
        <v>1164</v>
      </c>
      <c r="C82" t="s">
        <v>1165</v>
      </c>
      <c r="D82" t="s">
        <v>1166</v>
      </c>
      <c r="E82">
        <v>2009</v>
      </c>
      <c r="G82" t="s">
        <v>1790</v>
      </c>
      <c r="H82" s="81" t="str">
        <f>HYPERLINK("https://scholar.google.com/scholar?hl=en&amp;as_q=&amp;as_oq=&amp;as_eq=&amp;as_sauthors=&amp;as_publication=&amp;as_ylo=&amp;as_yhi=&amp;as_occt=title&amp;as_sdt=0%2C5&amp;as_epq=%22Diuron+Increases+Spinal+Deformity+in+Early-Life-Stage+Pink+Snapper+Pagrus+auratus", "Google Scholar")</f>
        <v>Google Scholar</v>
      </c>
    </row>
    <row r="83" spans="1:8" x14ac:dyDescent="0.25">
      <c r="A83">
        <v>169118</v>
      </c>
      <c r="B83" t="s">
        <v>1460</v>
      </c>
      <c r="C83" t="s">
        <v>1461</v>
      </c>
      <c r="D83" t="s">
        <v>1462</v>
      </c>
      <c r="E83">
        <v>2015</v>
      </c>
      <c r="G83" t="s">
        <v>1791</v>
      </c>
      <c r="H83" s="82" t="str">
        <f>HYPERLINK("https://scholar.google.com/scholar?hl=en&amp;as_q=&amp;as_oq=&amp;as_eq=&amp;as_sauthors=&amp;as_publication=&amp;as_ylo=&amp;as_yhi=&amp;as_occt=title&amp;as_sdt=0%2C5&amp;as_epq=%22Assessing+Single+and+Joint+Toxicity+of+Three+Phenylurea+Herbicides+Using+Lemna+minor+and+Vibrio+fischeri+Bioassa", "Google Scholar")</f>
        <v>Google Scholar</v>
      </c>
    </row>
    <row r="84" spans="1:8" x14ac:dyDescent="0.25">
      <c r="A84">
        <v>101987</v>
      </c>
      <c r="B84" t="s">
        <v>254</v>
      </c>
      <c r="C84" t="s">
        <v>255</v>
      </c>
      <c r="D84" t="s">
        <v>256</v>
      </c>
      <c r="E84">
        <v>2007</v>
      </c>
      <c r="G84" t="s">
        <v>1792</v>
      </c>
      <c r="H84" s="83" t="str">
        <f>HYPERLINK("https://scholar.google.com/scholar?hl=en&amp;as_q=&amp;as_oq=&amp;as_eq=&amp;as_sauthors=&amp;as_publication=&amp;as_ylo=&amp;as_yhi=&amp;as_occt=title&amp;as_sdt=0%2C5&amp;as_epq=%22Evaluation+of+Single+and+Joint+Toxic+Effects+of+Two+Antifouling+Biocides%2C+Their+Main+Metabolites+and+Copper+Us", "Google Scholar")</f>
        <v>Google Scholar</v>
      </c>
    </row>
    <row r="85" spans="1:8" x14ac:dyDescent="0.25">
      <c r="A85">
        <v>12858</v>
      </c>
      <c r="B85" t="s">
        <v>1296</v>
      </c>
      <c r="C85" t="s">
        <v>1297</v>
      </c>
      <c r="D85" t="s">
        <v>1298</v>
      </c>
      <c r="E85">
        <v>1986</v>
      </c>
      <c r="F85" t="s">
        <v>1793</v>
      </c>
      <c r="G85" t="s">
        <v>1794</v>
      </c>
      <c r="H85" s="84" t="str">
        <f>HYPERLINK("https://scholar.google.com/scholar?hl=en&amp;as_q=&amp;as_oq=&amp;as_eq=&amp;as_sauthors=&amp;as_publication=&amp;as_ylo=&amp;as_yhi=&amp;as_occt=title&amp;as_sdt=0%2C5&amp;as_epq=%22Acute+Toxicities+of+Organic+Chemicals+to+Fathead+Minnows+%28Pimephales+promelas%29+Volume+III", "Google Scholar")</f>
        <v>Google Scholar</v>
      </c>
    </row>
    <row r="86" spans="1:8" x14ac:dyDescent="0.25">
      <c r="A86">
        <v>101986</v>
      </c>
      <c r="B86" t="s">
        <v>405</v>
      </c>
      <c r="C86" t="s">
        <v>406</v>
      </c>
      <c r="D86" t="s">
        <v>407</v>
      </c>
      <c r="E86">
        <v>2002</v>
      </c>
      <c r="G86" t="s">
        <v>1795</v>
      </c>
      <c r="H86" s="85" t="str">
        <f>HYPERLINK("https://scholar.google.com/scholar?hl=en&amp;as_q=&amp;as_oq=&amp;as_eq=&amp;as_sauthors=&amp;as_publication=&amp;as_ylo=&amp;as_yhi=&amp;as_occt=title&amp;as_sdt=0%2C5&amp;as_epq=%22Effect+of+Oxyfluorfen+and+Diuron+Alone+and+in+Mixture+on+Antioxidative+Enzymes+of+Scenedesmus+obliquus", "Google Scholar")</f>
        <v>Google Scholar</v>
      </c>
    </row>
    <row r="87" spans="1:8" x14ac:dyDescent="0.25">
      <c r="A87">
        <v>98120</v>
      </c>
      <c r="B87" t="s">
        <v>409</v>
      </c>
      <c r="C87" t="s">
        <v>410</v>
      </c>
      <c r="D87" t="s">
        <v>411</v>
      </c>
      <c r="E87">
        <v>2000</v>
      </c>
      <c r="G87" t="s">
        <v>1796</v>
      </c>
      <c r="H87" s="86" t="str">
        <f>HYPERLINK("https://scholar.google.com/scholar?hl=en&amp;as_q=&amp;as_oq=&amp;as_eq=&amp;as_sauthors=&amp;as_publication=&amp;as_ylo=&amp;as_yhi=&amp;as_occt=title&amp;as_sdt=0%2C5&amp;as_epq=%22Catalase+Activity+of+Scenedesmus+obliquus+as+a+Biomarker+of+Environmental+Pollution+by+Herbicides+and+Copper", "Google Scholar")</f>
        <v>Google Scholar</v>
      </c>
    </row>
    <row r="88" spans="1:8" x14ac:dyDescent="0.25">
      <c r="A88">
        <v>168034</v>
      </c>
      <c r="B88" t="s">
        <v>921</v>
      </c>
      <c r="C88" t="s">
        <v>922</v>
      </c>
      <c r="D88" t="s">
        <v>923</v>
      </c>
      <c r="E88">
        <v>2014</v>
      </c>
      <c r="G88" t="s">
        <v>1797</v>
      </c>
      <c r="H88" s="87" t="str">
        <f>HYPERLINK("https://scholar.google.com/scholar?hl=en&amp;as_q=&amp;as_oq=&amp;as_eq=&amp;as_sauthors=&amp;as_publication=&amp;as_ylo=&amp;as_yhi=&amp;as_occt=title&amp;as_sdt=0%2C5&amp;as_epq=%22Acute+Toxicity+Tests+and+meta-Analysis+Identify+Gaps+in+Tropical+Ecotoxicology+for+Amphibians", "Google Scholar")</f>
        <v>Google Scholar</v>
      </c>
    </row>
    <row r="89" spans="1:8" x14ac:dyDescent="0.25">
      <c r="A89">
        <v>20539</v>
      </c>
      <c r="B89" t="s">
        <v>678</v>
      </c>
      <c r="C89" t="s">
        <v>679</v>
      </c>
      <c r="D89" t="s">
        <v>680</v>
      </c>
      <c r="E89">
        <v>1996</v>
      </c>
      <c r="G89" t="s">
        <v>1798</v>
      </c>
      <c r="H89" s="88" t="str">
        <f>HYPERLINK("https://scholar.google.com/scholar?hl=en&amp;as_q=&amp;as_oq=&amp;as_eq=&amp;as_sauthors=&amp;as_publication=&amp;as_ylo=&amp;as_yhi=&amp;as_occt=title&amp;as_sdt=0%2C5&amp;as_epq=%22Selective+Effect+of+the+Herbicide+DCMU+on+Unicellular+Algae+-+A+Potential+Tool+to+Maintain+Monoalgal+Mass+Cultur", "Google Scholar")</f>
        <v>Google Scholar</v>
      </c>
    </row>
    <row r="90" spans="1:8" x14ac:dyDescent="0.25">
      <c r="A90">
        <v>78497</v>
      </c>
      <c r="B90" t="s">
        <v>865</v>
      </c>
      <c r="C90" t="s">
        <v>866</v>
      </c>
      <c r="D90" t="s">
        <v>867</v>
      </c>
      <c r="E90">
        <v>1992</v>
      </c>
      <c r="G90" t="s">
        <v>1799</v>
      </c>
      <c r="H90" s="89" t="str">
        <f>HYPERLINK("https://scholar.google.com/scholar?hl=en&amp;as_q=&amp;as_oq=&amp;as_eq=&amp;as_sauthors=&amp;as_publication=&amp;as_ylo=&amp;as_yhi=&amp;as_occt=title&amp;as_sdt=0%2C5&amp;as_epq=%22Heterotrophic+Plant+Cell+Suspension+Cultures+for+Monitoring+Biological+Activity+in+Agrochemical+Research.++Compa", "Google Scholar")</f>
        <v>Google Scholar</v>
      </c>
    </row>
    <row r="91" spans="1:8" x14ac:dyDescent="0.25">
      <c r="A91">
        <v>18453</v>
      </c>
      <c r="B91" t="s">
        <v>296</v>
      </c>
      <c r="C91" t="s">
        <v>297</v>
      </c>
      <c r="D91" t="s">
        <v>298</v>
      </c>
      <c r="E91">
        <v>1996</v>
      </c>
      <c r="G91" t="s">
        <v>1800</v>
      </c>
      <c r="H91" s="90" t="str">
        <f>HYPERLINK("https://scholar.google.com/scholar?hl=en&amp;as_q=&amp;as_oq=&amp;as_eq=&amp;as_sauthors=&amp;as_publication=&amp;as_ylo=&amp;as_yhi=&amp;as_occt=title&amp;as_sdt=0%2C5&amp;as_epq=%22New+Method+for+Toxicity+Assessment+in+Marine+and+Brackish+Environments+Using+the+Macroalga+Gracilaria+tenuistipi", "Google Scholar")</f>
        <v>Google Scholar</v>
      </c>
    </row>
    <row r="92" spans="1:8" x14ac:dyDescent="0.25">
      <c r="A92">
        <v>87345</v>
      </c>
      <c r="B92" t="s">
        <v>582</v>
      </c>
      <c r="C92" t="s">
        <v>583</v>
      </c>
      <c r="D92" t="s">
        <v>584</v>
      </c>
      <c r="E92">
        <v>2005</v>
      </c>
      <c r="G92" t="s">
        <v>1801</v>
      </c>
      <c r="H92" s="91" t="str">
        <f>HYPERLINK("https://scholar.google.com/scholar?hl=en&amp;as_q=&amp;as_oq=&amp;as_eq=&amp;as_sauthors=&amp;as_publication=&amp;as_ylo=&amp;as_yhi=&amp;as_occt=title&amp;as_sdt=0%2C5&amp;as_epq=%22Synergistic+Effects+of+Diuron+and+Sedimentation+on+Photosynthesis+and+Survival+of+Crustose+Coralline+Algae", "Google Scholar")</f>
        <v>Google Scholar</v>
      </c>
    </row>
    <row r="93" spans="1:8" x14ac:dyDescent="0.25">
      <c r="A93">
        <v>56599</v>
      </c>
      <c r="B93" t="s">
        <v>1414</v>
      </c>
      <c r="C93" t="s">
        <v>1415</v>
      </c>
      <c r="D93" t="s">
        <v>1416</v>
      </c>
      <c r="E93">
        <v>2000</v>
      </c>
      <c r="G93" t="s">
        <v>1802</v>
      </c>
      <c r="H93" s="92" t="str">
        <f>HYPERLINK("https://scholar.google.com/scholar?hl=en&amp;as_q=&amp;as_oq=&amp;as_eq=&amp;as_sauthors=&amp;as_publication=&amp;as_ylo=&amp;as_yhi=&amp;as_occt=title&amp;as_sdt=0%2C5&amp;as_epq=%22The+Impact+of+the+Herbicide+Diuron+on+Photosynthesis+in+Three+Species+of+Tropical+Seagrass", "Google Scholar")</f>
        <v>Google Scholar</v>
      </c>
    </row>
    <row r="94" spans="1:8" x14ac:dyDescent="0.25">
      <c r="A94">
        <v>152874</v>
      </c>
      <c r="B94" t="s">
        <v>363</v>
      </c>
      <c r="C94" t="s">
        <v>364</v>
      </c>
      <c r="D94" t="s">
        <v>365</v>
      </c>
      <c r="E94">
        <v>2005</v>
      </c>
      <c r="G94" t="s">
        <v>1803</v>
      </c>
      <c r="H94" s="93" t="str">
        <f>HYPERLINK("https://scholar.google.com/scholar?hl=en&amp;as_q=&amp;as_oq=&amp;as_eq=&amp;as_sauthors=&amp;as_publication=&amp;as_ylo=&amp;as_yhi=&amp;as_occt=title&amp;as_sdt=0%2C5&amp;as_epq=%22Toxicity+Assays+Applied+to+Wastewater+Treatment", "Google Scholar")</f>
        <v>Google Scholar</v>
      </c>
    </row>
    <row r="95" spans="1:8" x14ac:dyDescent="0.25">
      <c r="A95">
        <v>72537</v>
      </c>
      <c r="B95" t="s">
        <v>1058</v>
      </c>
      <c r="C95" t="s">
        <v>1059</v>
      </c>
      <c r="D95" t="s">
        <v>1060</v>
      </c>
      <c r="E95">
        <v>2003</v>
      </c>
      <c r="G95" t="s">
        <v>1804</v>
      </c>
      <c r="H95" s="94" t="str">
        <f>HYPERLINK("https://scholar.google.com/scholar?hl=en&amp;as_q=&amp;as_oq=&amp;as_eq=&amp;as_sauthors=&amp;as_publication=&amp;as_ylo=&amp;as_yhi=&amp;as_occt=title&amp;as_sdt=0%2C5&amp;as_epq=%22Combined+Toxicity+Effects+of+MTBE+and+Pesticides+Measured+with+Vibrio+fischeri+and+Daphnia+magna+Bioassays", "Google Scholar")</f>
        <v>Google Scholar</v>
      </c>
    </row>
    <row r="96" spans="1:8" x14ac:dyDescent="0.25">
      <c r="A96">
        <v>180865</v>
      </c>
      <c r="B96" t="s">
        <v>1357</v>
      </c>
      <c r="C96" t="s">
        <v>1358</v>
      </c>
      <c r="D96" t="s">
        <v>1359</v>
      </c>
      <c r="E96">
        <v>2006</v>
      </c>
      <c r="G96" t="s">
        <v>1805</v>
      </c>
      <c r="H96" s="95" t="str">
        <f>HYPERLINK("https://scholar.google.com/scholar?hl=en&amp;as_q=&amp;as_oq=&amp;as_eq=&amp;as_sauthors=&amp;as_publication=&amp;as_ylo=&amp;as_yhi=&amp;as_occt=title&amp;as_sdt=0%2C5&amp;as_epq=%22Inhibition+of+Rainbow+Trout+%28Oncorhynchus+mykiss%29+P450+Aromatase+Activities+in+Brain+and+Ovarian+Microsomes+", "Google Scholar")</f>
        <v>Google Scholar</v>
      </c>
    </row>
    <row r="97" spans="1:8" x14ac:dyDescent="0.25">
      <c r="A97">
        <v>63230</v>
      </c>
      <c r="B97" t="s">
        <v>689</v>
      </c>
      <c r="C97" t="s">
        <v>690</v>
      </c>
      <c r="D97" t="s">
        <v>691</v>
      </c>
      <c r="E97">
        <v>1982</v>
      </c>
      <c r="G97" t="s">
        <v>1806</v>
      </c>
      <c r="H97" s="96" t="str">
        <f>HYPERLINK("https://scholar.google.com/scholar?hl=en&amp;as_q=&amp;as_oq=&amp;as_eq=&amp;as_sauthors=&amp;as_publication=&amp;as_ylo=&amp;as_yhi=&amp;as_occt=title&amp;as_sdt=0%2C5&amp;as_epq=%22An+In+Situ+Comparison+of+the+Effectiveness+of+Four+Algicides", "Google Scholar")</f>
        <v>Google Scholar</v>
      </c>
    </row>
    <row r="98" spans="1:8" x14ac:dyDescent="0.25">
      <c r="A98">
        <v>8860</v>
      </c>
      <c r="B98" t="s">
        <v>229</v>
      </c>
      <c r="C98" t="s">
        <v>230</v>
      </c>
      <c r="D98" t="s">
        <v>231</v>
      </c>
      <c r="E98">
        <v>1973</v>
      </c>
      <c r="G98" t="s">
        <v>1807</v>
      </c>
      <c r="H98" s="97" t="str">
        <f>HYPERLINK("https://scholar.google.com/scholar?hl=en&amp;as_q=&amp;as_oq=&amp;as_eq=&amp;as_sauthors=&amp;as_publication=&amp;as_ylo=&amp;as_yhi=&amp;as_occt=title&amp;as_sdt=0%2C5&amp;as_epq=%22Differential+Responses+of+Marine+Phytoplankton+to+Herbicides%3A++Oxygen+Evolution", "Google Scholar")</f>
        <v>Google Scholar</v>
      </c>
    </row>
    <row r="99" spans="1:8" x14ac:dyDescent="0.25">
      <c r="A99">
        <v>94271</v>
      </c>
      <c r="B99" t="s">
        <v>552</v>
      </c>
      <c r="C99" t="s">
        <v>553</v>
      </c>
      <c r="D99" t="s">
        <v>554</v>
      </c>
      <c r="E99">
        <v>2005</v>
      </c>
      <c r="G99" t="s">
        <v>1808</v>
      </c>
      <c r="H99" s="98" t="str">
        <f>HYPERLINK("https://scholar.google.com/scholar?hl=en&amp;as_q=&amp;as_oq=&amp;as_eq=&amp;as_sauthors=&amp;as_publication=&amp;as_ylo=&amp;as_yhi=&amp;as_occt=title&amp;as_sdt=0%2C5&amp;as_epq=%22Toxicity+of+Herbicides+in+Highway+Runoff", "Google Scholar")</f>
        <v>Google Scholar</v>
      </c>
    </row>
    <row r="100" spans="1:8" x14ac:dyDescent="0.25">
      <c r="A100">
        <v>2012</v>
      </c>
      <c r="B100" t="s">
        <v>1105</v>
      </c>
      <c r="C100" t="s">
        <v>1106</v>
      </c>
      <c r="D100" t="s">
        <v>1107</v>
      </c>
      <c r="E100">
        <v>1973</v>
      </c>
      <c r="G100" t="s">
        <v>1809</v>
      </c>
      <c r="H100" s="99" t="str">
        <f>HYPERLINK("https://scholar.google.com/scholar?hl=en&amp;as_q=&amp;as_oq=&amp;as_eq=&amp;as_sauthors=&amp;as_publication=&amp;as_ylo=&amp;as_yhi=&amp;as_occt=title&amp;as_sdt=0%2C5&amp;as_epq=%22Acute+Toxicity+of+Thirty+Chemicals+to+Striped+Bass+%28Morone+saxatilis%29", "Google Scholar")</f>
        <v>Google Scholar</v>
      </c>
    </row>
    <row r="101" spans="1:8" x14ac:dyDescent="0.25">
      <c r="A101">
        <v>682</v>
      </c>
      <c r="B101" t="s">
        <v>101</v>
      </c>
      <c r="C101" t="s">
        <v>102</v>
      </c>
      <c r="D101" t="s">
        <v>103</v>
      </c>
      <c r="E101">
        <v>1976</v>
      </c>
      <c r="G101" t="s">
        <v>1810</v>
      </c>
      <c r="H101" s="100" t="str">
        <f>HYPERLINK("https://scholar.google.com/scholar?hl=en&amp;as_q=&amp;as_oq=&amp;as_eq=&amp;as_sauthors=&amp;as_publication=&amp;as_ylo=&amp;as_yhi=&amp;as_occt=title&amp;as_sdt=0%2C5&amp;as_epq=%22Variability+of+Aquatic+Model+Ecosystem-Derived+Data", "Google Scholar")</f>
        <v>Google Scholar</v>
      </c>
    </row>
    <row r="102" spans="1:8" x14ac:dyDescent="0.25">
      <c r="A102">
        <v>153867</v>
      </c>
      <c r="B102" t="s">
        <v>1512</v>
      </c>
      <c r="C102" t="s">
        <v>1513</v>
      </c>
      <c r="D102" t="s">
        <v>1514</v>
      </c>
      <c r="E102">
        <v>2008</v>
      </c>
      <c r="G102" t="s">
        <v>1811</v>
      </c>
      <c r="H102" s="101" t="str">
        <f>HYPERLINK("https://scholar.google.com/scholar?hl=en&amp;as_q=&amp;as_oq=&amp;as_eq=&amp;as_sauthors=&amp;as_publication=&amp;as_ylo=&amp;as_yhi=&amp;as_occt=title&amp;as_sdt=0%2C5&amp;as_epq=%22Systematics%2C+Ecology%2C+and+Distribution+of+Water+Mites+%28Acari%3A+Parasitengonina%29", "Google Scholar")</f>
        <v>Google Scholar</v>
      </c>
    </row>
    <row r="103" spans="1:8" x14ac:dyDescent="0.25">
      <c r="A103">
        <v>175899</v>
      </c>
      <c r="B103" t="s">
        <v>273</v>
      </c>
      <c r="C103" t="s">
        <v>274</v>
      </c>
      <c r="D103" t="s">
        <v>275</v>
      </c>
      <c r="E103">
        <v>2012</v>
      </c>
      <c r="G103" t="s">
        <v>1812</v>
      </c>
      <c r="H103" s="102" t="str">
        <f>HYPERLINK("https://scholar.google.com/scholar?hl=en&amp;as_q=&amp;as_oq=&amp;as_eq=&amp;as_sauthors=&amp;as_publication=&amp;as_ylo=&amp;as_yhi=&amp;as_occt=title&amp;as_sdt=0%2C5&amp;as_epq=%22Effects+of+Seven+Antifouling+Compounds+on+Photosynthesis+and+Inorganic+Carbon+Use+in+Sugar+Kelp+Saccharina+latis", "Google Scholar")</f>
        <v>Google Scholar</v>
      </c>
    </row>
    <row r="104" spans="1:8" x14ac:dyDescent="0.25">
      <c r="A104">
        <v>78651</v>
      </c>
      <c r="B104" t="s">
        <v>1555</v>
      </c>
      <c r="C104" t="s">
        <v>1556</v>
      </c>
      <c r="D104" t="s">
        <v>1557</v>
      </c>
      <c r="E104">
        <v>2003</v>
      </c>
      <c r="G104" t="s">
        <v>1813</v>
      </c>
      <c r="H104" s="103" t="str">
        <f>HYPERLINK("https://scholar.google.com/scholar?hl=en&amp;as_q=&amp;as_oq=&amp;as_eq=&amp;as_sauthors=&amp;as_publication=&amp;as_ylo=&amp;as_yhi=&amp;as_occt=title&amp;as_sdt=0%2C5&amp;as_epq=%22Effects+of+Herbicides+Diuron+and+Atrazine+on+Corals+of+the+Great+Barrier+Reef%2C+Australia", "Google Scholar")</f>
        <v>Google Scholar</v>
      </c>
    </row>
    <row r="105" spans="1:8" x14ac:dyDescent="0.25">
      <c r="A105">
        <v>75334</v>
      </c>
      <c r="B105" t="s">
        <v>204</v>
      </c>
      <c r="C105" t="s">
        <v>205</v>
      </c>
      <c r="D105" t="s">
        <v>206</v>
      </c>
      <c r="E105">
        <v>2003</v>
      </c>
      <c r="G105" t="s">
        <v>1814</v>
      </c>
      <c r="H105" s="104" t="str">
        <f>HYPERLINK("https://scholar.google.com/scholar?hl=en&amp;as_q=&amp;as_oq=&amp;as_eq=&amp;as_sauthors=&amp;as_publication=&amp;as_ylo=&amp;as_yhi=&amp;as_occt=title&amp;as_sdt=0%2C5&amp;as_epq=%22Phytotoxicity+of+Photosystem+II+%28PSII%29+Herbicides+to+Coral", "Google Scholar")</f>
        <v>Google Scholar</v>
      </c>
    </row>
    <row r="106" spans="1:8" x14ac:dyDescent="0.25">
      <c r="A106">
        <v>14395</v>
      </c>
      <c r="B106" t="s">
        <v>665</v>
      </c>
      <c r="C106" t="s">
        <v>666</v>
      </c>
      <c r="D106" t="s">
        <v>667</v>
      </c>
      <c r="E106">
        <v>1962</v>
      </c>
      <c r="G106" t="s">
        <v>1815</v>
      </c>
      <c r="H106" s="105" t="str">
        <f>HYPERLINK("https://scholar.google.com/scholar?hl=en&amp;as_q=&amp;as_oq=&amp;as_eq=&amp;as_sauthors=&amp;as_publication=&amp;as_ylo=&amp;as_yhi=&amp;as_occt=title&amp;as_sdt=0%2C5&amp;as_epq=%22Chemical+Control+of+Filamentous+Green+Algae", "Google Scholar")</f>
        <v>Google Scholar</v>
      </c>
    </row>
    <row r="107" spans="1:8" x14ac:dyDescent="0.25">
      <c r="A107">
        <v>175889</v>
      </c>
      <c r="B107" t="s">
        <v>292</v>
      </c>
      <c r="C107" t="s">
        <v>293</v>
      </c>
      <c r="D107" t="s">
        <v>294</v>
      </c>
      <c r="E107">
        <v>2016</v>
      </c>
      <c r="G107" t="s">
        <v>1816</v>
      </c>
      <c r="H107" s="106" t="str">
        <f>HYPERLINK("https://scholar.google.com/scholar?hl=en&amp;as_q=&amp;as_oq=&amp;as_eq=&amp;as_sauthors=&amp;as_publication=&amp;as_ylo=&amp;as_yhi=&amp;as_occt=title&amp;as_sdt=0%2C5&amp;as_epq=%22Acute+Toxicity+of+Organic+Antifouling+Biocides+to+Phytoplankton+Nitzschia+pungens+and+Zooplankton+Artemia+Larvae", "Google Scholar")</f>
        <v>Google Scholar</v>
      </c>
    </row>
    <row r="108" spans="1:8" x14ac:dyDescent="0.25">
      <c r="A108">
        <v>102063</v>
      </c>
      <c r="B108" t="s">
        <v>823</v>
      </c>
      <c r="C108" t="s">
        <v>824</v>
      </c>
      <c r="D108" t="s">
        <v>825</v>
      </c>
      <c r="E108">
        <v>2006</v>
      </c>
      <c r="G108" t="s">
        <v>1817</v>
      </c>
      <c r="H108" s="107" t="str">
        <f>HYPERLINK("https://scholar.google.com/scholar?hl=en&amp;as_q=&amp;as_oq=&amp;as_eq=&amp;as_sauthors=&amp;as_publication=&amp;as_ylo=&amp;as_yhi=&amp;as_occt=title&amp;as_sdt=0%2C5&amp;as_epq=%22A+Practical+Ranking+System+to+Compare+Toxicity+of+Anti-Fouling+Paints", "Google Scholar")</f>
        <v>Google Scholar</v>
      </c>
    </row>
    <row r="109" spans="1:8" x14ac:dyDescent="0.25">
      <c r="A109">
        <v>150061</v>
      </c>
      <c r="B109" t="s">
        <v>299</v>
      </c>
      <c r="C109" t="s">
        <v>300</v>
      </c>
      <c r="D109" t="s">
        <v>301</v>
      </c>
      <c r="E109">
        <v>2009</v>
      </c>
      <c r="G109" t="s">
        <v>1818</v>
      </c>
      <c r="H109" s="108" t="str">
        <f>HYPERLINK("https://scholar.google.com/scholar?hl=en&amp;as_q=&amp;as_oq=&amp;as_eq=&amp;as_sauthors=&amp;as_publication=&amp;as_ylo=&amp;as_yhi=&amp;as_occt=title&amp;as_sdt=0%2C5&amp;as_epq=%22Utility+of+Delayed+Fluorescence+as+Endpoint+for+Rapid+Estimation+of+Effect+Concentration+on+the+Green+Alga+Pseud", "Google Scholar")</f>
        <v>Google Scholar</v>
      </c>
    </row>
    <row r="110" spans="1:8" x14ac:dyDescent="0.25">
      <c r="A110">
        <v>7960</v>
      </c>
      <c r="B110" t="s">
        <v>1095</v>
      </c>
      <c r="C110" t="s">
        <v>1096</v>
      </c>
      <c r="D110" t="s">
        <v>1097</v>
      </c>
      <c r="E110">
        <v>1975</v>
      </c>
      <c r="G110" t="s">
        <v>1819</v>
      </c>
      <c r="H110" s="109" t="str">
        <f>HYPERLINK("https://scholar.google.com/scholar?hl=en&amp;as_q=&amp;as_oq=&amp;as_eq=&amp;as_sauthors=&amp;as_publication=&amp;as_ylo=&amp;as_yhi=&amp;as_occt=title&amp;as_sdt=0%2C5&amp;as_epq=%22Effects+of+Diuron+on+the+Energy+Budget+of+a+Daphnia+magna+Population", "Google Scholar")</f>
        <v>Google Scholar</v>
      </c>
    </row>
    <row r="111" spans="1:8" x14ac:dyDescent="0.25">
      <c r="A111">
        <v>6270</v>
      </c>
      <c r="B111" t="s">
        <v>1077</v>
      </c>
      <c r="C111" t="s">
        <v>1078</v>
      </c>
      <c r="D111" t="s">
        <v>1079</v>
      </c>
      <c r="E111">
        <v>1974</v>
      </c>
      <c r="G111" t="s">
        <v>1820</v>
      </c>
      <c r="H111" s="110" t="str">
        <f>HYPERLINK("https://scholar.google.com/scholar?hl=en&amp;as_q=&amp;as_oq=&amp;as_eq=&amp;as_sauthors=&amp;as_publication=&amp;as_ylo=&amp;as_yhi=&amp;as_occt=title&amp;as_sdt=0%2C5&amp;as_epq=%22Biological+Testing+to+Determine+Toxic+Effects+of+Pesticides+in+Water+%28Einige+Biotests+zur+Untersuchung+der+Tox", "Google Scholar")</f>
        <v>Google Scholar</v>
      </c>
    </row>
    <row r="112" spans="1:8" x14ac:dyDescent="0.25">
      <c r="A112">
        <v>120541</v>
      </c>
      <c r="B112" t="s">
        <v>518</v>
      </c>
      <c r="C112" t="s">
        <v>519</v>
      </c>
      <c r="D112" t="s">
        <v>520</v>
      </c>
      <c r="E112">
        <v>2010</v>
      </c>
      <c r="G112" t="s">
        <v>1821</v>
      </c>
      <c r="H112" s="111" t="str">
        <f>HYPERLINK("https://scholar.google.com/scholar?hl=en&amp;as_q=&amp;as_oq=&amp;as_eq=&amp;as_sauthors=&amp;as_publication=&amp;as_ylo=&amp;as_yhi=&amp;as_occt=title&amp;as_sdt=0%2C5&amp;as_epq=%22Co-Tolerance+of+Phytoplankton+Communities+to+Photosynthesis+II+Inhibitors", "Google Scholar")</f>
        <v>Google Scholar</v>
      </c>
    </row>
    <row r="113" spans="1:8" x14ac:dyDescent="0.25">
      <c r="A113">
        <v>165274</v>
      </c>
      <c r="B113" t="s">
        <v>493</v>
      </c>
      <c r="C113" t="s">
        <v>494</v>
      </c>
      <c r="D113" t="s">
        <v>495</v>
      </c>
      <c r="E113">
        <v>2012</v>
      </c>
      <c r="G113" t="s">
        <v>1822</v>
      </c>
      <c r="H113" s="112" t="str">
        <f>HYPERLINK("https://scholar.google.com/scholar?hl=en&amp;as_q=&amp;as_oq=&amp;as_eq=&amp;as_sauthors=&amp;as_publication=&amp;as_ylo=&amp;as_yhi=&amp;as_occt=title&amp;as_sdt=0%2C5&amp;as_epq=%22Sensitivity%2C+Variability%2C+and+Recovery+of+Functional+and+Structural+Endpoints+of+an+Aquatic+Community+Expose", "Google Scholar")</f>
        <v>Google Scholar</v>
      </c>
    </row>
    <row r="114" spans="1:8" x14ac:dyDescent="0.25">
      <c r="A114">
        <v>112913</v>
      </c>
      <c r="B114" t="s">
        <v>208</v>
      </c>
      <c r="C114" t="s">
        <v>209</v>
      </c>
      <c r="D114" t="s">
        <v>210</v>
      </c>
      <c r="E114">
        <v>2008</v>
      </c>
      <c r="G114" t="s">
        <v>1823</v>
      </c>
      <c r="H114" s="113" t="str">
        <f>HYPERLINK("https://scholar.google.com/scholar?hl=en&amp;as_q=&amp;as_oq=&amp;as_eq=&amp;as_sauthors=&amp;as_publication=&amp;as_ylo=&amp;as_yhi=&amp;as_occt=title&amp;as_sdt=0%2C5&amp;as_epq=%22Mixture+Toxicity+of+Three+Photosystem+II+Inhibitors+%28Atrazine%2C+Isoproturon%2C+and+Diuron%29+Toward+Photosynt", "Google Scholar")</f>
        <v>Google Scholar</v>
      </c>
    </row>
    <row r="115" spans="1:8" x14ac:dyDescent="0.25">
      <c r="A115">
        <v>151496</v>
      </c>
      <c r="B115" t="s">
        <v>1419</v>
      </c>
      <c r="C115" t="s">
        <v>1420</v>
      </c>
      <c r="D115" t="s">
        <v>1421</v>
      </c>
      <c r="E115">
        <v>2010</v>
      </c>
      <c r="G115" t="s">
        <v>1824</v>
      </c>
      <c r="H115" s="114" t="str">
        <f>HYPERLINK("https://scholar.google.com/scholar?hl=en&amp;as_q=&amp;as_oq=&amp;as_eq=&amp;as_sauthors=&amp;as_publication=&amp;as_ylo=&amp;as_yhi=&amp;as_occt=title&amp;as_sdt=0%2C5&amp;as_epq=%22Phytotoxicity+of+Atrazine%2C+Isoproturon%2C+and+Diuron+to+Submersed+Macrophytes+in+Outdoor+Mesocosms", "Google Scholar")</f>
        <v>Google Scholar</v>
      </c>
    </row>
    <row r="116" spans="1:8" x14ac:dyDescent="0.25">
      <c r="A116">
        <v>118321</v>
      </c>
      <c r="B116" t="s">
        <v>1422</v>
      </c>
      <c r="C116" t="s">
        <v>1423</v>
      </c>
      <c r="D116" t="s">
        <v>1424</v>
      </c>
      <c r="E116">
        <v>2009</v>
      </c>
      <c r="G116" t="s">
        <v>1825</v>
      </c>
      <c r="H116" s="115" t="str">
        <f>HYPERLINK("https://scholar.google.com/scholar?hl=en&amp;as_q=&amp;as_oq=&amp;as_eq=&amp;as_sauthors=&amp;as_publication=&amp;as_ylo=&amp;as_yhi=&amp;as_occt=title&amp;as_sdt=0%2C5&amp;as_epq=%22Effects+of+Photosystem+II+Inhibitors+and+Their+Mixture+on+Freshwater+Phytoplankton+Succession+in+Outdoor+Mesocos", "Google Scholar")</f>
        <v>Google Scholar</v>
      </c>
    </row>
    <row r="117" spans="1:8" x14ac:dyDescent="0.25">
      <c r="A117">
        <v>6499</v>
      </c>
      <c r="B117" t="s">
        <v>1226</v>
      </c>
      <c r="C117" t="s">
        <v>1227</v>
      </c>
      <c r="D117" t="s">
        <v>1228</v>
      </c>
      <c r="E117">
        <v>1976</v>
      </c>
      <c r="G117" t="s">
        <v>1826</v>
      </c>
      <c r="H117" s="116" t="str">
        <f>HYPERLINK("https://scholar.google.com/scholar?hl=en&amp;as_q=&amp;as_oq=&amp;as_eq=&amp;as_sauthors=&amp;as_publication=&amp;as_ylo=&amp;as_yhi=&amp;as_occt=title&amp;as_sdt=0%2C5&amp;as_epq=%22Pathomorphological+Changes+in+Fish+Under+the+Effect+of+Different+Concentrations+of+Diuron", "Google Scholar")</f>
        <v>Google Scholar</v>
      </c>
    </row>
    <row r="118" spans="1:8" x14ac:dyDescent="0.25">
      <c r="A118">
        <v>14410</v>
      </c>
      <c r="B118" t="s">
        <v>1455</v>
      </c>
      <c r="C118" t="s">
        <v>1456</v>
      </c>
      <c r="D118" t="s">
        <v>1457</v>
      </c>
      <c r="E118">
        <v>1980</v>
      </c>
      <c r="G118" t="s">
        <v>1827</v>
      </c>
      <c r="H118" s="117" t="str">
        <f>HYPERLINK("https://scholar.google.com/scholar?hl=en&amp;as_q=&amp;as_oq=&amp;as_eq=&amp;as_sauthors=&amp;as_publication=&amp;as_ylo=&amp;as_yhi=&amp;as_occt=title&amp;as_sdt=0%2C5&amp;as_epq=%22Energy+Supply+for+Potassium+Uptake+Rhythm+in+a+Duckweed%2C+Lemna+gibba+G3", "Google Scholar")</f>
        <v>Google Scholar</v>
      </c>
    </row>
    <row r="119" spans="1:8" x14ac:dyDescent="0.25">
      <c r="A119">
        <v>172392</v>
      </c>
      <c r="B119" t="s">
        <v>775</v>
      </c>
      <c r="C119" t="s">
        <v>776</v>
      </c>
      <c r="D119" t="s">
        <v>777</v>
      </c>
      <c r="E119">
        <v>2015</v>
      </c>
      <c r="G119" t="s">
        <v>1828</v>
      </c>
      <c r="H119" s="118" t="str">
        <f>HYPERLINK("https://scholar.google.com/scholar?hl=en&amp;as_q=&amp;as_oq=&amp;as_eq=&amp;as_sauthors=&amp;as_publication=&amp;as_ylo=&amp;as_yhi=&amp;as_occt=title&amp;as_sdt=0%2C5&amp;as_epq=%22Acclimation+of+Chlamydomonas+reinhardtii+to+Ultraviolet+Radiation+and+Its+Impact+on+Chemical+Toxicity", "Google Scholar")</f>
        <v>Google Scholar</v>
      </c>
    </row>
    <row r="120" spans="1:8" x14ac:dyDescent="0.25">
      <c r="A120">
        <v>172697</v>
      </c>
      <c r="B120" t="s">
        <v>844</v>
      </c>
      <c r="C120" t="s">
        <v>845</v>
      </c>
      <c r="D120" t="s">
        <v>846</v>
      </c>
      <c r="E120">
        <v>2015</v>
      </c>
      <c r="G120" t="s">
        <v>1829</v>
      </c>
      <c r="H120" s="119" t="str">
        <f>HYPERLINK("https://scholar.google.com/scholar?hl=en&amp;as_q=&amp;as_oq=&amp;as_eq=&amp;as_sauthors=&amp;as_publication=&amp;as_ylo=&amp;as_yhi=&amp;as_occt=title&amp;as_sdt=0%2C5&amp;as_epq=%22Multiple+Stressor+Effects+in+Chlamydomonas+reinhardtii+-+Toward+Understanding+Mechanisms+of+Interaction+Between+", "Google Scholar")</f>
        <v>Google Scholar</v>
      </c>
    </row>
    <row r="121" spans="1:8" x14ac:dyDescent="0.25">
      <c r="A121">
        <v>7545</v>
      </c>
      <c r="B121" t="s">
        <v>1534</v>
      </c>
      <c r="C121" t="s">
        <v>1535</v>
      </c>
      <c r="D121" t="s">
        <v>1536</v>
      </c>
      <c r="E121">
        <v>1977</v>
      </c>
      <c r="G121" t="s">
        <v>1830</v>
      </c>
      <c r="H121" s="120" t="str">
        <f>HYPERLINK("https://scholar.google.com/scholar?hl=en&amp;as_q=&amp;as_oq=&amp;as_eq=&amp;as_sauthors=&amp;as_publication=&amp;as_ylo=&amp;as_yhi=&amp;as_occt=title&amp;as_sdt=0%2C5&amp;as_epq=%22Effect+of+Diluron%2C+Dilor+and+Methylnitrophos+on+Chironomids", "Google Scholar")</f>
        <v>Google Scholar</v>
      </c>
    </row>
    <row r="122" spans="1:8" x14ac:dyDescent="0.25">
      <c r="A122">
        <v>111593</v>
      </c>
      <c r="B122" t="s">
        <v>1500</v>
      </c>
      <c r="C122" t="s">
        <v>1501</v>
      </c>
      <c r="D122" t="s">
        <v>1502</v>
      </c>
      <c r="E122">
        <v>2005</v>
      </c>
      <c r="G122" t="s">
        <v>1831</v>
      </c>
      <c r="H122" s="121" t="str">
        <f>HYPERLINK("https://scholar.google.com/scholar?hl=en&amp;as_q=&amp;as_oq=&amp;as_eq=&amp;as_sauthors=&amp;as_publication=&amp;as_ylo=&amp;as_yhi=&amp;as_occt=title&amp;as_sdt=0%2C5&amp;as_epq=%22Documentation%2C+Characterization%2C+and+Proposed+Mechanism+of+Diquat+Resistance+in+Landoltia+punctata+%28G.+Mey", "Google Scholar")</f>
        <v>Google Scholar</v>
      </c>
    </row>
    <row r="123" spans="1:8" x14ac:dyDescent="0.25">
      <c r="A123">
        <v>101947</v>
      </c>
      <c r="B123" t="s">
        <v>470</v>
      </c>
      <c r="C123" t="s">
        <v>996</v>
      </c>
      <c r="D123" t="s">
        <v>997</v>
      </c>
      <c r="E123">
        <v>2007</v>
      </c>
      <c r="G123" t="s">
        <v>1832</v>
      </c>
      <c r="H123" s="122" t="str">
        <f>HYPERLINK("https://scholar.google.com/scholar?hl=en&amp;as_q=&amp;as_oq=&amp;as_eq=&amp;as_sauthors=&amp;as_publication=&amp;as_ylo=&amp;as_yhi=&amp;as_occt=title&amp;as_sdt=0%2C5&amp;as_epq=%22Toxicity+of+Four+Antifouling+Biocides+and+Their+Mixtures+on+the+Brine+Shrimp+Artemia+salina", "Google Scholar")</f>
        <v>Google Scholar</v>
      </c>
    </row>
    <row r="124" spans="1:8" x14ac:dyDescent="0.25">
      <c r="A124">
        <v>102065</v>
      </c>
      <c r="B124" t="s">
        <v>470</v>
      </c>
      <c r="C124" t="s">
        <v>471</v>
      </c>
      <c r="D124" t="s">
        <v>472</v>
      </c>
      <c r="E124">
        <v>2006</v>
      </c>
      <c r="G124" t="s">
        <v>1833</v>
      </c>
      <c r="H124" s="123" t="str">
        <f>HYPERLINK("https://scholar.google.com/scholar?hl=en&amp;as_q=&amp;as_oq=&amp;as_eq=&amp;as_sauthors=&amp;as_publication=&amp;as_ylo=&amp;as_yhi=&amp;as_occt=title&amp;as_sdt=0%2C5&amp;as_epq=%22The+Interactive+Effects+of+Binary+Mixtures+of+Three+Antifouling+Biocides+and+Three+Heavy+Metals+Against+the+Mari", "Google Scholar")</f>
        <v>Google Scholar</v>
      </c>
    </row>
    <row r="125" spans="1:8" x14ac:dyDescent="0.25">
      <c r="A125">
        <v>5036</v>
      </c>
      <c r="B125" t="s">
        <v>1037</v>
      </c>
      <c r="C125" t="s">
        <v>1038</v>
      </c>
      <c r="D125" t="s">
        <v>1039</v>
      </c>
      <c r="E125">
        <v>1980</v>
      </c>
      <c r="G125" t="s">
        <v>1834</v>
      </c>
      <c r="H125" s="124" t="str">
        <f>HYPERLINK("https://scholar.google.com/scholar?hl=en&amp;as_q=&amp;as_oq=&amp;as_eq=&amp;as_sauthors=&amp;as_publication=&amp;as_ylo=&amp;as_yhi=&amp;as_occt=title&amp;as_sdt=0%2C5&amp;as_epq=%22The+Metabolic+Response+of+Paratelphusa+jacquemontii+to+Some+Pollutants", "Google Scholar")</f>
        <v>Google Scholar</v>
      </c>
    </row>
    <row r="126" spans="1:8" x14ac:dyDescent="0.25">
      <c r="A126">
        <v>121117</v>
      </c>
      <c r="B126" t="s">
        <v>991</v>
      </c>
      <c r="C126" t="s">
        <v>992</v>
      </c>
      <c r="D126" t="s">
        <v>993</v>
      </c>
      <c r="E126">
        <v>2010</v>
      </c>
      <c r="G126" t="s">
        <v>1835</v>
      </c>
      <c r="H126" s="125" t="str">
        <f>HYPERLINK("https://scholar.google.com/scholar?hl=en&amp;as_q=&amp;as_oq=&amp;as_eq=&amp;as_sauthors=&amp;as_publication=&amp;as_ylo=&amp;as_yhi=&amp;as_occt=title&amp;as_sdt=0%2C5&amp;as_epq=%22Toxicity+of+Selected+Pesticides+to+Freshwater+Shrimp%2C+Paratya+australiensis+%28Decapoda%3A++Atyidae%29%3A+Use+", "Google Scholar")</f>
        <v>Google Scholar</v>
      </c>
    </row>
    <row r="127" spans="1:8" x14ac:dyDescent="0.25">
      <c r="A127">
        <v>159159</v>
      </c>
      <c r="B127" t="s">
        <v>1442</v>
      </c>
      <c r="C127" t="s">
        <v>1446</v>
      </c>
      <c r="D127" t="s">
        <v>1447</v>
      </c>
      <c r="E127">
        <v>2011</v>
      </c>
      <c r="G127" t="s">
        <v>1836</v>
      </c>
      <c r="H127" s="126" t="str">
        <f>HYPERLINK("https://scholar.google.com/scholar?hl=en&amp;as_q=&amp;as_oq=&amp;as_eq=&amp;as_sauthors=&amp;as_publication=&amp;as_ylo=&amp;as_yhi=&amp;as_occt=title&amp;as_sdt=0%2C5&amp;as_epq=%22Toxicity+of+Single+and+Combined+Herbicides+on+PSII+Maximum+Efficiency+of+an+Aquatic+Higher+Plant%2C+Lemna+sp.", "Google Scholar")</f>
        <v>Google Scholar</v>
      </c>
    </row>
    <row r="128" spans="1:8" x14ac:dyDescent="0.25">
      <c r="A128">
        <v>174699</v>
      </c>
      <c r="B128" t="s">
        <v>1442</v>
      </c>
      <c r="C128" t="s">
        <v>1443</v>
      </c>
      <c r="D128" t="s">
        <v>1444</v>
      </c>
      <c r="E128">
        <v>2010</v>
      </c>
      <c r="G128" t="s">
        <v>1837</v>
      </c>
      <c r="H128" s="127" t="str">
        <f>HYPERLINK("https://scholar.google.com/scholar?hl=en&amp;as_q=&amp;as_oq=&amp;as_eq=&amp;as_sauthors=&amp;as_publication=&amp;as_ylo=&amp;as_yhi=&amp;as_occt=title&amp;as_sdt=0%2C5&amp;as_epq=%22Physiological+Response+of+Lemna+Species+to+Herbicides+and+Its+Probable+Use+in+Toxicity+Testing", "Google Scholar")</f>
        <v>Google Scholar</v>
      </c>
    </row>
    <row r="129" spans="1:8" x14ac:dyDescent="0.25">
      <c r="A129">
        <v>9377</v>
      </c>
      <c r="B129" t="s">
        <v>628</v>
      </c>
      <c r="C129" t="s">
        <v>629</v>
      </c>
      <c r="D129" t="s">
        <v>630</v>
      </c>
      <c r="E129">
        <v>1971</v>
      </c>
      <c r="G129" t="s">
        <v>1838</v>
      </c>
      <c r="H129" s="128" t="str">
        <f>HYPERLINK("https://scholar.google.com/scholar?hl=en&amp;as_q=&amp;as_oq=&amp;as_eq=&amp;as_sauthors=&amp;as_publication=&amp;as_ylo=&amp;as_yhi=&amp;as_occt=title&amp;as_sdt=0%2C5&amp;as_epq=%22Effect+of+DCMU%2C+an+Inhibitor+of+Photophosphorylation%2C+on+the+Variability+of+Chlorella", "Google Scholar")</f>
        <v>Google Scholar</v>
      </c>
    </row>
    <row r="130" spans="1:8" x14ac:dyDescent="0.25">
      <c r="A130">
        <v>6016</v>
      </c>
      <c r="B130" t="s">
        <v>1329</v>
      </c>
      <c r="C130" t="s">
        <v>1330</v>
      </c>
      <c r="D130" t="s">
        <v>1331</v>
      </c>
      <c r="E130">
        <v>1977</v>
      </c>
      <c r="G130" t="s">
        <v>1839</v>
      </c>
      <c r="H130" s="129" t="str">
        <f>HYPERLINK("https://scholar.google.com/scholar?hl=en&amp;as_q=&amp;as_oq=&amp;as_eq=&amp;as_sauthors=&amp;as_publication=&amp;as_ylo=&amp;as_yhi=&amp;as_occt=title&amp;as_sdt=0%2C5&amp;as_epq=%22Examinations+of+the+Toxicity+of+Diuron%2C+Linuron%2C+Monolinuron+and+Monuron+for+the+Carp+Fry+in+the+Acute+Test", "Google Scholar")</f>
        <v>Google Scholar</v>
      </c>
    </row>
    <row r="131" spans="1:8" x14ac:dyDescent="0.25">
      <c r="A131">
        <v>102064</v>
      </c>
      <c r="B131" t="s">
        <v>319</v>
      </c>
      <c r="C131" t="s">
        <v>320</v>
      </c>
      <c r="D131" t="s">
        <v>321</v>
      </c>
      <c r="E131">
        <v>2006</v>
      </c>
      <c r="G131" t="s">
        <v>1840</v>
      </c>
      <c r="H131" s="130" t="str">
        <f>HYPERLINK("https://scholar.google.com/scholar?hl=en&amp;as_q=&amp;as_oq=&amp;as_eq=&amp;as_sauthors=&amp;as_publication=&amp;as_ylo=&amp;as_yhi=&amp;as_occt=title&amp;as_sdt=0%2C5&amp;as_epq=%22Assessment+of+the+Risk+Posed+by+the+Antifouling+Booster+Biocides+Irgarol+1051+and+Diuron+to+Freshwater+Macrophyt", "Google Scholar")</f>
        <v>Google Scholar</v>
      </c>
    </row>
    <row r="132" spans="1:8" x14ac:dyDescent="0.25">
      <c r="A132">
        <v>161002</v>
      </c>
      <c r="B132" t="s">
        <v>122</v>
      </c>
      <c r="C132" t="s">
        <v>123</v>
      </c>
      <c r="D132" t="s">
        <v>124</v>
      </c>
      <c r="E132">
        <v>2012</v>
      </c>
      <c r="G132" t="s">
        <v>1841</v>
      </c>
      <c r="H132" s="131" t="str">
        <f>HYPERLINK("https://scholar.google.com/scholar?hl=en&amp;as_q=&amp;as_oq=&amp;as_eq=&amp;as_sauthors=&amp;as_publication=&amp;as_ylo=&amp;as_yhi=&amp;as_occt=title&amp;as_sdt=0%2C5&amp;as_epq=%22Using+Bioassays+and+Species+Sensitivity+Distributions+to+Assess+Herbicide+Toxicity+Towards+Benthic+Diatoms", "Google Scholar")</f>
        <v>Google Scholar</v>
      </c>
    </row>
    <row r="133" spans="1:8" x14ac:dyDescent="0.25">
      <c r="A133">
        <v>166513</v>
      </c>
      <c r="B133" t="s">
        <v>139</v>
      </c>
      <c r="C133" t="s">
        <v>140</v>
      </c>
      <c r="D133" t="s">
        <v>141</v>
      </c>
      <c r="E133">
        <v>2013</v>
      </c>
      <c r="G133" t="s">
        <v>1842</v>
      </c>
      <c r="H133" s="132" t="str">
        <f>HYPERLINK("https://scholar.google.com/scholar?hl=en&amp;as_q=&amp;as_oq=&amp;as_eq=&amp;as_sauthors=&amp;as_publication=&amp;as_ylo=&amp;as_yhi=&amp;as_occt=title&amp;as_sdt=0%2C5&amp;as_epq=%22Assessment+of+Toxicity+Thresholds+in+Aquatic+Environments%3A+Does+Benthic+Growth+of+Diatoms+Affect+Their+Exposur", "Google Scholar")</f>
        <v>Google Scholar</v>
      </c>
    </row>
    <row r="134" spans="1:8" x14ac:dyDescent="0.25">
      <c r="A134">
        <v>166447</v>
      </c>
      <c r="B134" t="s">
        <v>155</v>
      </c>
      <c r="C134" t="s">
        <v>156</v>
      </c>
      <c r="D134" t="s">
        <v>157</v>
      </c>
      <c r="E134">
        <v>2014</v>
      </c>
      <c r="G134" t="s">
        <v>1843</v>
      </c>
      <c r="H134" s="133" t="str">
        <f>HYPERLINK("https://scholar.google.com/scholar?hl=en&amp;as_q=&amp;as_oq=&amp;as_eq=&amp;as_sauthors=&amp;as_publication=&amp;as_ylo=&amp;as_yhi=&amp;as_occt=title&amp;as_sdt=0%2C5&amp;as_epq=%22Linking+Diatom+Sensitivity+to+Herbicides+to+Phylogeny%3A++A+Step+Forward+for+Biomonitoring%3F", "Google Scholar")</f>
        <v>Google Scholar</v>
      </c>
    </row>
    <row r="135" spans="1:8" x14ac:dyDescent="0.25">
      <c r="A135">
        <v>158435</v>
      </c>
      <c r="B135" t="s">
        <v>974</v>
      </c>
      <c r="C135" t="s">
        <v>975</v>
      </c>
      <c r="D135" t="s">
        <v>976</v>
      </c>
      <c r="E135">
        <v>2011</v>
      </c>
      <c r="G135" t="s">
        <v>1844</v>
      </c>
      <c r="H135" s="134" t="str">
        <f>HYPERLINK("https://scholar.google.com/scholar?hl=en&amp;as_q=&amp;as_oq=&amp;as_eq=&amp;as_sauthors=&amp;as_publication=&amp;as_ylo=&amp;as_yhi=&amp;as_occt=title&amp;as_sdt=0%2C5&amp;as_epq=%22Sensitivity+of+Two+Mesocyclops+%28Crustacea%2C+Copepoda%2C+Cyclopidae%29%2C+from+Tropical+and+Temperate+Origins%", "Google Scholar")</f>
        <v>Google Scholar</v>
      </c>
    </row>
    <row r="136" spans="1:8" x14ac:dyDescent="0.25">
      <c r="A136">
        <v>172395</v>
      </c>
      <c r="B136" t="s">
        <v>728</v>
      </c>
      <c r="C136" t="s">
        <v>729</v>
      </c>
      <c r="D136" t="s">
        <v>730</v>
      </c>
      <c r="E136">
        <v>2011</v>
      </c>
      <c r="G136" t="s">
        <v>1845</v>
      </c>
      <c r="H136" s="135" t="str">
        <f>HYPERLINK("https://scholar.google.com/scholar?hl=en&amp;as_q=&amp;as_oq=&amp;as_eq=&amp;as_sauthors=&amp;as_publication=&amp;as_ylo=&amp;as_yhi=&amp;as_occt=title&amp;as_sdt=0%2C5&amp;as_epq=%22Comparison+of+the+Effects+of+Two+Herbicides+and+an+Insecticide+on+Tropical+Freshwater+Plankton+in+Microcosms", "Google Scholar")</f>
        <v>Google Scholar</v>
      </c>
    </row>
    <row r="137" spans="1:8" x14ac:dyDescent="0.25">
      <c r="A137">
        <v>89249</v>
      </c>
      <c r="B137" t="s">
        <v>1425</v>
      </c>
      <c r="C137" t="s">
        <v>1426</v>
      </c>
      <c r="D137" t="s">
        <v>1427</v>
      </c>
      <c r="E137">
        <v>2006</v>
      </c>
      <c r="G137" t="s">
        <v>1846</v>
      </c>
      <c r="H137" s="136" t="str">
        <f>HYPERLINK("https://scholar.google.com/scholar?hl=en&amp;as_q=&amp;as_oq=&amp;as_eq=&amp;as_sauthors=&amp;as_publication=&amp;as_ylo=&amp;as_yhi=&amp;as_occt=title&amp;as_sdt=0%2C5&amp;as_epq=%22Inhibition+of+Microphytobenthic+Photosynthesis+by+the+Herbicides+Atrazine+and+Diuron", "Google Scholar")</f>
        <v>Google Scholar</v>
      </c>
    </row>
    <row r="138" spans="1:8" x14ac:dyDescent="0.25">
      <c r="A138">
        <v>170671</v>
      </c>
      <c r="B138" t="s">
        <v>587</v>
      </c>
      <c r="C138" t="s">
        <v>588</v>
      </c>
      <c r="D138" t="s">
        <v>589</v>
      </c>
      <c r="E138">
        <v>2015</v>
      </c>
      <c r="G138" t="s">
        <v>1847</v>
      </c>
      <c r="H138" s="137" t="str">
        <f>HYPERLINK("https://scholar.google.com/scholar?hl=en&amp;as_q=&amp;as_oq=&amp;as_eq=&amp;as_sauthors=&amp;as_publication=&amp;as_ylo=&amp;as_yhi=&amp;as_occt=title&amp;as_sdt=0%2C5&amp;as_epq=%22Inhibitory+Effects+and+Oxidative+Target+Site+of+Dibutyl+Phthalate+on+Karenia+brevis", "Google Scholar")</f>
        <v>Google Scholar</v>
      </c>
    </row>
    <row r="139" spans="1:8" x14ac:dyDescent="0.25">
      <c r="A139">
        <v>8628</v>
      </c>
      <c r="B139" t="s">
        <v>1387</v>
      </c>
      <c r="C139" t="s">
        <v>1388</v>
      </c>
      <c r="D139" t="s">
        <v>1389</v>
      </c>
      <c r="E139">
        <v>1974</v>
      </c>
      <c r="G139" t="s">
        <v>1848</v>
      </c>
      <c r="H139" s="138" t="str">
        <f>HYPERLINK("https://scholar.google.com/scholar?hl=en&amp;as_q=&amp;as_oq=&amp;as_eq=&amp;as_sauthors=&amp;as_publication=&amp;as_ylo=&amp;as_yhi=&amp;as_occt=title&amp;as_sdt=0%2C5&amp;as_epq=%22Effects+of+Fluometuron%2C+Prometryne%2C+Ametryne%2C+and+Diuron+on+Growth+of+Two+Lemna+Species", "Google Scholar")</f>
        <v>Google Scholar</v>
      </c>
    </row>
    <row r="140" spans="1:8" x14ac:dyDescent="0.25">
      <c r="A140">
        <v>180577</v>
      </c>
      <c r="B140" t="s">
        <v>529</v>
      </c>
      <c r="C140" t="s">
        <v>530</v>
      </c>
      <c r="D140" t="s">
        <v>531</v>
      </c>
      <c r="E140">
        <v>2016</v>
      </c>
      <c r="G140" t="s">
        <v>1849</v>
      </c>
      <c r="H140" s="139" t="str">
        <f>HYPERLINK("https://scholar.google.com/scholar?hl=en&amp;as_q=&amp;as_oq=&amp;as_eq=&amp;as_sauthors=&amp;as_publication=&amp;as_ylo=&amp;as_yhi=&amp;as_occt=title&amp;as_sdt=0%2C5&amp;as_epq=%22Inhibitory+Mechanism+of+Phthalate+Esters+on+Karenia+brevis", "Google Scholar")</f>
        <v>Google Scholar</v>
      </c>
    </row>
    <row r="141" spans="1:8" x14ac:dyDescent="0.25">
      <c r="A141">
        <v>116910</v>
      </c>
      <c r="B141" t="s">
        <v>240</v>
      </c>
      <c r="C141" t="s">
        <v>241</v>
      </c>
      <c r="D141" t="s">
        <v>242</v>
      </c>
      <c r="E141">
        <v>2009</v>
      </c>
      <c r="G141" t="s">
        <v>1850</v>
      </c>
      <c r="H141" s="140" t="str">
        <f>HYPERLINK("https://scholar.google.com/scholar?hl=en&amp;as_q=&amp;as_oq=&amp;as_eq=&amp;as_sauthors=&amp;as_publication=&amp;as_ylo=&amp;as_yhi=&amp;as_occt=title&amp;as_sdt=0%2C5&amp;as_epq=%22Effect+of+Perfluorooctane+Sulfonate+on+Toxicity+and+Cell+Uptake+of+Other+Compounds+with+Different+Hydrophobicity", "Google Scholar")</f>
        <v>Google Scholar</v>
      </c>
    </row>
    <row r="142" spans="1:8" x14ac:dyDescent="0.25">
      <c r="A142">
        <v>174258</v>
      </c>
      <c r="B142" t="s">
        <v>1550</v>
      </c>
      <c r="C142" t="s">
        <v>1551</v>
      </c>
      <c r="D142" t="s">
        <v>1552</v>
      </c>
      <c r="E142">
        <v>1986</v>
      </c>
      <c r="G142" t="s">
        <v>1851</v>
      </c>
      <c r="H142" s="141" t="str">
        <f>HYPERLINK("https://scholar.google.com/scholar?hl=en&amp;as_q=&amp;as_oq=&amp;as_eq=&amp;as_sauthors=&amp;as_publication=&amp;as_ylo=&amp;as_yhi=&amp;as_occt=title&amp;as_sdt=0%2C5&amp;as_epq=%22The+Interactions+of+Pesticides+with+Free-Living+Protozoa", "Google Scholar")</f>
        <v>Google Scholar</v>
      </c>
    </row>
    <row r="143" spans="1:8" x14ac:dyDescent="0.25">
      <c r="A143">
        <v>157639</v>
      </c>
      <c r="B143" t="s">
        <v>1650</v>
      </c>
      <c r="C143" t="s">
        <v>1651</v>
      </c>
      <c r="D143" t="s">
        <v>1652</v>
      </c>
      <c r="E143">
        <v>2012</v>
      </c>
      <c r="G143" t="s">
        <v>1852</v>
      </c>
      <c r="H143" s="142" t="str">
        <f>HYPERLINK("https://scholar.google.com/scholar?hl=en&amp;as_q=&amp;as_oq=&amp;as_eq=&amp;as_sauthors=&amp;as_publication=&amp;as_ylo=&amp;as_yhi=&amp;as_occt=title&amp;as_sdt=0%2C5&amp;as_epq=%22Detection+of+Early+Effects+of+a+Single+Herbicide+%28Diuron%29+and+a+Mix+of+Herbicides+and+Pharmaceuticals+%28Diu", "Google Scholar")</f>
        <v>Google Scholar</v>
      </c>
    </row>
    <row r="144" spans="1:8" x14ac:dyDescent="0.25">
      <c r="A144">
        <v>79402</v>
      </c>
      <c r="B144" t="s">
        <v>1541</v>
      </c>
      <c r="C144" t="s">
        <v>1542</v>
      </c>
      <c r="D144" t="s">
        <v>1543</v>
      </c>
      <c r="E144">
        <v>2004</v>
      </c>
      <c r="G144" t="s">
        <v>1853</v>
      </c>
      <c r="H144" s="143" t="str">
        <f>HYPERLINK("https://scholar.google.com/scholar?hl=en&amp;as_q=&amp;as_oq=&amp;as_eq=&amp;as_sauthors=&amp;as_publication=&amp;as_ylo=&amp;as_yhi=&amp;as_occt=title&amp;as_sdt=0%2C5&amp;as_epq=%22Toxicity+Assessment+of+Pesticide+Mixtures+Typical+of+the+Sacramento-San+Joaquin+Delta+Using+Chironomus+tentans", "Google Scholar")</f>
        <v>Google Scholar</v>
      </c>
    </row>
    <row r="145" spans="1:8" x14ac:dyDescent="0.25">
      <c r="A145">
        <v>65945</v>
      </c>
      <c r="B145" t="s">
        <v>356</v>
      </c>
      <c r="C145" t="s">
        <v>357</v>
      </c>
      <c r="D145" t="s">
        <v>358</v>
      </c>
      <c r="E145">
        <v>2002</v>
      </c>
      <c r="G145" t="s">
        <v>1854</v>
      </c>
      <c r="H145" s="144" t="str">
        <f>HYPERLINK("https://scholar.google.com/scholar?hl=en&amp;as_q=&amp;as_oq=&amp;as_eq=&amp;as_sauthors=&amp;as_publication=&amp;as_ylo=&amp;as_yhi=&amp;as_occt=title&amp;as_sdt=0%2C5&amp;as_epq=%22Differential+Sensitivity+to+30+Herbicides+Among+Populations+of+Two+Green+Algae+Scenedesmus+obliquus+and+Chlorell", "Google Scholar")</f>
        <v>Google Scholar</v>
      </c>
    </row>
    <row r="146" spans="1:8" x14ac:dyDescent="0.25">
      <c r="A146">
        <v>71458</v>
      </c>
      <c r="B146" t="s">
        <v>857</v>
      </c>
      <c r="C146" t="s">
        <v>858</v>
      </c>
      <c r="D146" t="s">
        <v>859</v>
      </c>
      <c r="E146">
        <v>2003</v>
      </c>
      <c r="G146" t="s">
        <v>1855</v>
      </c>
      <c r="H146" s="145" t="str">
        <f>HYPERLINK("https://scholar.google.com/scholar?hl=en&amp;as_q=&amp;as_oq=&amp;as_eq=&amp;as_sauthors=&amp;as_publication=&amp;as_ylo=&amp;as_yhi=&amp;as_occt=title&amp;as_sdt=0%2C5&amp;as_epq=%22Toxicity+of+21+Herbicides+to+the+Green+Alga+Scenedesmus+quadricauda", "Google Scholar")</f>
        <v>Google Scholar</v>
      </c>
    </row>
    <row r="147" spans="1:8" x14ac:dyDescent="0.25">
      <c r="A147">
        <v>65938</v>
      </c>
      <c r="B147" t="s">
        <v>785</v>
      </c>
      <c r="C147" t="s">
        <v>786</v>
      </c>
      <c r="D147" t="s">
        <v>787</v>
      </c>
      <c r="E147">
        <v>2002</v>
      </c>
      <c r="G147" t="s">
        <v>1856</v>
      </c>
      <c r="H147" s="146" t="str">
        <f>HYPERLINK("https://scholar.google.com/scholar?hl=en&amp;as_q=&amp;as_oq=&amp;as_eq=&amp;as_sauthors=&amp;as_publication=&amp;as_ylo=&amp;as_yhi=&amp;as_occt=title&amp;as_sdt=0%2C5&amp;as_epq=%22Toxicity+of+40+Herbicides+to+the+Green+Alga+Chlorella+vulgaris", "Google Scholar")</f>
        <v>Google Scholar</v>
      </c>
    </row>
    <row r="148" spans="1:8" x14ac:dyDescent="0.25">
      <c r="A148">
        <v>158793</v>
      </c>
      <c r="B148" t="s">
        <v>276</v>
      </c>
      <c r="C148" t="s">
        <v>277</v>
      </c>
      <c r="D148" t="s">
        <v>278</v>
      </c>
      <c r="E148">
        <v>2002</v>
      </c>
      <c r="G148" t="s">
        <v>1857</v>
      </c>
      <c r="H148" s="147" t="str">
        <f>HYPERLINK("https://scholar.google.com/scholar?hl=en&amp;as_q=&amp;as_oq=&amp;as_eq=&amp;as_sauthors=&amp;as_publication=&amp;as_ylo=&amp;as_yhi=&amp;as_occt=title&amp;as_sdt=0%2C5&amp;as_epq=%22A+Quick%2C+Simple%2C+and+Accurate+Method+of+Screening+Herbicide+Activity+Using+Green+Algae+Cell+Suspension+Cultu", "Google Scholar")</f>
        <v>Google Scholar</v>
      </c>
    </row>
    <row r="149" spans="1:8" x14ac:dyDescent="0.25">
      <c r="A149">
        <v>83543</v>
      </c>
      <c r="B149" t="s">
        <v>305</v>
      </c>
      <c r="C149" t="s">
        <v>306</v>
      </c>
      <c r="D149" t="s">
        <v>307</v>
      </c>
      <c r="E149">
        <v>2006</v>
      </c>
      <c r="G149" t="s">
        <v>1858</v>
      </c>
      <c r="H149" s="148" t="str">
        <f>HYPERLINK("https://scholar.google.com/scholar?hl=en&amp;as_q=&amp;as_oq=&amp;as_eq=&amp;as_sauthors=&amp;as_publication=&amp;as_ylo=&amp;as_yhi=&amp;as_occt=title&amp;as_sdt=0%2C5&amp;as_epq=%22Toxicity+Assessment+of+40+Herbicides+to+the+Green+Alga+Raphidocelis+subcapitata", "Google Scholar")</f>
        <v>Google Scholar</v>
      </c>
    </row>
    <row r="150" spans="1:8" x14ac:dyDescent="0.25">
      <c r="A150">
        <v>61983</v>
      </c>
      <c r="B150" t="s">
        <v>360</v>
      </c>
      <c r="C150" t="s">
        <v>361</v>
      </c>
      <c r="D150" t="s">
        <v>362</v>
      </c>
      <c r="E150">
        <v>2001</v>
      </c>
      <c r="G150" t="s">
        <v>1859</v>
      </c>
      <c r="H150" s="149" t="str">
        <f>HYPERLINK("https://scholar.google.com/scholar?hl=en&amp;as_q=&amp;as_oq=&amp;as_eq=&amp;as_sauthors=&amp;as_publication=&amp;as_ylo=&amp;as_yhi=&amp;as_occt=title&amp;as_sdt=0%2C5&amp;as_epq=%22Acute+Toxicity+of+33+Herbicides+to+the+Green+Alga+Chlorella+pyrenoidosa", "Google Scholar")</f>
        <v>Google Scholar</v>
      </c>
    </row>
    <row r="151" spans="1:8" x14ac:dyDescent="0.25">
      <c r="A151">
        <v>69621</v>
      </c>
      <c r="B151" t="s">
        <v>1505</v>
      </c>
      <c r="C151" t="s">
        <v>1506</v>
      </c>
      <c r="D151" t="s">
        <v>1507</v>
      </c>
      <c r="E151">
        <v>2002</v>
      </c>
      <c r="G151" t="s">
        <v>1860</v>
      </c>
      <c r="H151" s="150" t="str">
        <f>HYPERLINK("https://scholar.google.com/scholar?hl=en&amp;as_q=&amp;as_oq=&amp;as_eq=&amp;as_sauthors=&amp;as_publication=&amp;as_ylo=&amp;as_yhi=&amp;as_occt=title&amp;as_sdt=0%2C5&amp;as_epq=%22Activity+of+Endothall+on+Hydrilla", "Google Scholar")</f>
        <v>Google Scholar</v>
      </c>
    </row>
    <row r="152" spans="1:8" x14ac:dyDescent="0.25">
      <c r="A152">
        <v>101984</v>
      </c>
      <c r="B152" t="s">
        <v>802</v>
      </c>
      <c r="C152" t="s">
        <v>803</v>
      </c>
      <c r="D152" t="s">
        <v>804</v>
      </c>
      <c r="E152">
        <v>2008</v>
      </c>
      <c r="G152" t="s">
        <v>1861</v>
      </c>
      <c r="H152" s="151" t="str">
        <f>HYPERLINK("https://scholar.google.com/scholar?hl=en&amp;as_q=&amp;as_oq=&amp;as_eq=&amp;as_sauthors=&amp;as_publication=&amp;as_ylo=&amp;as_yhi=&amp;as_occt=title&amp;as_sdt=0%2C5&amp;as_epq=%22Effects+of+the+Herbicide+Bentazon+on+Growth+and+Photosystem+II+Maximum+Quantum+Yield+of+the+Marine+Diatom+Skelet", "Google Scholar")</f>
        <v>Google Scholar</v>
      </c>
    </row>
    <row r="153" spans="1:8" x14ac:dyDescent="0.25">
      <c r="A153">
        <v>2085</v>
      </c>
      <c r="B153" t="s">
        <v>1289</v>
      </c>
      <c r="C153" t="s">
        <v>1290</v>
      </c>
      <c r="D153" t="s">
        <v>1291</v>
      </c>
      <c r="E153">
        <v>1969</v>
      </c>
      <c r="G153" t="s">
        <v>1862</v>
      </c>
      <c r="H153" s="152" t="str">
        <f>HYPERLINK("https://scholar.google.com/scholar?hl=en&amp;as_q=&amp;as_oq=&amp;as_eq=&amp;as_sauthors=&amp;as_publication=&amp;as_ylo=&amp;as_yhi=&amp;as_occt=title&amp;as_sdt=0%2C5&amp;as_epq=%22The+Effects+of+Temperature+on+the+Susceptibility+of+Bluegills+and+Rainbow+Trout+to+Selected+Pesticides", "Google Scholar")</f>
        <v>Google Scholar</v>
      </c>
    </row>
    <row r="154" spans="1:8" x14ac:dyDescent="0.25">
      <c r="A154">
        <v>72996</v>
      </c>
      <c r="B154" t="s">
        <v>1411</v>
      </c>
      <c r="C154" t="s">
        <v>1412</v>
      </c>
      <c r="D154" t="s">
        <v>1413</v>
      </c>
      <c r="E154">
        <v>2003</v>
      </c>
      <c r="G154" t="s">
        <v>1863</v>
      </c>
      <c r="H154" s="153" t="str">
        <f>HYPERLINK("https://scholar.google.com/scholar?hl=en&amp;as_q=&amp;as_oq=&amp;as_eq=&amp;as_sauthors=&amp;as_publication=&amp;as_ylo=&amp;as_yhi=&amp;as_occt=title&amp;as_sdt=0%2C5&amp;as_epq=%22Short-Term+Response+and+Recovery+of+Zostera+capricorni+Photosynthesis+After+Herbicide+Exposure", "Google Scholar")</f>
        <v>Google Scholar</v>
      </c>
    </row>
    <row r="155" spans="1:8" x14ac:dyDescent="0.25">
      <c r="A155">
        <v>153836</v>
      </c>
      <c r="B155" t="s">
        <v>398</v>
      </c>
      <c r="C155" t="s">
        <v>399</v>
      </c>
      <c r="D155" t="s">
        <v>400</v>
      </c>
      <c r="E155">
        <v>2010</v>
      </c>
      <c r="G155" t="s">
        <v>1864</v>
      </c>
      <c r="H155" s="154" t="str">
        <f>HYPERLINK("https://scholar.google.com/scholar?hl=en&amp;as_q=&amp;as_oq=&amp;as_eq=&amp;as_sauthors=&amp;as_publication=&amp;as_ylo=&amp;as_yhi=&amp;as_occt=title&amp;as_sdt=0%2C5&amp;as_epq=%22Additive+Toxicity+of+Herbicide+Mixtures+and+Comparative+Sensitivity+of+Tropical+Benthic+Microalgae", "Google Scholar")</f>
        <v>Google Scholar</v>
      </c>
    </row>
    <row r="156" spans="1:8" x14ac:dyDescent="0.25">
      <c r="A156">
        <v>112735</v>
      </c>
      <c r="B156" t="s">
        <v>161</v>
      </c>
      <c r="C156" t="s">
        <v>162</v>
      </c>
      <c r="D156" t="s">
        <v>163</v>
      </c>
      <c r="E156">
        <v>2008</v>
      </c>
      <c r="G156" t="s">
        <v>1865</v>
      </c>
      <c r="H156" s="155" t="str">
        <f>HYPERLINK("https://scholar.google.com/scholar?hl=en&amp;as_q=&amp;as_oq=&amp;as_eq=&amp;as_sauthors=&amp;as_publication=&amp;as_ylo=&amp;as_yhi=&amp;as_occt=title&amp;as_sdt=0%2C5&amp;as_epq=%22Comparative+Effects+of+Herbicides+on+Photosynthesis+and+Growth+of+Tropical+Estuarine+Microalgae", "Google Scholar")</f>
        <v>Google Scholar</v>
      </c>
    </row>
    <row r="157" spans="1:8" x14ac:dyDescent="0.25">
      <c r="A157">
        <v>102051</v>
      </c>
      <c r="B157" t="s">
        <v>235</v>
      </c>
      <c r="C157" t="s">
        <v>236</v>
      </c>
      <c r="D157" t="s">
        <v>237</v>
      </c>
      <c r="E157">
        <v>2003</v>
      </c>
      <c r="G157" t="s">
        <v>1866</v>
      </c>
      <c r="H157" s="156" t="str">
        <f>HYPERLINK("https://scholar.google.com/scholar?hl=en&amp;as_q=&amp;as_oq=&amp;as_eq=&amp;as_sauthors=&amp;as_publication=&amp;as_ylo=&amp;as_yhi=&amp;as_occt=title&amp;as_sdt=0%2C5&amp;as_epq=%22Photocatalytic+Treatment+of+Diuron+by+Solar+Photocatalysis%3A++Evaluation+of+Main+Intermediates+and+Toxicity", "Google Scholar")</f>
        <v>Google Scholar</v>
      </c>
    </row>
    <row r="158" spans="1:8" x14ac:dyDescent="0.25">
      <c r="A158">
        <v>10887</v>
      </c>
      <c r="B158" t="s">
        <v>632</v>
      </c>
      <c r="C158" t="s">
        <v>633</v>
      </c>
      <c r="D158" t="s">
        <v>634</v>
      </c>
      <c r="E158">
        <v>1984</v>
      </c>
      <c r="G158" t="s">
        <v>1867</v>
      </c>
      <c r="H158" s="157" t="str">
        <f>HYPERLINK("https://scholar.google.com/scholar?hl=en&amp;as_q=&amp;as_oq=&amp;as_eq=&amp;as_sauthors=&amp;as_publication=&amp;as_ylo=&amp;as_yhi=&amp;as_occt=title&amp;as_sdt=0%2C5&amp;as_epq=%22Effects+of+Pesticides+on+Cyanobacterium+Plectonema+boryanum+and+Cyanophage+LPP-1", "Google Scholar")</f>
        <v>Google Scholar</v>
      </c>
    </row>
    <row r="159" spans="1:8" x14ac:dyDescent="0.25">
      <c r="A159">
        <v>95717</v>
      </c>
      <c r="B159" t="s">
        <v>1599</v>
      </c>
      <c r="C159" t="s">
        <v>1602</v>
      </c>
      <c r="D159" t="s">
        <v>1603</v>
      </c>
      <c r="E159">
        <v>2006</v>
      </c>
      <c r="G159" t="s">
        <v>1868</v>
      </c>
      <c r="H159" s="158" t="str">
        <f>HYPERLINK("https://scholar.google.com/scholar?hl=en&amp;as_q=&amp;as_oq=&amp;as_eq=&amp;as_sauthors=&amp;as_publication=&amp;as_ylo=&amp;as_yhi=&amp;as_occt=title&amp;as_sdt=0%2C5&amp;as_epq=%22Toxic+Effects+of+Irgarol+and+Diuron+on+Sea+Urchin+Paracentrotus+lividus+Early+Development%2C+Fertilization%2C+an", "Google Scholar")</f>
        <v>Google Scholar</v>
      </c>
    </row>
    <row r="160" spans="1:8" x14ac:dyDescent="0.25">
      <c r="A160">
        <v>102070</v>
      </c>
      <c r="B160" t="s">
        <v>1599</v>
      </c>
      <c r="C160" t="s">
        <v>1600</v>
      </c>
      <c r="D160" t="s">
        <v>1601</v>
      </c>
      <c r="E160">
        <v>2008</v>
      </c>
      <c r="G160" t="s">
        <v>1869</v>
      </c>
      <c r="H160" s="159" t="str">
        <f>HYPERLINK("https://scholar.google.com/scholar?hl=en&amp;as_q=&amp;as_oq=&amp;as_eq=&amp;as_sauthors=&amp;as_publication=&amp;as_ylo=&amp;as_yhi=&amp;as_occt=title&amp;as_sdt=0%2C5&amp;as_epq=%22Predictability+of+Copper%2C+Irgarol%2C+and+Diuron+Combined+Effects+on+Sea+Urchin+Paracentrotus+lividus", "Google Scholar")</f>
        <v>Google Scholar</v>
      </c>
    </row>
    <row r="161" spans="1:8" x14ac:dyDescent="0.25">
      <c r="A161">
        <v>153824</v>
      </c>
      <c r="B161" t="s">
        <v>826</v>
      </c>
      <c r="C161" t="s">
        <v>827</v>
      </c>
      <c r="D161" t="s">
        <v>828</v>
      </c>
      <c r="E161">
        <v>2011</v>
      </c>
      <c r="G161" t="s">
        <v>1870</v>
      </c>
      <c r="H161" s="160" t="str">
        <f>HYPERLINK("https://scholar.google.com/scholar?hl=en&amp;as_q=&amp;as_oq=&amp;as_eq=&amp;as_sauthors=&amp;as_publication=&amp;as_ylo=&amp;as_yhi=&amp;as_occt=title&amp;as_sdt=0%2C5&amp;as_epq=%22Detection+of+Photosynthetic+Herbicides%3A++Algal+Growth+Inhibition+Test+vs.++Electrochemical+Photosystem+II+Bios", "Google Scholar")</f>
        <v>Google Scholar</v>
      </c>
    </row>
    <row r="162" spans="1:8" x14ac:dyDescent="0.25">
      <c r="A162">
        <v>12028</v>
      </c>
      <c r="B162" t="s">
        <v>337</v>
      </c>
      <c r="C162" t="s">
        <v>338</v>
      </c>
      <c r="D162" t="s">
        <v>339</v>
      </c>
      <c r="E162">
        <v>1984</v>
      </c>
      <c r="G162" t="s">
        <v>1871</v>
      </c>
      <c r="H162" s="161" t="str">
        <f>HYPERLINK("https://scholar.google.com/scholar?hl=en&amp;as_q=&amp;as_oq=&amp;as_eq=&amp;as_sauthors=&amp;as_publication=&amp;as_ylo=&amp;as_yhi=&amp;as_occt=title&amp;as_sdt=0%2C5&amp;as_epq=%22Herbicide+Effects+on+the+Population+Growth+of+Some+Green+Algae+and+Cyanobacteria", "Google Scholar")</f>
        <v>Google Scholar</v>
      </c>
    </row>
    <row r="163" spans="1:8" x14ac:dyDescent="0.25">
      <c r="A163">
        <v>70421</v>
      </c>
      <c r="B163" t="s">
        <v>1299</v>
      </c>
      <c r="C163" t="s">
        <v>1300</v>
      </c>
      <c r="D163" t="s">
        <v>1301</v>
      </c>
      <c r="E163">
        <v>1974</v>
      </c>
      <c r="G163" t="s">
        <v>1872</v>
      </c>
      <c r="H163" s="162" t="str">
        <f>HYPERLINK("https://scholar.google.com/scholar?hl=en&amp;as_q=&amp;as_oq=&amp;as_eq=&amp;as_sauthors=&amp;as_publication=&amp;as_ylo=&amp;as_yhi=&amp;as_occt=title&amp;as_sdt=0%2C5&amp;as_epq=%22Pesticides+as+Pollutants", "Google Scholar")</f>
        <v>Google Scholar</v>
      </c>
    </row>
    <row r="164" spans="1:8" x14ac:dyDescent="0.25">
      <c r="A164">
        <v>6797</v>
      </c>
      <c r="B164" t="s">
        <v>982</v>
      </c>
      <c r="C164" t="s">
        <v>983</v>
      </c>
      <c r="D164" t="s">
        <v>984</v>
      </c>
      <c r="E164">
        <v>1986</v>
      </c>
      <c r="F164" t="s">
        <v>1873</v>
      </c>
      <c r="G164" t="s">
        <v>1874</v>
      </c>
      <c r="H164" s="163" t="str">
        <f>HYPERLINK("https://scholar.google.com/scholar?hl=en&amp;as_q=&amp;as_oq=&amp;as_eq=&amp;as_sauthors=&amp;as_publication=&amp;as_ylo=&amp;as_yhi=&amp;as_occt=title&amp;as_sdt=0%2C5&amp;as_epq=%22Manual+of+Acute+Toxicity%3A+Interpretation+and+Data+Base+for+410+Chemicals+and+66+Species+of+Freshwater+Animals", "Google Scholar")</f>
        <v>Google Scholar</v>
      </c>
    </row>
    <row r="165" spans="1:8" x14ac:dyDescent="0.25">
      <c r="A165">
        <v>858</v>
      </c>
      <c r="B165" t="s">
        <v>1346</v>
      </c>
      <c r="C165" t="s">
        <v>1347</v>
      </c>
      <c r="D165" t="s">
        <v>1348</v>
      </c>
      <c r="E165">
        <v>1977</v>
      </c>
      <c r="G165" t="s">
        <v>1875</v>
      </c>
      <c r="H165" s="164" t="str">
        <f>HYPERLINK("https://scholar.google.com/scholar?hl=en&amp;as_q=&amp;as_oq=&amp;as_eq=&amp;as_sauthors=&amp;as_publication=&amp;as_ylo=&amp;as_yhi=&amp;as_occt=title&amp;as_sdt=0%2C5&amp;as_epq=%22Acute+Toxicities+of+Selected+Herbicides+to+Fingerling+Channel+Catfish%2C+Ictalurus+punctatus", "Google Scholar")</f>
        <v>Google Scholar</v>
      </c>
    </row>
    <row r="166" spans="1:8" x14ac:dyDescent="0.25">
      <c r="A166">
        <v>66270</v>
      </c>
      <c r="B166" t="s">
        <v>789</v>
      </c>
      <c r="C166" t="s">
        <v>790</v>
      </c>
      <c r="D166" t="s">
        <v>791</v>
      </c>
      <c r="E166">
        <v>1983</v>
      </c>
      <c r="G166" t="s">
        <v>1876</v>
      </c>
      <c r="H166" s="165" t="str">
        <f>HYPERLINK("https://scholar.google.com/scholar?hl=en&amp;as_q=&amp;as_oq=&amp;as_eq=&amp;as_sauthors=&amp;as_publication=&amp;as_ylo=&amp;as_yhi=&amp;as_occt=title&amp;as_sdt=0%2C5&amp;as_epq=%22A+Comparison+of+Microbial+Bioassays+for+the+Detection+of+Aquatic+Toxicants", "Google Scholar")</f>
        <v>Google Scholar</v>
      </c>
    </row>
    <row r="167" spans="1:8" x14ac:dyDescent="0.25">
      <c r="A167">
        <v>178673</v>
      </c>
      <c r="B167" t="s">
        <v>388</v>
      </c>
      <c r="C167" t="s">
        <v>389</v>
      </c>
      <c r="D167" t="s">
        <v>390</v>
      </c>
      <c r="E167">
        <v>2018</v>
      </c>
      <c r="G167" t="s">
        <v>1877</v>
      </c>
      <c r="H167" s="166" t="str">
        <f>HYPERLINK("https://scholar.google.com/scholar?hl=en&amp;as_q=&amp;as_oq=&amp;as_eq=&amp;as_sauthors=&amp;as_publication=&amp;as_ylo=&amp;as_yhi=&amp;as_occt=title&amp;as_sdt=0%2C5&amp;as_epq=%22Contribution+of+Transformation+Products+Towards+the+Total+Herbicide+Toxicity+to+Tropical+Marine+Organisms", "Google Scholar")</f>
        <v>Google Scholar</v>
      </c>
    </row>
    <row r="168" spans="1:8" x14ac:dyDescent="0.25">
      <c r="A168">
        <v>80359</v>
      </c>
      <c r="B168" t="s">
        <v>343</v>
      </c>
      <c r="C168" t="s">
        <v>344</v>
      </c>
      <c r="D168" t="s">
        <v>345</v>
      </c>
      <c r="E168">
        <v>2002</v>
      </c>
      <c r="G168" t="s">
        <v>1878</v>
      </c>
      <c r="H168" s="167" t="str">
        <f>HYPERLINK("https://scholar.google.com/scholar?hl=en&amp;as_q=&amp;as_oq=&amp;as_eq=&amp;as_sauthors=&amp;as_publication=&amp;as_ylo=&amp;as_yhi=&amp;as_occt=title&amp;as_sdt=0%2C5&amp;as_epq=%22Chromatography-Mass+Spectrometry+and+Toxicity+Evaluation+of+Selected+Contaminants+in+Seawater", "Google Scholar")</f>
        <v>Google Scholar</v>
      </c>
    </row>
    <row r="169" spans="1:8" x14ac:dyDescent="0.25">
      <c r="A169">
        <v>160499</v>
      </c>
      <c r="B169" t="s">
        <v>1112</v>
      </c>
      <c r="C169" t="s">
        <v>1113</v>
      </c>
      <c r="D169" t="s">
        <v>1114</v>
      </c>
      <c r="E169">
        <v>2012</v>
      </c>
      <c r="G169" t="s">
        <v>1879</v>
      </c>
      <c r="H169" s="168" t="str">
        <f>HYPERLINK("https://scholar.google.com/scholar?hl=en&amp;as_q=&amp;as_oq=&amp;as_eq=&amp;as_sauthors=&amp;as_publication=&amp;as_ylo=&amp;as_yhi=&amp;as_occt=title&amp;as_sdt=0%2C5&amp;as_epq=%22Toxicity+of+Three+Selected+Pesticides+%28Alachlor%2C+Atrazine+and+Diuron%29+to+the+Marine+Fish+%28Turbot+Psetta+", "Google Scholar")</f>
        <v>Google Scholar</v>
      </c>
    </row>
    <row r="170" spans="1:8" x14ac:dyDescent="0.25">
      <c r="A170">
        <v>6117</v>
      </c>
      <c r="B170" t="s">
        <v>258</v>
      </c>
      <c r="C170" t="s">
        <v>259</v>
      </c>
      <c r="D170" t="s">
        <v>260</v>
      </c>
      <c r="E170">
        <v>1992</v>
      </c>
      <c r="G170" t="s">
        <v>1880</v>
      </c>
      <c r="H170" s="169" t="str">
        <f>HYPERLINK("https://scholar.google.com/scholar?hl=en&amp;as_q=&amp;as_oq=&amp;as_eq=&amp;as_sauthors=&amp;as_publication=&amp;as_ylo=&amp;as_yhi=&amp;as_occt=title&amp;as_sdt=0%2C5&amp;as_epq=%22Combined+Effects+of+Tri-n-butyl+Tin+%28TBT%29+and+Diuron+on+Marine+Periphyton+Communities+Detected+as+Pollution-", "Google Scholar")</f>
        <v>Google Scholar</v>
      </c>
    </row>
    <row r="171" spans="1:8" x14ac:dyDescent="0.25">
      <c r="A171">
        <v>6147</v>
      </c>
      <c r="B171" t="s">
        <v>267</v>
      </c>
      <c r="C171" t="s">
        <v>268</v>
      </c>
      <c r="D171" t="s">
        <v>269</v>
      </c>
      <c r="E171">
        <v>1992</v>
      </c>
      <c r="F171" t="s">
        <v>1731</v>
      </c>
      <c r="G171" t="s">
        <v>1881</v>
      </c>
      <c r="H171" s="170" t="str">
        <f>HYPERLINK("https://scholar.google.com/scholar?hl=en&amp;as_q=&amp;as_oq=&amp;as_eq=&amp;as_sauthors=&amp;as_publication=&amp;as_ylo=&amp;as_yhi=&amp;as_occt=title&amp;as_sdt=0%2C5&amp;as_epq=%22Detection+of+Pollution-Induced+Community+Tolerance+%28PICT%29+in+Marine+Periphyton+Communities+Established+Under", "Google Scholar")</f>
        <v>Google Scholar</v>
      </c>
    </row>
    <row r="172" spans="1:8" x14ac:dyDescent="0.25">
      <c r="A172">
        <v>178632</v>
      </c>
      <c r="B172" t="s">
        <v>414</v>
      </c>
      <c r="C172" t="s">
        <v>415</v>
      </c>
      <c r="D172" t="s">
        <v>416</v>
      </c>
      <c r="E172">
        <v>2018</v>
      </c>
      <c r="G172" t="s">
        <v>1882</v>
      </c>
      <c r="H172" s="171" t="str">
        <f>HYPERLINK("https://scholar.google.com/scholar?hl=en&amp;as_q=&amp;as_oq=&amp;as_eq=&amp;as_sauthors=&amp;as_publication=&amp;as_ylo=&amp;as_yhi=&amp;as_occt=title&amp;as_sdt=0%2C5&amp;as_epq=%22Fast+Pesticide+Pre-Screening+in+Marine+Environment+Using+a+Green+Microalgae-Based+Optical+Bioassay", "Google Scholar")</f>
        <v>Google Scholar</v>
      </c>
    </row>
    <row r="173" spans="1:8" x14ac:dyDescent="0.25">
      <c r="A173">
        <v>103266</v>
      </c>
      <c r="B173" t="s">
        <v>760</v>
      </c>
      <c r="C173" t="s">
        <v>761</v>
      </c>
      <c r="D173" t="s">
        <v>762</v>
      </c>
      <c r="E173">
        <v>2008</v>
      </c>
      <c r="G173" t="s">
        <v>1883</v>
      </c>
      <c r="H173" s="172" t="str">
        <f>HYPERLINK("https://scholar.google.com/scholar?hl=en&amp;as_q=&amp;as_oq=&amp;as_eq=&amp;as_sauthors=&amp;as_publication=&amp;as_ylo=&amp;as_yhi=&amp;as_occt=title&amp;as_sdt=0%2C5&amp;as_epq=%22Rapid+Exposure+Assessment+of+PSII+Herbicides+in+Surface+Water+Using+a+Novel+Chlorophyll+a+Fluorescence+Imaging+A", "Google Scholar")</f>
        <v>Google Scholar</v>
      </c>
    </row>
    <row r="174" spans="1:8" x14ac:dyDescent="0.25">
      <c r="A174">
        <v>98728</v>
      </c>
      <c r="B174" t="s">
        <v>819</v>
      </c>
      <c r="C174" t="s">
        <v>820</v>
      </c>
      <c r="D174" t="s">
        <v>821</v>
      </c>
      <c r="E174">
        <v>2006</v>
      </c>
      <c r="G174" t="s">
        <v>1884</v>
      </c>
      <c r="H174" s="173" t="str">
        <f>HYPERLINK("https://scholar.google.com/scholar?hl=en&amp;as_q=&amp;as_oq=&amp;as_eq=&amp;as_sauthors=&amp;as_publication=&amp;as_ylo=&amp;as_yhi=&amp;as_occt=title&amp;as_sdt=0%2C5&amp;as_epq=%22Effects+of+Antifouling+Biocides+to+the+Germination+and+Growth+of+the+Marine+Macroalga%2C+Hormosira+banksii+%28Tu", "Google Scholar")</f>
        <v>Google Scholar</v>
      </c>
    </row>
    <row r="175" spans="1:8" x14ac:dyDescent="0.25">
      <c r="A175">
        <v>52533</v>
      </c>
      <c r="B175" t="s">
        <v>854</v>
      </c>
      <c r="C175" t="s">
        <v>855</v>
      </c>
      <c r="D175" t="s">
        <v>856</v>
      </c>
      <c r="E175">
        <v>2000</v>
      </c>
      <c r="G175" t="s">
        <v>1885</v>
      </c>
      <c r="H175" s="174" t="str">
        <f>HYPERLINK("https://scholar.google.com/scholar?hl=en&amp;as_q=&amp;as_oq=&amp;as_eq=&amp;as_sauthors=&amp;as_publication=&amp;as_ylo=&amp;as_yhi=&amp;as_occt=title&amp;as_sdt=0%2C5&amp;as_epq=%22Fiber+Optic+Biosensor+Using+Chlorella+vulgaris+for+Determination+of+Toxic+Compounds", "Google Scholar")</f>
        <v>Google Scholar</v>
      </c>
    </row>
    <row r="176" spans="1:8" x14ac:dyDescent="0.25">
      <c r="A176">
        <v>20182</v>
      </c>
      <c r="B176" t="s">
        <v>1065</v>
      </c>
      <c r="C176" t="s">
        <v>1066</v>
      </c>
      <c r="D176" t="s">
        <v>1067</v>
      </c>
      <c r="E176">
        <v>1998</v>
      </c>
      <c r="G176" t="s">
        <v>1886</v>
      </c>
      <c r="H176" s="175" t="str">
        <f>HYPERLINK("https://scholar.google.com/scholar?hl=en&amp;as_q=&amp;as_oq=&amp;as_eq=&amp;as_sauthors=&amp;as_publication=&amp;as_ylo=&amp;as_yhi=&amp;as_occt=title&amp;as_sdt=0%2C5&amp;as_epq=%22Chronic+Effects+of+the+Herbicide+Diuron+on+Freshwater+Cladocerans%2C+Amphipods%2C+Midges%2C+Minnows%2C+Worms%2C+", "Google Scholar")</f>
        <v>Google Scholar</v>
      </c>
    </row>
    <row r="177" spans="1:8" x14ac:dyDescent="0.25">
      <c r="A177">
        <v>85949</v>
      </c>
      <c r="B177" t="s">
        <v>578</v>
      </c>
      <c r="C177" t="s">
        <v>579</v>
      </c>
      <c r="D177" t="s">
        <v>580</v>
      </c>
      <c r="E177">
        <v>2005</v>
      </c>
      <c r="G177" t="s">
        <v>1887</v>
      </c>
      <c r="H177" s="176" t="str">
        <f>HYPERLINK("https://scholar.google.com/scholar?hl=en&amp;as_q=&amp;as_oq=&amp;as_eq=&amp;as_sauthors=&amp;as_publication=&amp;as_ylo=&amp;as_yhi=&amp;as_occt=title&amp;as_sdt=0%2C5&amp;as_epq=%22Effects+of+the+Herbicide+Diuron+on+the+Early+Life+History+Stages+of+Coral", "Google Scholar")</f>
        <v>Google Scholar</v>
      </c>
    </row>
    <row r="178" spans="1:8" x14ac:dyDescent="0.25">
      <c r="A178">
        <v>153835</v>
      </c>
      <c r="B178" t="s">
        <v>392</v>
      </c>
      <c r="C178" t="s">
        <v>393</v>
      </c>
      <c r="D178" t="s">
        <v>394</v>
      </c>
      <c r="E178">
        <v>2011</v>
      </c>
      <c r="G178" t="s">
        <v>1888</v>
      </c>
      <c r="H178" s="177" t="str">
        <f>HYPERLINK("https://scholar.google.com/scholar?hl=en&amp;as_q=&amp;as_oq=&amp;as_eq=&amp;as_sauthors=&amp;as_publication=&amp;as_ylo=&amp;as_yhi=&amp;as_occt=title&amp;as_sdt=0%2C5&amp;as_epq=%22Herbicides+Increase+the+Vulnerability+of+Corals+to+Rising+Sea+Surface+Temperature", "Google Scholar")</f>
        <v>Google Scholar</v>
      </c>
    </row>
    <row r="179" spans="1:8" x14ac:dyDescent="0.25">
      <c r="A179">
        <v>119380</v>
      </c>
      <c r="B179" t="s">
        <v>782</v>
      </c>
      <c r="C179" t="s">
        <v>783</v>
      </c>
      <c r="D179" t="s">
        <v>784</v>
      </c>
      <c r="E179">
        <v>2006</v>
      </c>
      <c r="G179" t="s">
        <v>1889</v>
      </c>
      <c r="H179" s="178" t="str">
        <f>HYPERLINK("https://scholar.google.com/scholar?hl=en&amp;as_q=&amp;as_oq=&amp;as_eq=&amp;as_sauthors=&amp;as_publication=&amp;as_ylo=&amp;as_yhi=&amp;as_occt=title&amp;as_sdt=0%2C5&amp;as_epq=%22Discriminating+Toxicant+Classes+by+Mode+of+Action+1.+%28Eco%29toxicity+Profiles", "Google Scholar")</f>
        <v>Google Scholar</v>
      </c>
    </row>
    <row r="180" spans="1:8" x14ac:dyDescent="0.25">
      <c r="A180">
        <v>160529</v>
      </c>
      <c r="B180" t="s">
        <v>772</v>
      </c>
      <c r="C180" t="s">
        <v>773</v>
      </c>
      <c r="D180" t="s">
        <v>774</v>
      </c>
      <c r="E180">
        <v>2012</v>
      </c>
      <c r="G180" t="s">
        <v>1890</v>
      </c>
      <c r="H180" s="179" t="str">
        <f>HYPERLINK("https://scholar.google.com/scholar?hl=en&amp;as_q=&amp;as_oq=&amp;as_eq=&amp;as_sauthors=&amp;as_publication=&amp;as_ylo=&amp;as_yhi=&amp;as_occt=title&amp;as_sdt=0%2C5&amp;as_epq=%22Multiple-Endpoint+Assay+Provides+a+Detailed+Mechanistic+View+of+Responses+to+Herbicide+Exposure+in+Chlamydomonas", "Google Scholar")</f>
        <v>Google Scholar</v>
      </c>
    </row>
    <row r="181" spans="1:8" x14ac:dyDescent="0.25">
      <c r="A181">
        <v>171821</v>
      </c>
      <c r="B181" t="s">
        <v>879</v>
      </c>
      <c r="C181" t="s">
        <v>880</v>
      </c>
      <c r="D181" t="s">
        <v>881</v>
      </c>
      <c r="E181">
        <v>2012</v>
      </c>
      <c r="G181" t="s">
        <v>1891</v>
      </c>
      <c r="H181" s="180" t="str">
        <f>HYPERLINK("https://scholar.google.com/scholar?hl=en&amp;as_q=&amp;as_oq=&amp;as_eq=&amp;as_sauthors=&amp;as_publication=&amp;as_ylo=&amp;as_yhi=&amp;as_occt=title&amp;as_sdt=0%2C5&amp;as_epq=%22Linking+Proteome+Responses+with+Physiological+and+Biochemical+Effects+in+Herbicide-Exposed+Chlamydomonas+reinhar", "Google Scholar")</f>
        <v>Google Scholar</v>
      </c>
    </row>
    <row r="182" spans="1:8" x14ac:dyDescent="0.25">
      <c r="A182">
        <v>3040</v>
      </c>
      <c r="B182" t="s">
        <v>748</v>
      </c>
      <c r="C182" t="s">
        <v>749</v>
      </c>
      <c r="D182" t="s">
        <v>750</v>
      </c>
      <c r="E182">
        <v>1987</v>
      </c>
      <c r="G182" t="s">
        <v>1892</v>
      </c>
      <c r="H182" s="181" t="str">
        <f>HYPERLINK("https://scholar.google.com/scholar?hl=en&amp;as_q=&amp;as_oq=&amp;as_eq=&amp;as_sauthors=&amp;as_publication=&amp;as_ylo=&amp;as_yhi=&amp;as_occt=title&amp;as_sdt=0%2C5&amp;as_epq=%22Mechanisms+of+Herbicide+Sorption+in+Microalgae+and+the+Influence+of+Environmental+Factors", "Google Scholar")</f>
        <v>Google Scholar</v>
      </c>
    </row>
    <row r="183" spans="1:8" x14ac:dyDescent="0.25">
      <c r="A183">
        <v>184005</v>
      </c>
      <c r="B183" t="s">
        <v>1693</v>
      </c>
      <c r="C183" t="s">
        <v>1694</v>
      </c>
      <c r="D183" t="s">
        <v>1695</v>
      </c>
      <c r="E183">
        <v>2019</v>
      </c>
      <c r="G183" t="s">
        <v>1893</v>
      </c>
      <c r="H183" s="182" t="str">
        <f>HYPERLINK("https://scholar.google.com/scholar?hl=en&amp;as_q=&amp;as_oq=&amp;as_eq=&amp;as_sauthors=&amp;as_publication=&amp;as_ylo=&amp;as_yhi=&amp;as_occt=title&amp;as_sdt=0%2C5&amp;as_epq=%22Tolerance+of+Free-Living+Nematode+Species+to+Imidacloprid+and+Diuron", "Google Scholar")</f>
        <v>Google Scholar</v>
      </c>
    </row>
    <row r="184" spans="1:8" x14ac:dyDescent="0.25">
      <c r="A184">
        <v>184006</v>
      </c>
      <c r="B184" t="s">
        <v>719</v>
      </c>
      <c r="C184" t="s">
        <v>720</v>
      </c>
      <c r="D184" t="s">
        <v>721</v>
      </c>
      <c r="E184">
        <v>2020</v>
      </c>
      <c r="G184" t="s">
        <v>1894</v>
      </c>
      <c r="H184" s="183" t="str">
        <f>HYPERLINK("https://scholar.google.com/scholar?hl=en&amp;as_q=&amp;as_oq=&amp;as_eq=&amp;as_sauthors=&amp;as_publication=&amp;as_ylo=&amp;as_yhi=&amp;as_occt=title&amp;as_sdt=0%2C5&amp;as_epq=%22Selective+Grazing+Behaviour+of+Chironomids+on+Microalgae+Under+Pesticide+Pressure", "Google Scholar")</f>
        <v>Google Scholar</v>
      </c>
    </row>
    <row r="185" spans="1:8" x14ac:dyDescent="0.25">
      <c r="A185">
        <v>184288</v>
      </c>
      <c r="B185" t="s">
        <v>504</v>
      </c>
      <c r="C185" t="s">
        <v>505</v>
      </c>
      <c r="D185" t="s">
        <v>506</v>
      </c>
      <c r="E185">
        <v>2020</v>
      </c>
      <c r="G185" t="s">
        <v>1895</v>
      </c>
      <c r="H185" s="184" t="str">
        <f>HYPERLINK("https://scholar.google.com/scholar?hl=en&amp;as_q=&amp;as_oq=&amp;as_eq=&amp;as_sauthors=&amp;as_publication=&amp;as_ylo=&amp;as_yhi=&amp;as_occt=title&amp;as_sdt=0%2C5&amp;as_epq=%22Benthic+Diatom+Growth+Kinetics+under+Combined+Pressures+of+Microalgal+Competition%2C+Predation+and+Chemical+Stre", "Google Scholar")</f>
        <v>Google Scholar</v>
      </c>
    </row>
    <row r="186" spans="1:8" x14ac:dyDescent="0.25">
      <c r="A186">
        <v>155441</v>
      </c>
      <c r="B186" t="s">
        <v>244</v>
      </c>
      <c r="C186" t="s">
        <v>245</v>
      </c>
      <c r="D186" t="s">
        <v>246</v>
      </c>
      <c r="E186">
        <v>2011</v>
      </c>
      <c r="G186" t="s">
        <v>1896</v>
      </c>
      <c r="H186" s="185" t="str">
        <f>HYPERLINK("https://scholar.google.com/scholar?hl=en&amp;as_q=&amp;as_oq=&amp;as_eq=&amp;as_sauthors=&amp;as_publication=&amp;as_ylo=&amp;as_yhi=&amp;as_occt=title&amp;as_sdt=0%2C5&amp;as_epq=%22The+pH-Dependent+Toxicity+of+Basic+Pharmaceuticals+in+the+Green+Algae+Scenedesmus+vacuolatus+can+be+Explained+wi", "Google Scholar")</f>
        <v>Google Scholar</v>
      </c>
    </row>
    <row r="187" spans="1:8" x14ac:dyDescent="0.25">
      <c r="A187">
        <v>60040</v>
      </c>
      <c r="B187" t="s">
        <v>1282</v>
      </c>
      <c r="C187" t="s">
        <v>1283</v>
      </c>
      <c r="D187" t="s">
        <v>1284</v>
      </c>
      <c r="E187">
        <v>2001</v>
      </c>
      <c r="G187" t="s">
        <v>1897</v>
      </c>
      <c r="H187" s="186" t="str">
        <f>HYPERLINK("https://scholar.google.com/scholar?hl=en&amp;as_q=&amp;as_oq=&amp;as_eq=&amp;as_sauthors=&amp;as_publication=&amp;as_ylo=&amp;as_yhi=&amp;as_occt=title&amp;as_sdt=0%2C5&amp;as_epq=%22Evaluation+of+Fish+Models+of+Soluble+Epoxide+Hydrolase+Inhibition", "Google Scholar")</f>
        <v>Google Scholar</v>
      </c>
    </row>
    <row r="188" spans="1:8" x14ac:dyDescent="0.25">
      <c r="A188">
        <v>15281</v>
      </c>
      <c r="B188" t="s">
        <v>1451</v>
      </c>
      <c r="C188" t="s">
        <v>1452</v>
      </c>
      <c r="D188" t="s">
        <v>1453</v>
      </c>
      <c r="E188">
        <v>1974</v>
      </c>
      <c r="G188" t="s">
        <v>1898</v>
      </c>
      <c r="H188" s="187" t="str">
        <f>HYPERLINK("https://scholar.google.com/scholar?hl=en&amp;as_q=&amp;as_oq=&amp;as_eq=&amp;as_sauthors=&amp;as_publication=&amp;as_ylo=&amp;as_yhi=&amp;as_occt=title&amp;as_sdt=0%2C5&amp;as_epq=%22Control+Effect+of+Pesticide+to+Duckweed", "Google Scholar")</f>
        <v>Google Scholar</v>
      </c>
    </row>
    <row r="189" spans="1:8" x14ac:dyDescent="0.25">
      <c r="A189">
        <v>6954</v>
      </c>
      <c r="B189" t="s">
        <v>1526</v>
      </c>
      <c r="C189" t="s">
        <v>1527</v>
      </c>
      <c r="D189" t="s">
        <v>1528</v>
      </c>
      <c r="E189">
        <v>1979</v>
      </c>
      <c r="G189" t="s">
        <v>1899</v>
      </c>
      <c r="H189" s="188" t="str">
        <f>HYPERLINK("https://scholar.google.com/scholar?hl=en&amp;as_q=&amp;as_oq=&amp;as_eq=&amp;as_sauthors=&amp;as_publication=&amp;as_ylo=&amp;as_yhi=&amp;as_occt=title&amp;as_sdt=0%2C5&amp;as_epq=%22Toxicity+of+Agricultural+Chemicals+to+Some+Freshwater+Organisms+-+59", "Google Scholar")</f>
        <v>Google Scholar</v>
      </c>
    </row>
    <row r="190" spans="1:8" x14ac:dyDescent="0.25">
      <c r="A190">
        <v>15192</v>
      </c>
      <c r="B190" t="s">
        <v>1007</v>
      </c>
      <c r="C190" t="s">
        <v>1008</v>
      </c>
      <c r="D190" t="s">
        <v>1009</v>
      </c>
      <c r="E190">
        <v>1967</v>
      </c>
      <c r="G190" t="s">
        <v>1900</v>
      </c>
      <c r="H190" s="189" t="str">
        <f>HYPERLINK("https://scholar.google.com/scholar?hl=en&amp;as_q=&amp;as_oq=&amp;as_eq=&amp;as_sauthors=&amp;as_publication=&amp;as_ylo=&amp;as_yhi=&amp;as_occt=title&amp;as_sdt=0%2C5&amp;as_epq=%22Toxicity+of+Pesticide+Ingredients+to+Some+Fresh+Water+Organisms", "Google Scholar")</f>
        <v>Google Scholar</v>
      </c>
    </row>
    <row r="191" spans="1:8" x14ac:dyDescent="0.25">
      <c r="A191">
        <v>13030</v>
      </c>
      <c r="B191" t="s">
        <v>737</v>
      </c>
      <c r="C191" t="s">
        <v>738</v>
      </c>
      <c r="D191" t="s">
        <v>739</v>
      </c>
      <c r="E191">
        <v>1974</v>
      </c>
      <c r="G191" t="s">
        <v>1901</v>
      </c>
      <c r="H191" s="190" t="str">
        <f>HYPERLINK("https://scholar.google.com/scholar?hl=en&amp;as_q=&amp;as_oq=&amp;as_eq=&amp;as_sauthors=&amp;as_publication=&amp;as_ylo=&amp;as_yhi=&amp;as_occt=title&amp;as_sdt=0%2C5&amp;as_epq=%22Phormidium+autumnale+as+Indicator+Organism+for+Algicidal+Substances+in+Water", "Google Scholar")</f>
        <v>Google Scholar</v>
      </c>
    </row>
    <row r="192" spans="1:8" x14ac:dyDescent="0.25">
      <c r="A192">
        <v>3228</v>
      </c>
      <c r="B192" t="s">
        <v>1448</v>
      </c>
      <c r="C192" t="s">
        <v>1449</v>
      </c>
      <c r="D192" t="s">
        <v>1450</v>
      </c>
      <c r="E192">
        <v>1988</v>
      </c>
      <c r="G192" t="s">
        <v>1902</v>
      </c>
      <c r="H192" s="191" t="str">
        <f>HYPERLINK("https://scholar.google.com/scholar?hl=en&amp;as_q=&amp;as_oq=&amp;as_eq=&amp;as_sauthors=&amp;as_publication=&amp;as_ylo=&amp;as_yhi=&amp;as_occt=title&amp;as_sdt=0%2C5&amp;as_epq=%22Biological+Assay+of+Plant+Growth-Regulating+Compounds+Using+Lemnaceae+Plants", "Google Scholar")</f>
        <v>Google Scholar</v>
      </c>
    </row>
    <row r="193" spans="1:8" x14ac:dyDescent="0.25">
      <c r="A193">
        <v>65852</v>
      </c>
      <c r="B193" t="s">
        <v>1354</v>
      </c>
      <c r="C193" t="s">
        <v>1355</v>
      </c>
      <c r="D193" t="s">
        <v>1356</v>
      </c>
      <c r="E193">
        <v>2002</v>
      </c>
      <c r="G193" t="s">
        <v>1903</v>
      </c>
      <c r="H193" s="192" t="str">
        <f>HYPERLINK("https://scholar.google.com/scholar?hl=en&amp;as_q=&amp;as_oq=&amp;as_eq=&amp;as_sauthors=&amp;as_publication=&amp;as_ylo=&amp;as_yhi=&amp;as_occt=title&amp;as_sdt=0%2C5&amp;as_epq=%22Toxicity+Evaluation+of+New+Antifouling+Compounds+Using+Suspension-Cultured+Fish+Cells", "Google Scholar")</f>
        <v>Google Scholar</v>
      </c>
    </row>
    <row r="194" spans="1:8" x14ac:dyDescent="0.25">
      <c r="A194">
        <v>117111</v>
      </c>
      <c r="B194" t="s">
        <v>941</v>
      </c>
      <c r="C194" t="s">
        <v>942</v>
      </c>
      <c r="D194" t="s">
        <v>943</v>
      </c>
      <c r="E194">
        <v>2009</v>
      </c>
      <c r="G194" t="s">
        <v>1904</v>
      </c>
      <c r="H194" s="193" t="str">
        <f>HYPERLINK("https://scholar.google.com/scholar?hl=en&amp;as_q=&amp;as_oq=&amp;as_eq=&amp;as_sauthors=&amp;as_publication=&amp;as_ylo=&amp;as_yhi=&amp;as_occt=title&amp;as_sdt=0%2C5&amp;as_epq=%22Endocrine+Disrupting+Effects+of+Herbicides+and+Pentachlorophenol%3A++In+Vitro+and+In+Vivo+Evidence", "Google Scholar")</f>
        <v>Google Scholar</v>
      </c>
    </row>
    <row r="195" spans="1:8" x14ac:dyDescent="0.25">
      <c r="A195">
        <v>15663</v>
      </c>
      <c r="B195" t="s">
        <v>423</v>
      </c>
      <c r="C195" t="s">
        <v>811</v>
      </c>
      <c r="D195" t="s">
        <v>812</v>
      </c>
      <c r="E195">
        <v>1975</v>
      </c>
      <c r="G195" t="s">
        <v>1905</v>
      </c>
      <c r="H195" s="194" t="str">
        <f>HYPERLINK("https://scholar.google.com/scholar?hl=en&amp;as_q=&amp;as_oq=&amp;as_eq=&amp;as_sauthors=&amp;as_publication=&amp;as_ylo=&amp;as_yhi=&amp;as_occt=title&amp;as_sdt=0%2C5&amp;as_epq=%22The+Effect+of+Some+Heavy+Metal+Ions+on+Photosynthesis+in+a+Freshwater+Alga", "Google Scholar")</f>
        <v>Google Scholar</v>
      </c>
    </row>
    <row r="196" spans="1:8" x14ac:dyDescent="0.25">
      <c r="A196">
        <v>15868</v>
      </c>
      <c r="B196" t="s">
        <v>423</v>
      </c>
      <c r="C196" t="s">
        <v>424</v>
      </c>
      <c r="D196" t="s">
        <v>425</v>
      </c>
      <c r="E196">
        <v>1976</v>
      </c>
      <c r="G196" t="s">
        <v>1906</v>
      </c>
      <c r="H196" s="195" t="str">
        <f>HYPERLINK("https://scholar.google.com/scholar?hl=en&amp;as_q=&amp;as_oq=&amp;as_eq=&amp;as_sauthors=&amp;as_publication=&amp;as_ylo=&amp;as_yhi=&amp;as_occt=title&amp;as_sdt=0%2C5&amp;as_epq=%22Inhibition+of+Marine+Algal+Photosynthesis+by+Heavy+Metals", "Google Scholar")</f>
        <v>Google Scholar</v>
      </c>
    </row>
    <row r="197" spans="1:8" x14ac:dyDescent="0.25">
      <c r="A197">
        <v>71903</v>
      </c>
      <c r="B197" t="s">
        <v>556</v>
      </c>
      <c r="C197" t="s">
        <v>557</v>
      </c>
      <c r="D197" t="s">
        <v>558</v>
      </c>
      <c r="E197">
        <v>2003</v>
      </c>
      <c r="G197" t="s">
        <v>1907</v>
      </c>
      <c r="H197" s="196" t="str">
        <f>HYPERLINK("https://scholar.google.com/scholar?hl=en&amp;as_q=&amp;as_oq=&amp;as_eq=&amp;as_sauthors=&amp;as_publication=&amp;as_ylo=&amp;as_yhi=&amp;as_occt=title&amp;as_sdt=0%2C5&amp;as_epq=%22Comparative+Acute+Toxicity+of+Herbicides+to+Photosynthesis+of+Coral+Zooxanthellae", "Google Scholar")</f>
        <v>Google Scholar</v>
      </c>
    </row>
    <row r="198" spans="1:8" x14ac:dyDescent="0.25">
      <c r="A198">
        <v>161191</v>
      </c>
      <c r="B198" t="s">
        <v>1336</v>
      </c>
      <c r="C198" t="s">
        <v>1337</v>
      </c>
      <c r="D198" t="s">
        <v>1338</v>
      </c>
      <c r="E198">
        <v>2012</v>
      </c>
      <c r="G198" t="s">
        <v>1908</v>
      </c>
      <c r="H198" s="197" t="str">
        <f>HYPERLINK("https://scholar.google.com/scholar?hl=en&amp;as_q=&amp;as_oq=&amp;as_eq=&amp;as_sauthors=&amp;as_publication=&amp;as_ylo=&amp;as_yhi=&amp;as_occt=title&amp;as_sdt=0%2C5&amp;as_epq=%22Zebrafish+Developmental+Screening+of+the+ToxCast+Phase+I+Chemical+Library", "Google Scholar")</f>
        <v>Google Scholar</v>
      </c>
    </row>
    <row r="199" spans="1:8" x14ac:dyDescent="0.25">
      <c r="A199">
        <v>14181</v>
      </c>
      <c r="B199" t="s">
        <v>704</v>
      </c>
      <c r="C199" t="s">
        <v>705</v>
      </c>
      <c r="D199" t="s">
        <v>706</v>
      </c>
      <c r="E199">
        <v>1987</v>
      </c>
      <c r="G199" t="s">
        <v>1909</v>
      </c>
      <c r="H199" s="198" t="str">
        <f>HYPERLINK("https://scholar.google.com/scholar?hl=en&amp;as_q=&amp;as_oq=&amp;as_eq=&amp;as_sauthors=&amp;as_publication=&amp;as_ylo=&amp;as_yhi=&amp;as_occt=title&amp;as_sdt=0%2C5&amp;as_epq=%22Algicidal+Action+of+Diurone+in+the+Control+of+Chara-A+Rice+Pest", "Google Scholar")</f>
        <v>Google Scholar</v>
      </c>
    </row>
    <row r="200" spans="1:8" x14ac:dyDescent="0.25">
      <c r="A200">
        <v>89877</v>
      </c>
      <c r="B200" t="s">
        <v>623</v>
      </c>
      <c r="C200" t="s">
        <v>624</v>
      </c>
      <c r="D200" t="s">
        <v>625</v>
      </c>
      <c r="E200">
        <v>1999</v>
      </c>
      <c r="G200" t="s">
        <v>1910</v>
      </c>
      <c r="H200" s="199" t="str">
        <f>HYPERLINK("https://scholar.google.com/scholar?hl=en&amp;as_q=&amp;as_oq=&amp;as_eq=&amp;as_sauthors=&amp;as_publication=&amp;as_ylo=&amp;as_yhi=&amp;as_occt=title&amp;as_sdt=0%2C5&amp;as_epq=%22Evaluation+of+Pesticides+for+Possible+Mutagenesis+in+the+Cyanobacterium+Nostoc+calcicola", "Google Scholar")</f>
        <v>Google Scholar</v>
      </c>
    </row>
    <row r="201" spans="1:8" x14ac:dyDescent="0.25">
      <c r="A201">
        <v>174511</v>
      </c>
      <c r="B201" t="s">
        <v>1369</v>
      </c>
      <c r="C201" t="s">
        <v>1370</v>
      </c>
      <c r="D201" t="s">
        <v>1371</v>
      </c>
      <c r="E201">
        <v>2017</v>
      </c>
      <c r="G201" t="s">
        <v>1911</v>
      </c>
      <c r="H201" s="200" t="str">
        <f>HYPERLINK("https://scholar.google.com/scholar?hl=en&amp;as_q=&amp;as_oq=&amp;as_eq=&amp;as_sauthors=&amp;as_publication=&amp;as_ylo=&amp;as_yhi=&amp;as_occt=title&amp;as_sdt=0%2C5&amp;as_epq=%22Comparing+the+Acute+Sensitivity+of+Growth+and+Photosynthetic+Endpoints+in+Three+Lemna+Species+Exposed+to+Four+He", "Google Scholar")</f>
        <v>Google Scholar</v>
      </c>
    </row>
    <row r="202" spans="1:8" x14ac:dyDescent="0.25">
      <c r="A202">
        <v>176040</v>
      </c>
      <c r="B202" t="s">
        <v>1146</v>
      </c>
      <c r="C202" t="s">
        <v>1147</v>
      </c>
      <c r="D202" t="s">
        <v>1148</v>
      </c>
      <c r="E202">
        <v>2016</v>
      </c>
      <c r="G202" t="s">
        <v>1912</v>
      </c>
      <c r="H202" s="201" t="str">
        <f>HYPERLINK("https://scholar.google.com/scholar?hl=en&amp;as_q=&amp;as_oq=&amp;as_eq=&amp;as_sauthors=&amp;as_publication=&amp;as_ylo=&amp;as_yhi=&amp;as_occt=title&amp;as_sdt=0%2C5&amp;as_epq=%22Estrogenic+Activities+of+Diuron+Metabolites+in+Female+Nile+Tilapia+%28Oreochromis+niloticus%29", "Google Scholar")</f>
        <v>Google Scholar</v>
      </c>
    </row>
    <row r="203" spans="1:8" x14ac:dyDescent="0.25">
      <c r="A203">
        <v>177268</v>
      </c>
      <c r="B203" t="s">
        <v>1150</v>
      </c>
      <c r="C203" t="s">
        <v>1151</v>
      </c>
      <c r="D203" t="s">
        <v>1152</v>
      </c>
      <c r="E203">
        <v>2015</v>
      </c>
      <c r="G203" t="s">
        <v>1913</v>
      </c>
      <c r="H203" s="202" t="str">
        <f>HYPERLINK("https://scholar.google.com/scholar?hl=en&amp;as_q=&amp;as_oq=&amp;as_eq=&amp;as_sauthors=&amp;as_publication=&amp;as_ylo=&amp;as_yhi=&amp;as_occt=title&amp;as_sdt=0%2C5&amp;as_epq=%22Anti-Androgenic+Activities+of+Diuron+and+Its+Metabolites+in+Male+Nile+Tilapia+%28Oreochromis+niloticus%29", "Google Scholar")</f>
        <v>Google Scholar</v>
      </c>
    </row>
    <row r="204" spans="1:8" x14ac:dyDescent="0.25">
      <c r="A204">
        <v>102117</v>
      </c>
      <c r="B204" t="s">
        <v>568</v>
      </c>
      <c r="C204" t="s">
        <v>569</v>
      </c>
      <c r="D204" t="s">
        <v>570</v>
      </c>
      <c r="E204">
        <v>2004</v>
      </c>
      <c r="G204" t="s">
        <v>1914</v>
      </c>
      <c r="H204" s="203" t="str">
        <f>HYPERLINK("https://scholar.google.com/scholar?hl=en&amp;as_q=&amp;as_oq=&amp;as_eq=&amp;as_sauthors=&amp;as_publication=&amp;as_ylo=&amp;as_yhi=&amp;as_occt=title&amp;as_sdt=0%2C5&amp;as_epq=%22Effects+of+Diuron+and+Other+Aerially+Applied+Cotton+Herbicides+and+Defoliants+on+the+Plankton+Communities+of+Aqu", "Google Scholar")</f>
        <v>Google Scholar</v>
      </c>
    </row>
    <row r="205" spans="1:8" x14ac:dyDescent="0.25">
      <c r="A205">
        <v>19926</v>
      </c>
      <c r="B205" t="s">
        <v>851</v>
      </c>
      <c r="C205" t="s">
        <v>852</v>
      </c>
      <c r="D205" t="s">
        <v>853</v>
      </c>
      <c r="E205">
        <v>1996</v>
      </c>
      <c r="G205" t="s">
        <v>1915</v>
      </c>
      <c r="H205" s="204" t="str">
        <f>HYPERLINK("https://scholar.google.com/scholar?hl=en&amp;as_q=&amp;as_oq=&amp;as_eq=&amp;as_sauthors=&amp;as_publication=&amp;as_ylo=&amp;as_yhi=&amp;as_occt=title&amp;as_sdt=0%2C5&amp;as_epq=%22New+Algal+Enzyme+Bioassay+for+the+Rapid+Assessment+of+Aquatic+Toxicity", "Google Scholar")</f>
        <v>Google Scholar</v>
      </c>
    </row>
    <row r="206" spans="1:8" x14ac:dyDescent="0.25">
      <c r="A206">
        <v>83755</v>
      </c>
      <c r="B206" t="s">
        <v>225</v>
      </c>
      <c r="C206" t="s">
        <v>226</v>
      </c>
      <c r="D206" t="s">
        <v>227</v>
      </c>
      <c r="E206">
        <v>2005</v>
      </c>
      <c r="G206" t="s">
        <v>1916</v>
      </c>
      <c r="H206" s="205" t="str">
        <f>HYPERLINK("https://scholar.google.com/scholar?hl=en&amp;as_q=&amp;as_oq=&amp;as_eq=&amp;as_sauthors=&amp;as_publication=&amp;as_ylo=&amp;as_yhi=&amp;as_occt=title&amp;as_sdt=0%2C5&amp;as_epq=%22Selective+Real-Time+Herbicide+Monitoring+by+an+Array+Chip+Biosensor+Employing+Diverse+Microalgae", "Google Scholar")</f>
        <v>Google Scholar</v>
      </c>
    </row>
    <row r="207" spans="1:8" x14ac:dyDescent="0.25">
      <c r="A207">
        <v>8175</v>
      </c>
      <c r="B207" t="s">
        <v>1233</v>
      </c>
      <c r="C207" t="s">
        <v>1248</v>
      </c>
      <c r="D207" t="s">
        <v>1249</v>
      </c>
      <c r="E207">
        <v>1975</v>
      </c>
      <c r="F207" t="s">
        <v>1917</v>
      </c>
      <c r="G207" t="s">
        <v>1918</v>
      </c>
      <c r="H207" s="206" t="str">
        <f>HYPERLINK("https://scholar.google.com/scholar?hl=en&amp;as_q=&amp;as_oq=&amp;as_eq=&amp;as_sauthors=&amp;as_publication=&amp;as_ylo=&amp;as_yhi=&amp;as_occt=title&amp;as_sdt=0%2C5&amp;as_epq=%22Nature+of+the+Action+of+Some+Herbicides+on+Carp", "Google Scholar")</f>
        <v>Google Scholar</v>
      </c>
    </row>
    <row r="208" spans="1:8" x14ac:dyDescent="0.25">
      <c r="A208">
        <v>9173</v>
      </c>
      <c r="B208" t="s">
        <v>1233</v>
      </c>
      <c r="C208" t="s">
        <v>1234</v>
      </c>
      <c r="D208" t="s">
        <v>1235</v>
      </c>
      <c r="E208">
        <v>1972</v>
      </c>
      <c r="F208" t="s">
        <v>1917</v>
      </c>
      <c r="G208" t="s">
        <v>1919</v>
      </c>
      <c r="H208" s="207" t="str">
        <f>HYPERLINK("https://scholar.google.com/scholar?hl=en&amp;as_q=&amp;as_oq=&amp;as_eq=&amp;as_sauthors=&amp;as_publication=&amp;as_ylo=&amp;as_yhi=&amp;as_occt=title&amp;as_sdt=0%2C5&amp;as_epq=%22Pathomorphological+Changes+in+Erythrocytes+in+Fish+During+Chronic+Diuron+Poisoning", "Google Scholar")</f>
        <v>Google Scholar</v>
      </c>
    </row>
    <row r="209" spans="1:8" x14ac:dyDescent="0.25">
      <c r="A209">
        <v>9670</v>
      </c>
      <c r="B209" t="s">
        <v>1233</v>
      </c>
      <c r="C209" t="s">
        <v>1244</v>
      </c>
      <c r="D209" t="s">
        <v>1245</v>
      </c>
      <c r="E209">
        <v>1970</v>
      </c>
      <c r="G209" t="s">
        <v>1920</v>
      </c>
      <c r="H209" s="208" t="str">
        <f>HYPERLINK("https://scholar.google.com/scholar?hl=en&amp;as_q=&amp;as_oq=&amp;as_eq=&amp;as_sauthors=&amp;as_publication=&amp;as_ylo=&amp;as_yhi=&amp;as_occt=title&amp;as_sdt=0%2C5&amp;as_epq=%22Hematological+Indexes+During+an+Evaluation+of+the+Toxicity+of+Pesticides+for+Fish", "Google Scholar")</f>
        <v>Google Scholar</v>
      </c>
    </row>
    <row r="210" spans="1:8" x14ac:dyDescent="0.25">
      <c r="A210">
        <v>15634</v>
      </c>
      <c r="B210" t="s">
        <v>662</v>
      </c>
      <c r="C210" t="s">
        <v>663</v>
      </c>
      <c r="D210" t="s">
        <v>664</v>
      </c>
      <c r="E210">
        <v>1981</v>
      </c>
      <c r="G210" t="s">
        <v>1921</v>
      </c>
      <c r="H210" s="209" t="str">
        <f>HYPERLINK("https://scholar.google.com/scholar?hl=en&amp;as_q=&amp;as_oq=&amp;as_eq=&amp;as_sauthors=&amp;as_publication=&amp;as_ylo=&amp;as_yhi=&amp;as_occt=title&amp;as_sdt=0%2C5&amp;as_epq=%22Effects+of+Metabolic+Inhibitors+on+the+Calcification+of+a+Freshwater+Green+Alga%2C+Gloeotaenium+ioitlesbergarian", "Google Scholar")</f>
        <v>Google Scholar</v>
      </c>
    </row>
    <row r="211" spans="1:8" x14ac:dyDescent="0.25">
      <c r="A211">
        <v>72766</v>
      </c>
      <c r="B211" t="s">
        <v>1580</v>
      </c>
      <c r="C211" t="s">
        <v>1581</v>
      </c>
      <c r="D211" t="s">
        <v>1582</v>
      </c>
      <c r="E211">
        <v>2003</v>
      </c>
      <c r="G211" t="s">
        <v>1922</v>
      </c>
      <c r="H211" s="210" t="str">
        <f>HYPERLINK("https://scholar.google.com/scholar?hl=en&amp;as_q=&amp;as_oq=&amp;as_eq=&amp;as_sauthors=&amp;as_publication=&amp;as_ylo=&amp;as_yhi=&amp;as_occt=title&amp;as_sdt=0%2C5&amp;as_epq=%22Impact+of+the+Herbicides+2%2C4-D+and+Diuron+on+the+Metabolism+of+the+Coral+Porites+cylindrica", "Google Scholar")</f>
        <v>Google Scholar</v>
      </c>
    </row>
    <row r="212" spans="1:8" x14ac:dyDescent="0.25">
      <c r="A212">
        <v>61925</v>
      </c>
      <c r="B212" t="s">
        <v>1428</v>
      </c>
      <c r="C212" t="s">
        <v>1429</v>
      </c>
      <c r="D212" t="s">
        <v>1430</v>
      </c>
      <c r="E212">
        <v>2000</v>
      </c>
      <c r="G212" t="s">
        <v>1923</v>
      </c>
      <c r="H212" s="211" t="str">
        <f>HYPERLINK("https://scholar.google.com/scholar?hl=en&amp;as_q=&amp;as_oq=&amp;as_eq=&amp;as_sauthors=&amp;as_publication=&amp;as_ylo=&amp;as_yhi=&amp;as_occt=title&amp;as_sdt=0%2C5&amp;as_epq=%22Herbicide+Toxicity+of+Halophila+ovalis+Assessed+by+Chlorophyll+a+Fluorescence", "Google Scholar")</f>
        <v>Google Scholar</v>
      </c>
    </row>
    <row r="213" spans="1:8" x14ac:dyDescent="0.25">
      <c r="A213">
        <v>5786</v>
      </c>
      <c r="B213" t="s">
        <v>1236</v>
      </c>
      <c r="C213" t="s">
        <v>1237</v>
      </c>
      <c r="D213" t="s">
        <v>1238</v>
      </c>
      <c r="E213">
        <v>1992</v>
      </c>
      <c r="G213" t="s">
        <v>1924</v>
      </c>
      <c r="H213" s="212" t="str">
        <f>HYPERLINK("https://scholar.google.com/scholar?hl=en&amp;as_q=&amp;as_oq=&amp;as_eq=&amp;as_sauthors=&amp;as_publication=&amp;as_ylo=&amp;as_yhi=&amp;as_occt=title&amp;as_sdt=0%2C5&amp;as_epq=%22Changes+in+Erythropoietic+Activity+of+Sarotherodon+mossambicus+Exposed+to+Sublethal+Concentrations+of+the+Herbic", "Google Scholar")</f>
        <v>Google Scholar</v>
      </c>
    </row>
    <row r="214" spans="1:8" x14ac:dyDescent="0.25">
      <c r="A214">
        <v>170799</v>
      </c>
      <c r="B214" t="s">
        <v>146</v>
      </c>
      <c r="C214" t="s">
        <v>147</v>
      </c>
      <c r="D214" t="s">
        <v>148</v>
      </c>
      <c r="E214">
        <v>2015</v>
      </c>
      <c r="G214" t="s">
        <v>1925</v>
      </c>
      <c r="H214" s="213" t="str">
        <f>HYPERLINK("https://scholar.google.com/scholar?hl=en&amp;as_q=&amp;as_oq=&amp;as_eq=&amp;as_sauthors=&amp;as_publication=&amp;as_ylo=&amp;as_yhi=&amp;as_occt=title&amp;as_sdt=0%2C5&amp;as_epq=%22Effect+of+PFOA%2FPFOS+Pre-Exposure+on+the+Toxicity+of+the+Herbicides+2%2C4-D%2C+Atrazine%2C+Diuron+and+Paraquat+", "Google Scholar")</f>
        <v>Google Scholar</v>
      </c>
    </row>
    <row r="215" spans="1:8" x14ac:dyDescent="0.25">
      <c r="A215">
        <v>160633</v>
      </c>
      <c r="B215" t="s">
        <v>1179</v>
      </c>
      <c r="C215" t="s">
        <v>1180</v>
      </c>
      <c r="D215" t="s">
        <v>1181</v>
      </c>
      <c r="E215">
        <v>2011</v>
      </c>
      <c r="G215" t="s">
        <v>1926</v>
      </c>
      <c r="H215" s="214" t="str">
        <f>HYPERLINK("https://scholar.google.com/scholar?hl=en&amp;as_q=&amp;as_oq=&amp;as_eq=&amp;as_sauthors=&amp;as_publication=&amp;as_ylo=&amp;as_yhi=&amp;as_occt=title&amp;as_sdt=0%2C5&amp;as_epq=%22Sublethal+Effects+of+Waterborne+Herbicides+in+Tropical+Freshwater+Fish", "Google Scholar")</f>
        <v>Google Scholar</v>
      </c>
    </row>
    <row r="216" spans="1:8" x14ac:dyDescent="0.25">
      <c r="A216">
        <v>170085</v>
      </c>
      <c r="B216" t="s">
        <v>249</v>
      </c>
      <c r="C216" t="s">
        <v>250</v>
      </c>
      <c r="D216" t="s">
        <v>251</v>
      </c>
      <c r="E216">
        <v>2011</v>
      </c>
      <c r="G216" t="s">
        <v>1927</v>
      </c>
      <c r="H216" s="215" t="str">
        <f>HYPERLINK("https://scholar.google.com/scholar?hl=en&amp;as_q=&amp;as_oq=&amp;as_eq=&amp;as_sauthors=&amp;as_publication=&amp;as_ylo=&amp;as_yhi=&amp;as_occt=title&amp;as_sdt=0%2C5&amp;as_epq=%22Variations+in+Periphytic+Diatom+Tolerance+to+Agricultural+Pesticides+in+a+Contaminated+River%3A+An+Analysis+from", "Google Scholar")</f>
        <v>Google Scholar</v>
      </c>
    </row>
    <row r="217" spans="1:8" x14ac:dyDescent="0.25">
      <c r="A217">
        <v>20177</v>
      </c>
      <c r="B217" t="s">
        <v>1333</v>
      </c>
      <c r="C217" t="s">
        <v>1334</v>
      </c>
      <c r="D217" t="s">
        <v>1335</v>
      </c>
      <c r="E217">
        <v>1998</v>
      </c>
      <c r="G217" t="s">
        <v>1928</v>
      </c>
      <c r="H217" s="216" t="str">
        <f>HYPERLINK("https://scholar.google.com/scholar?hl=en&amp;as_q=&amp;as_oq=&amp;as_eq=&amp;as_sauthors=&amp;as_publication=&amp;as_ylo=&amp;as_yhi=&amp;as_occt=title&amp;as_sdt=0%2C5&amp;as_epq=%22Behavioral+Responses+to+Atrazine+and+Diuron+in+Goldfish", "Google Scholar")</f>
        <v>Google Scholar</v>
      </c>
    </row>
    <row r="218" spans="1:8" x14ac:dyDescent="0.25">
      <c r="A218">
        <v>13246</v>
      </c>
      <c r="B218" t="s">
        <v>807</v>
      </c>
      <c r="C218" t="s">
        <v>808</v>
      </c>
      <c r="D218" t="s">
        <v>809</v>
      </c>
      <c r="E218">
        <v>1988</v>
      </c>
      <c r="G218" t="s">
        <v>1929</v>
      </c>
      <c r="H218" s="217" t="str">
        <f>HYPERLINK("https://scholar.google.com/scholar?hl=en&amp;as_q=&amp;as_oq=&amp;as_eq=&amp;as_sauthors=&amp;as_publication=&amp;as_ylo=&amp;as_yhi=&amp;as_occt=title&amp;as_sdt=0%2C5&amp;as_epq=%22Use+of+Algal+Fluorescence+for+Determination+of+Phytotoxicity+of+Heavy+Metals+and+Pesticides+as+Environmental+Pol", "Google Scholar")</f>
        <v>Google Scholar</v>
      </c>
    </row>
    <row r="219" spans="1:8" x14ac:dyDescent="0.25">
      <c r="A219">
        <v>167523</v>
      </c>
      <c r="B219" t="s">
        <v>947</v>
      </c>
      <c r="C219" t="s">
        <v>948</v>
      </c>
      <c r="D219" t="s">
        <v>949</v>
      </c>
      <c r="E219">
        <v>2013</v>
      </c>
      <c r="G219" t="s">
        <v>1930</v>
      </c>
      <c r="H219" s="218" t="str">
        <f>HYPERLINK("https://scholar.google.com/scholar?hl=en&amp;as_q=&amp;as_oq=&amp;as_eq=&amp;as_sauthors=&amp;as_publication=&amp;as_ylo=&amp;as_yhi=&amp;as_occt=title&amp;as_sdt=0%2C5&amp;as_epq=%22Role+of+the+Hyporheic+Heterotrophic+Biofilm+on+Transformation+and+Toxicity+of+Pesticides", "Google Scholar")</f>
        <v>Google Scholar</v>
      </c>
    </row>
    <row r="220" spans="1:8" x14ac:dyDescent="0.25">
      <c r="A220">
        <v>179060</v>
      </c>
      <c r="B220" t="s">
        <v>1055</v>
      </c>
      <c r="C220" t="s">
        <v>1056</v>
      </c>
      <c r="D220" t="s">
        <v>1057</v>
      </c>
      <c r="E220">
        <v>2016</v>
      </c>
      <c r="G220" t="s">
        <v>1931</v>
      </c>
      <c r="H220" s="219" t="str">
        <f>HYPERLINK("https://scholar.google.com/scholar?hl=en&amp;as_q=&amp;as_oq=&amp;as_eq=&amp;as_sauthors=&amp;as_publication=&amp;as_ylo=&amp;as_yhi=&amp;as_occt=title&amp;as_sdt=0%2C5&amp;as_epq=%22New+Insights+on+the+Influence+of+Organic+Co-Contaminants+on+the+Aquatic+Toxicology+of+Carbon+Nanomaterials", "Google Scholar")</f>
        <v>Google Scholar</v>
      </c>
    </row>
    <row r="221" spans="1:8" x14ac:dyDescent="0.25">
      <c r="A221">
        <v>885</v>
      </c>
      <c r="B221" t="s">
        <v>1072</v>
      </c>
      <c r="C221" t="s">
        <v>1073</v>
      </c>
      <c r="D221" t="s">
        <v>1074</v>
      </c>
      <c r="E221">
        <v>1969</v>
      </c>
      <c r="G221" t="s">
        <v>1932</v>
      </c>
      <c r="H221" s="220" t="str">
        <f>HYPERLINK("https://scholar.google.com/scholar?hl=en&amp;as_q=&amp;as_oq=&amp;as_eq=&amp;as_sauthors=&amp;as_publication=&amp;as_ylo=&amp;as_yhi=&amp;as_occt=title&amp;as_sdt=0%2C5&amp;as_epq=%22Toxicity+of+Pesticides+to+the+Crustacean+Gammarus+lacustris", "Google Scholar")</f>
        <v>Google Scholar</v>
      </c>
    </row>
    <row r="222" spans="1:8" x14ac:dyDescent="0.25">
      <c r="A222">
        <v>886</v>
      </c>
      <c r="B222" t="s">
        <v>1072</v>
      </c>
      <c r="C222" t="s">
        <v>1075</v>
      </c>
      <c r="D222" t="s">
        <v>1076</v>
      </c>
      <c r="E222">
        <v>1970</v>
      </c>
      <c r="G222" t="s">
        <v>1933</v>
      </c>
      <c r="H222" s="221" t="str">
        <f>HYPERLINK("https://scholar.google.com/scholar?hl=en&amp;as_q=&amp;as_oq=&amp;as_eq=&amp;as_sauthors=&amp;as_publication=&amp;as_ylo=&amp;as_yhi=&amp;as_occt=title&amp;as_sdt=0%2C5&amp;as_epq=%22Toxicities+of+Some+Herbicides+to+Six+Species+of+Freshwater+Crustaceans", "Google Scholar")</f>
        <v>Google Scholar</v>
      </c>
    </row>
    <row r="223" spans="1:8" x14ac:dyDescent="0.25">
      <c r="A223">
        <v>889</v>
      </c>
      <c r="B223" t="s">
        <v>1519</v>
      </c>
      <c r="C223" t="s">
        <v>1520</v>
      </c>
      <c r="D223" t="s">
        <v>1521</v>
      </c>
      <c r="E223">
        <v>1968</v>
      </c>
      <c r="G223" t="s">
        <v>1934</v>
      </c>
      <c r="H223" s="222" t="str">
        <f>HYPERLINK("https://scholar.google.com/scholar?hl=en&amp;as_q=&amp;as_oq=&amp;as_eq=&amp;as_sauthors=&amp;as_publication=&amp;as_ylo=&amp;as_yhi=&amp;as_occt=title&amp;as_sdt=0%2C5&amp;as_epq=%22The+Relative+Toxicities+of+Several+Pesticides+to+Naiads+of+Three+Species+of+Stoneflies", "Google Scholar")</f>
        <v>Google Scholar</v>
      </c>
    </row>
    <row r="224" spans="1:8" x14ac:dyDescent="0.25">
      <c r="A224">
        <v>4008</v>
      </c>
      <c r="B224" t="s">
        <v>839</v>
      </c>
      <c r="C224" t="s">
        <v>840</v>
      </c>
      <c r="D224" t="s">
        <v>841</v>
      </c>
      <c r="E224">
        <v>1994</v>
      </c>
      <c r="G224" t="s">
        <v>1935</v>
      </c>
      <c r="H224" s="223" t="str">
        <f>HYPERLINK("https://scholar.google.com/scholar?hl=en&amp;as_q=&amp;as_oq=&amp;as_eq=&amp;as_sauthors=&amp;as_publication=&amp;as_ylo=&amp;as_yhi=&amp;as_occt=title&amp;as_sdt=0%2C5&amp;as_epq=%22Biotests+Using+Unicellular+Algae+and+Ciliates+for+Predicting+Long-Term+Effects+of+Toxicants", "Google Scholar")</f>
        <v>Google Scholar</v>
      </c>
    </row>
    <row r="225" spans="1:8" x14ac:dyDescent="0.25">
      <c r="A225">
        <v>163900</v>
      </c>
      <c r="B225" t="s">
        <v>1326</v>
      </c>
      <c r="C225" t="s">
        <v>1327</v>
      </c>
      <c r="D225" t="s">
        <v>1328</v>
      </c>
      <c r="E225">
        <v>2012</v>
      </c>
      <c r="G225" t="s">
        <v>1936</v>
      </c>
      <c r="H225" s="224" t="str">
        <f>HYPERLINK("https://scholar.google.com/scholar?hl=en&amp;as_q=&amp;as_oq=&amp;as_eq=&amp;as_sauthors=&amp;as_publication=&amp;as_ylo=&amp;as_yhi=&amp;as_occt=title&amp;as_sdt=0%2C5&amp;as_epq=%22Reconstitution+Studies+of+Pesticides+and+Surfactants+Exploring+the+Cause+of+Estrogenic+Activity+Observed+in+Surf", "Google Scholar")</f>
        <v>Google Scholar</v>
      </c>
    </row>
    <row r="226" spans="1:8" x14ac:dyDescent="0.25">
      <c r="A226">
        <v>69995</v>
      </c>
      <c r="B226" t="s">
        <v>711</v>
      </c>
      <c r="C226" t="s">
        <v>712</v>
      </c>
      <c r="D226" t="s">
        <v>713</v>
      </c>
      <c r="E226">
        <v>1997</v>
      </c>
      <c r="G226" t="s">
        <v>1937</v>
      </c>
      <c r="H226" s="225" t="str">
        <f>HYPERLINK("https://scholar.google.com/scholar?hl=en&amp;as_q=&amp;as_oq=&amp;as_eq=&amp;as_sauthors=&amp;as_publication=&amp;as_ylo=&amp;as_yhi=&amp;as_occt=title&amp;as_sdt=0%2C5&amp;as_epq=%22A+Rapid+Bioassay+for+Selective+Algicides", "Google Scholar")</f>
        <v>Google Scholar</v>
      </c>
    </row>
    <row r="227" spans="1:8" x14ac:dyDescent="0.25">
      <c r="A227">
        <v>69879</v>
      </c>
      <c r="B227" t="s">
        <v>186</v>
      </c>
      <c r="C227" t="s">
        <v>187</v>
      </c>
      <c r="D227" t="s">
        <v>188</v>
      </c>
      <c r="E227">
        <v>1998</v>
      </c>
      <c r="G227" t="s">
        <v>1938</v>
      </c>
      <c r="H227" s="226" t="str">
        <f>HYPERLINK("https://scholar.google.com/scholar?hl=en&amp;as_q=&amp;as_oq=&amp;as_eq=&amp;as_sauthors=&amp;as_publication=&amp;as_ylo=&amp;as_yhi=&amp;as_occt=title&amp;as_sdt=0%2C5&amp;as_epq=%22Compounds+with+Selective+Toxicity+Towards+the+Off-Flavor+Metabolite-Producing+Cyanobacterium+Oscillatoria+cf.+ch", "Google Scholar")</f>
        <v>Google Scholar</v>
      </c>
    </row>
    <row r="228" spans="1:8" x14ac:dyDescent="0.25">
      <c r="A228">
        <v>9185</v>
      </c>
      <c r="B228" t="s">
        <v>1340</v>
      </c>
      <c r="C228" t="s">
        <v>1341</v>
      </c>
      <c r="D228" t="s">
        <v>1342</v>
      </c>
      <c r="E228">
        <v>1972</v>
      </c>
      <c r="G228" t="s">
        <v>1939</v>
      </c>
      <c r="H228" s="227" t="str">
        <f>HYPERLINK("https://scholar.google.com/scholar?hl=en&amp;as_q=&amp;as_oq=&amp;as_eq=&amp;as_sauthors=&amp;as_publication=&amp;as_ylo=&amp;as_yhi=&amp;as_occt=title&amp;as_sdt=0%2C5&amp;as_epq=%22Proliferative+Endocarditis+in+the+Heart+of+Carps+After+Exposure+to+the+Herbicide+Karmex", "Google Scholar")</f>
        <v>Google Scholar</v>
      </c>
    </row>
    <row r="229" spans="1:8" x14ac:dyDescent="0.25">
      <c r="A229">
        <v>18988</v>
      </c>
      <c r="B229" t="s">
        <v>914</v>
      </c>
      <c r="C229" t="s">
        <v>915</v>
      </c>
      <c r="D229" t="s">
        <v>916</v>
      </c>
      <c r="E229">
        <v>1998</v>
      </c>
      <c r="G229" t="s">
        <v>1940</v>
      </c>
      <c r="H229" s="228" t="str">
        <f>HYPERLINK("https://scholar.google.com/scholar?hl=en&amp;as_q=&amp;as_oq=&amp;as_eq=&amp;as_sauthors=&amp;as_publication=&amp;as_ylo=&amp;as_yhi=&amp;as_occt=title&amp;as_sdt=0%2C5&amp;as_epq=%22Comparative+Toxicity+of+Diuron+on+Survival+and+Growth+of+Pacific+Treefrog%2C+Bullfrog%2C+Red-Legged+Frog%2C+and+", "Google Scholar")</f>
        <v>Google Scholar</v>
      </c>
    </row>
    <row r="230" spans="1:8" x14ac:dyDescent="0.25">
      <c r="A230">
        <v>90414</v>
      </c>
      <c r="B230" t="s">
        <v>795</v>
      </c>
      <c r="C230" t="s">
        <v>796</v>
      </c>
      <c r="D230" t="s">
        <v>797</v>
      </c>
      <c r="E230">
        <v>2006</v>
      </c>
      <c r="G230" t="s">
        <v>1941</v>
      </c>
      <c r="H230" s="229" t="str">
        <f>HYPERLINK("https://scholar.google.com/scholar?hl=en&amp;as_q=&amp;as_oq=&amp;as_eq=&amp;as_sauthors=&amp;as_publication=&amp;as_ylo=&amp;as_yhi=&amp;as_occt=title&amp;as_sdt=0%2C5&amp;as_epq=%22Herbicide+Impact+on+Hormosira+banksii+Gametes+Measured+by+Fluorescence+and+Germination+Bioassays", "Google Scholar")</f>
        <v>Google Scholar</v>
      </c>
    </row>
    <row r="231" spans="1:8" x14ac:dyDescent="0.25">
      <c r="A231">
        <v>178696</v>
      </c>
      <c r="B231" t="s">
        <v>1468</v>
      </c>
      <c r="C231" t="s">
        <v>1469</v>
      </c>
      <c r="D231" t="s">
        <v>1470</v>
      </c>
      <c r="E231">
        <v>1987</v>
      </c>
      <c r="G231" t="s">
        <v>1942</v>
      </c>
      <c r="H231" s="230" t="str">
        <f>HYPERLINK("https://scholar.google.com/scholar?hl=en&amp;as_q=&amp;as_oq=&amp;as_eq=&amp;as_sauthors=&amp;as_publication=&amp;as_ylo=&amp;as_yhi=&amp;as_occt=title&amp;as_sdt=0%2C5&amp;as_epq=%22Bioresidual+Activity+of+Photosynthesis+-+Inhibiting+Herbicides+in+Water+and+Soil", "Google Scholar")</f>
        <v>Google Scholar</v>
      </c>
    </row>
    <row r="232" spans="1:8" x14ac:dyDescent="0.25">
      <c r="A232">
        <v>180409</v>
      </c>
      <c r="B232" t="s">
        <v>1273</v>
      </c>
      <c r="C232" t="s">
        <v>1274</v>
      </c>
      <c r="D232" t="s">
        <v>1275</v>
      </c>
      <c r="E232">
        <v>2019</v>
      </c>
      <c r="G232" t="s">
        <v>1943</v>
      </c>
      <c r="H232" s="231" t="str">
        <f>HYPERLINK("https://scholar.google.com/scholar?hl=en&amp;as_q=&amp;as_oq=&amp;as_eq=&amp;as_sauthors=&amp;as_publication=&amp;as_ylo=&amp;as_yhi=&amp;as_occt=title&amp;as_sdt=0%2C5&amp;as_epq=%22Combined+Effects+of+Environmental+Xeno-Estrogens+Within+Multi-Component+Mixtures%3A+Comparison+of+In+Vitro+Human", "Google Scholar")</f>
        <v>Google Scholar</v>
      </c>
    </row>
    <row r="233" spans="1:8" x14ac:dyDescent="0.25">
      <c r="A233">
        <v>9192</v>
      </c>
      <c r="B233" t="s">
        <v>1028</v>
      </c>
      <c r="C233" t="s">
        <v>1032</v>
      </c>
      <c r="D233" t="s">
        <v>1033</v>
      </c>
      <c r="E233">
        <v>1972</v>
      </c>
      <c r="G233" t="s">
        <v>1944</v>
      </c>
      <c r="H233" s="232" t="str">
        <f>HYPERLINK("https://scholar.google.com/scholar?hl=en&amp;as_q=&amp;as_oq=&amp;as_eq=&amp;as_sauthors=&amp;as_publication=&amp;as_ylo=&amp;as_yhi=&amp;as_occt=title&amp;as_sdt=0%2C5&amp;as_epq=%22Effect+of+Diuron+on+Individual+Bioparameters+and+Potential+Productivity+of+Scapholeberis+mucronata", "Google Scholar")</f>
        <v>Google Scholar</v>
      </c>
    </row>
    <row r="234" spans="1:8" x14ac:dyDescent="0.25">
      <c r="A234">
        <v>9193</v>
      </c>
      <c r="B234" t="s">
        <v>1028</v>
      </c>
      <c r="C234" t="s">
        <v>1040</v>
      </c>
      <c r="D234" t="s">
        <v>1041</v>
      </c>
      <c r="E234">
        <v>1972</v>
      </c>
      <c r="G234" t="s">
        <v>1945</v>
      </c>
      <c r="H234" s="233" t="str">
        <f>HYPERLINK("https://scholar.google.com/scholar?hl=en&amp;as_q=&amp;as_oq=&amp;as_eq=&amp;as_sauthors=&amp;as_publication=&amp;as_ylo=&amp;as_yhi=&amp;as_occt=title&amp;as_sdt=0%2C5&amp;as_epq=%22Effect+of+Low+Concentrations+of+Atrazine+and+Diuron+on+the+Productivity+of+Cladocera", "Google Scholar")</f>
        <v>Google Scholar</v>
      </c>
    </row>
    <row r="235" spans="1:8" x14ac:dyDescent="0.25">
      <c r="A235">
        <v>9260</v>
      </c>
      <c r="B235" t="s">
        <v>1028</v>
      </c>
      <c r="C235" t="s">
        <v>1029</v>
      </c>
      <c r="D235" t="s">
        <v>1030</v>
      </c>
      <c r="E235">
        <v>1972</v>
      </c>
      <c r="G235" t="s">
        <v>1946</v>
      </c>
      <c r="H235" s="234" t="str">
        <f>HYPERLINK("https://scholar.google.com/scholar?hl=en&amp;as_q=&amp;as_oq=&amp;as_eq=&amp;as_sauthors=&amp;as_publication=&amp;as_ylo=&amp;as_yhi=&amp;as_occt=title&amp;as_sdt=0%2C5&amp;as_epq=%22The+Effect+of+Low+Concentrations+of+Pesticides+on+the+Development+of+Some+Cladocera+and+the+Abundance+of+Their+P", "Google Scholar")</f>
        <v>Google Scholar</v>
      </c>
    </row>
    <row r="236" spans="1:8" x14ac:dyDescent="0.25">
      <c r="A236">
        <v>47</v>
      </c>
      <c r="B236" t="s">
        <v>1042</v>
      </c>
      <c r="C236" t="s">
        <v>1043</v>
      </c>
      <c r="D236" t="s">
        <v>1044</v>
      </c>
      <c r="E236">
        <v>1975</v>
      </c>
      <c r="G236" t="s">
        <v>1947</v>
      </c>
      <c r="H236" s="235" t="str">
        <f>HYPERLINK("https://scholar.google.com/scholar?hl=en&amp;as_q=&amp;as_oq=&amp;as_eq=&amp;as_sauthors=&amp;as_publication=&amp;as_ylo=&amp;as_yhi=&amp;as_occt=title&amp;as_sdt=0%2C5&amp;as_epq=%22Effect+of+Several+Pesticides+on+the+Quality+of+Crustacea+Progeny", "Google Scholar")</f>
        <v>Google Scholar</v>
      </c>
    </row>
    <row r="237" spans="1:8" x14ac:dyDescent="0.25">
      <c r="A237">
        <v>174031</v>
      </c>
      <c r="B237" t="s">
        <v>813</v>
      </c>
      <c r="C237" t="s">
        <v>814</v>
      </c>
      <c r="D237" t="s">
        <v>815</v>
      </c>
      <c r="E237">
        <v>2014</v>
      </c>
      <c r="G237" t="s">
        <v>1948</v>
      </c>
      <c r="H237" s="236" t="str">
        <f>HYPERLINK("https://scholar.google.com/scholar?hl=en&amp;as_q=&amp;as_oq=&amp;as_eq=&amp;as_sauthors=&amp;as_publication=&amp;as_ylo=&amp;as_yhi=&amp;as_occt=title&amp;as_sdt=0%2C5&amp;as_epq=%22Probabilistic+Risk+Assessment+of+Diuron+and+Prometryn+in+the+Gwydir+River+Catchment%2C+Australia%2C+with+the+Inp", "Google Scholar")</f>
        <v>Google Scholar</v>
      </c>
    </row>
    <row r="238" spans="1:8" x14ac:dyDescent="0.25">
      <c r="A238">
        <v>173019</v>
      </c>
      <c r="B238" t="s">
        <v>898</v>
      </c>
      <c r="C238" t="s">
        <v>899</v>
      </c>
      <c r="D238" t="s">
        <v>900</v>
      </c>
      <c r="E238">
        <v>2013</v>
      </c>
      <c r="G238" t="s">
        <v>1949</v>
      </c>
      <c r="H238" s="237" t="str">
        <f>HYPERLINK("https://scholar.google.com/scholar?hl=en&amp;as_q=&amp;as_oq=&amp;as_eq=&amp;as_sauthors=&amp;as_publication=&amp;as_ylo=&amp;as_yhi=&amp;as_occt=title&amp;as_sdt=0%2C5&amp;as_epq=%22Thiobencarb+Herbicide+Reduces+Growth%2C+Photosynthetic+Activity%2C+and+Amount+of+Rieske+Iron-Sulfur+Protein+in+t", "Google Scholar")</f>
        <v>Google Scholar</v>
      </c>
    </row>
    <row r="239" spans="1:8" x14ac:dyDescent="0.25">
      <c r="A239">
        <v>81284</v>
      </c>
      <c r="B239" t="s">
        <v>847</v>
      </c>
      <c r="C239" t="s">
        <v>848</v>
      </c>
      <c r="D239" t="s">
        <v>849</v>
      </c>
      <c r="E239">
        <v>2005</v>
      </c>
      <c r="G239" t="s">
        <v>1950</v>
      </c>
      <c r="H239" s="238" t="str">
        <f>HYPERLINK("https://scholar.google.com/scholar?hl=en&amp;as_q=&amp;as_oq=&amp;as_eq=&amp;as_sauthors=&amp;as_publication=&amp;as_ylo=&amp;as_yhi=&amp;as_occt=title&amp;as_sdt=0%2C5&amp;as_epq=%22Compact+Amperometric+Algal+Biosensors+for+the+Evaluation+of+Water+Toxicity", "Google Scholar")</f>
        <v>Google Scholar</v>
      </c>
    </row>
    <row r="240" spans="1:8" x14ac:dyDescent="0.25">
      <c r="A240">
        <v>115620</v>
      </c>
      <c r="B240" t="s">
        <v>456</v>
      </c>
      <c r="C240" t="s">
        <v>457</v>
      </c>
      <c r="D240" t="s">
        <v>458</v>
      </c>
      <c r="E240">
        <v>2008</v>
      </c>
      <c r="G240" t="s">
        <v>1951</v>
      </c>
      <c r="H240" s="239" t="str">
        <f>HYPERLINK("https://scholar.google.com/scholar?hl=en&amp;as_q=&amp;as_oq=&amp;as_eq=&amp;as_sauthors=&amp;as_publication=&amp;as_ylo=&amp;as_yhi=&amp;as_occt=title&amp;as_sdt=0%2C5&amp;as_epq=%22Effect+of+Herbicides+on+Biochemical+and+Physiological+Properties+of+Oscillatoria+laete-virens", "Google Scholar")</f>
        <v>Google Scholar</v>
      </c>
    </row>
    <row r="241" spans="1:8" x14ac:dyDescent="0.25">
      <c r="A241">
        <v>102029</v>
      </c>
      <c r="B241" t="s">
        <v>451</v>
      </c>
      <c r="C241" t="s">
        <v>452</v>
      </c>
      <c r="D241" t="s">
        <v>453</v>
      </c>
      <c r="E241">
        <v>2002</v>
      </c>
      <c r="G241" t="s">
        <v>1952</v>
      </c>
      <c r="H241" s="240" t="str">
        <f>HYPERLINK("https://scholar.google.com/scholar?hl=en&amp;as_q=&amp;as_oq=&amp;as_eq=&amp;as_sauthors=&amp;as_publication=&amp;as_ylo=&amp;as_yhi=&amp;as_occt=title&amp;as_sdt=0%2C5&amp;as_epq=%22Characterization+of+Salinity-Tolerant+Mutant+of+Anabaena+doliolum+Exhibiting+Multiple+Stress+Tolerance", "Google Scholar")</f>
        <v>Google Scholar</v>
      </c>
    </row>
    <row r="242" spans="1:8" x14ac:dyDescent="0.25">
      <c r="A242">
        <v>153873</v>
      </c>
      <c r="B242" t="s">
        <v>447</v>
      </c>
      <c r="C242" t="s">
        <v>448</v>
      </c>
      <c r="D242" t="s">
        <v>449</v>
      </c>
      <c r="E242">
        <v>2011</v>
      </c>
      <c r="G242" t="s">
        <v>1953</v>
      </c>
      <c r="H242" s="241" t="str">
        <f>HYPERLINK("https://scholar.google.com/scholar?hl=en&amp;as_q=&amp;as_oq=&amp;as_eq=&amp;as_sauthors=&amp;as_publication=&amp;as_ylo=&amp;as_yhi=&amp;as_occt=title&amp;as_sdt=0%2C5&amp;as_epq=%22Response+of+Multiple+Herbicide+Resistant+Strain+of+Diazotrophic+Cyanobacterium%2C+Anabaena+variabilis%2C+Exposed", "Google Scholar")</f>
        <v>Google Scholar</v>
      </c>
    </row>
    <row r="243" spans="1:8" x14ac:dyDescent="0.25">
      <c r="A243">
        <v>5636</v>
      </c>
      <c r="B243" t="s">
        <v>1222</v>
      </c>
      <c r="C243" t="s">
        <v>1223</v>
      </c>
      <c r="D243" t="s">
        <v>1224</v>
      </c>
      <c r="E243">
        <v>1978</v>
      </c>
      <c r="G243" t="s">
        <v>1954</v>
      </c>
      <c r="H243" s="242" t="str">
        <f>HYPERLINK("https://scholar.google.com/scholar?hl=en&amp;as_q=&amp;as_oq=&amp;as_eq=&amp;as_sauthors=&amp;as_publication=&amp;as_ylo=&amp;as_yhi=&amp;as_occt=title&amp;as_sdt=0%2C5&amp;as_epq=%22Toxicity+of+Some+Herbicides+to+Major+Carp+Fingerlings", "Google Scholar")</f>
        <v>Google Scholar</v>
      </c>
    </row>
    <row r="244" spans="1:8" x14ac:dyDescent="0.25">
      <c r="A244">
        <v>165280</v>
      </c>
      <c r="B244" t="s">
        <v>798</v>
      </c>
      <c r="C244" t="s">
        <v>799</v>
      </c>
      <c r="D244" t="s">
        <v>800</v>
      </c>
      <c r="E244">
        <v>2014</v>
      </c>
      <c r="G244" t="s">
        <v>1955</v>
      </c>
      <c r="H244" s="243" t="str">
        <f>HYPERLINK("https://scholar.google.com/scholar?hl=en&amp;as_q=&amp;as_oq=&amp;as_eq=&amp;as_sauthors=&amp;as_publication=&amp;as_ylo=&amp;as_yhi=&amp;as_occt=title&amp;as_sdt=0%2C5&amp;as_epq=%22Hazard+and+Risk+of+Herbicides+for+Marine+Microalgae", "Google Scholar")</f>
        <v>Google Scholar</v>
      </c>
    </row>
    <row r="245" spans="1:8" x14ac:dyDescent="0.25">
      <c r="A245">
        <v>2251</v>
      </c>
      <c r="B245" t="s">
        <v>901</v>
      </c>
      <c r="C245" t="s">
        <v>902</v>
      </c>
      <c r="D245" t="s">
        <v>903</v>
      </c>
      <c r="E245">
        <v>1971</v>
      </c>
      <c r="G245" t="s">
        <v>1956</v>
      </c>
      <c r="H245" s="244" t="str">
        <f>HYPERLINK("https://scholar.google.com/scholar?hl=en&amp;as_q=&amp;as_oq=&amp;as_eq=&amp;as_sauthors=&amp;as_publication=&amp;as_ylo=&amp;as_yhi=&amp;as_occt=title&amp;as_sdt=0%2C5&amp;as_epq=%22Pesticide+Effect+on+Growth+and+14C+Assimilation+in+a+Freshwater+Alga", "Google Scholar")</f>
        <v>Google Scholar</v>
      </c>
    </row>
    <row r="246" spans="1:8" x14ac:dyDescent="0.25">
      <c r="A246">
        <v>110086</v>
      </c>
      <c r="B246" t="s">
        <v>328</v>
      </c>
      <c r="C246" t="s">
        <v>329</v>
      </c>
      <c r="D246" t="s">
        <v>330</v>
      </c>
      <c r="E246">
        <v>2008</v>
      </c>
      <c r="G246" t="s">
        <v>1957</v>
      </c>
      <c r="H246" s="245" t="str">
        <f>HYPERLINK("https://scholar.google.com/scholar?hl=en&amp;as_q=&amp;as_oq=&amp;as_eq=&amp;as_sauthors=&amp;as_publication=&amp;as_ylo=&amp;as_yhi=&amp;as_occt=title&amp;as_sdt=0%2C5&amp;as_epq=%22Comparison+of+the+QwikLite+Algal+Bioluminescence+Test+with+Marine+Algal+Growth+Rate+Inhibition+Bioassays", "Google Scholar")</f>
        <v>Google Scholar</v>
      </c>
    </row>
    <row r="247" spans="1:8" x14ac:dyDescent="0.25">
      <c r="A247">
        <v>4684</v>
      </c>
      <c r="B247" t="s">
        <v>284</v>
      </c>
      <c r="C247" t="s">
        <v>285</v>
      </c>
      <c r="D247" t="s">
        <v>286</v>
      </c>
      <c r="E247">
        <v>1980</v>
      </c>
      <c r="G247" t="s">
        <v>1958</v>
      </c>
      <c r="H247" s="246" t="str">
        <f>HYPERLINK("https://scholar.google.com/scholar?hl=en&amp;as_q=&amp;as_oq=&amp;as_eq=&amp;as_sauthors=&amp;as_publication=&amp;as_ylo=&amp;as_yhi=&amp;as_occt=title&amp;as_sdt=0%2C5&amp;as_epq=%22The+Effect+of+Pesticides+and+Their+Metabolites%2C+Alone+and+in+Combination%2C+on+Algal+Processes", "Google Scholar")</f>
        <v>Google Scholar</v>
      </c>
    </row>
    <row r="248" spans="1:8" x14ac:dyDescent="0.25">
      <c r="A248">
        <v>112607</v>
      </c>
      <c r="B248" t="s">
        <v>383</v>
      </c>
      <c r="C248" t="s">
        <v>384</v>
      </c>
      <c r="D248" t="s">
        <v>385</v>
      </c>
      <c r="E248">
        <v>2009</v>
      </c>
      <c r="G248" t="s">
        <v>1959</v>
      </c>
      <c r="H248" s="247" t="str">
        <f>HYPERLINK("https://scholar.google.com/scholar?hl=en&amp;as_q=&amp;as_oq=&amp;as_eq=&amp;as_sauthors=&amp;as_publication=&amp;as_ylo=&amp;as_yhi=&amp;as_occt=title&amp;as_sdt=0%2C5&amp;as_epq=%22Development+of+a+Toxicity+Identification+Evaluation+Protocol+Using+Chlorophyll-a+Fluorescence+in+a+Marine+Microa", "Google Scholar")</f>
        <v>Google Scholar</v>
      </c>
    </row>
    <row r="249" spans="1:8" x14ac:dyDescent="0.25">
      <c r="A249">
        <v>70737</v>
      </c>
      <c r="B249" t="s">
        <v>743</v>
      </c>
      <c r="C249" t="s">
        <v>744</v>
      </c>
      <c r="D249" t="s">
        <v>745</v>
      </c>
      <c r="E249">
        <v>1973</v>
      </c>
      <c r="G249" t="s">
        <v>1960</v>
      </c>
      <c r="H249" s="248" t="str">
        <f>HYPERLINK("https://scholar.google.com/scholar?hl=en&amp;as_q=&amp;as_oq=&amp;as_eq=&amp;as_sauthors=&amp;as_publication=&amp;as_ylo=&amp;as_yhi=&amp;as_occt=title&amp;as_sdt=0%2C5&amp;as_epq=%22Studies+of+Pesticide+Effects+on+Chlorella+Metabolism.++I.++Effect+of+Herbicides+on+Complex+Lipid+Biosynthesis", "Google Scholar")</f>
        <v>Google Scholar</v>
      </c>
    </row>
    <row r="250" spans="1:8" x14ac:dyDescent="0.25">
      <c r="A250">
        <v>16557</v>
      </c>
      <c r="B250" t="s">
        <v>904</v>
      </c>
      <c r="C250" t="s">
        <v>905</v>
      </c>
      <c r="D250" t="s">
        <v>906</v>
      </c>
      <c r="E250">
        <v>1994</v>
      </c>
      <c r="G250" t="s">
        <v>1961</v>
      </c>
      <c r="H250" s="249" t="str">
        <f>HYPERLINK("https://scholar.google.com/scholar?hl=en&amp;as_q=&amp;as_oq=&amp;as_eq=&amp;as_sauthors=&amp;as_publication=&amp;as_ylo=&amp;as_yhi=&amp;as_occt=title&amp;as_sdt=0%2C5&amp;as_epq=%22Growth+Response+of+the+Cyanobacterium+Microcystis+aeruginosa+to+Herbicides+and+Pesticides", "Google Scholar")</f>
        <v>Google Scholar</v>
      </c>
    </row>
    <row r="251" spans="1:8" x14ac:dyDescent="0.25">
      <c r="A251">
        <v>16469</v>
      </c>
      <c r="B251" t="s">
        <v>894</v>
      </c>
      <c r="C251" t="s">
        <v>895</v>
      </c>
      <c r="D251" t="s">
        <v>896</v>
      </c>
      <c r="E251">
        <v>1994</v>
      </c>
      <c r="G251" t="s">
        <v>1962</v>
      </c>
      <c r="H251" s="250" t="str">
        <f>HYPERLINK("https://scholar.google.com/scholar?hl=en&amp;as_q=&amp;as_oq=&amp;as_eq=&amp;as_sauthors=&amp;as_publication=&amp;as_ylo=&amp;as_yhi=&amp;as_occt=title&amp;as_sdt=0%2C5&amp;as_epq=%22Natural+Antifoulants+and+Their+Analogs%3A++Applying+Nature%27s+Defense+Strategies+to+Problems+of+Biofouling+Cont", "Google Scholar")</f>
        <v>Google Scholar</v>
      </c>
    </row>
    <row r="252" spans="1:8" x14ac:dyDescent="0.25">
      <c r="A252">
        <v>20352</v>
      </c>
      <c r="B252" t="s">
        <v>1465</v>
      </c>
      <c r="C252" t="s">
        <v>1466</v>
      </c>
      <c r="D252" t="s">
        <v>1467</v>
      </c>
      <c r="E252">
        <v>1999</v>
      </c>
      <c r="G252" t="s">
        <v>1963</v>
      </c>
      <c r="H252" s="251" t="str">
        <f>HYPERLINK("https://scholar.google.com/scholar?hl=en&amp;as_q=&amp;as_oq=&amp;as_eq=&amp;as_sauthors=&amp;as_publication=&amp;as_ylo=&amp;as_yhi=&amp;as_occt=title&amp;as_sdt=0%2C5&amp;as_epq=%22Phytotoxicity+of+Diuron+Alone+and+in+Combination+with+Copper+or+Folpet+on+Duckweed+%28Lemna+minor%29", "Google Scholar")</f>
        <v>Google Scholar</v>
      </c>
    </row>
    <row r="253" spans="1:8" x14ac:dyDescent="0.25">
      <c r="A253">
        <v>64164</v>
      </c>
      <c r="B253" t="s">
        <v>1479</v>
      </c>
      <c r="C253" t="s">
        <v>1483</v>
      </c>
      <c r="D253" t="s">
        <v>1484</v>
      </c>
      <c r="E253">
        <v>2000</v>
      </c>
      <c r="G253" t="s">
        <v>1964</v>
      </c>
      <c r="H253" s="252" t="str">
        <f>HYPERLINK("https://scholar.google.com/scholar?hl=en&amp;as_q=&amp;as_oq=&amp;as_eq=&amp;as_sauthors=&amp;as_publication=&amp;as_ylo=&amp;as_yhi=&amp;as_occt=title&amp;as_sdt=0%2C5&amp;as_epq=%22Ascorbate+and+Glutathione+Contents+in+Duckweed%2C+Lemna+minor%2C+as+Biomarkers+of+the+Stress+Generated+by+Copper", "Google Scholar")</f>
        <v>Google Scholar</v>
      </c>
    </row>
    <row r="254" spans="1:8" x14ac:dyDescent="0.25">
      <c r="A254">
        <v>72770</v>
      </c>
      <c r="B254" t="s">
        <v>1479</v>
      </c>
      <c r="C254" t="s">
        <v>1480</v>
      </c>
      <c r="D254" t="s">
        <v>1481</v>
      </c>
      <c r="E254">
        <v>2000</v>
      </c>
      <c r="G254" t="s">
        <v>1965</v>
      </c>
      <c r="H254" s="253" t="str">
        <f>HYPERLINK("https://scholar.google.com/scholar?hl=en&amp;as_q=&amp;as_oq=&amp;as_eq=&amp;as_sauthors=&amp;as_publication=&amp;as_ylo=&amp;as_yhi=&amp;as_occt=title&amp;as_sdt=0%2C5&amp;as_epq=%22Is+the+%22Diuron+Effect%22+due+to+a+Herbicide+Strengthening+of+Antioxidative+Defenses+of+Lemna+minor%3F", "Google Scholar")</f>
        <v>Google Scholar</v>
      </c>
    </row>
    <row r="255" spans="1:8" x14ac:dyDescent="0.25">
      <c r="A255">
        <v>102056</v>
      </c>
      <c r="B255" t="s">
        <v>435</v>
      </c>
      <c r="C255" t="s">
        <v>436</v>
      </c>
      <c r="D255" t="s">
        <v>437</v>
      </c>
      <c r="E255">
        <v>1996</v>
      </c>
      <c r="G255" t="s">
        <v>1966</v>
      </c>
      <c r="H255" s="254" t="str">
        <f>HYPERLINK("https://scholar.google.com/scholar?hl=en&amp;as_q=&amp;as_oq=&amp;as_eq=&amp;as_sauthors=&amp;as_publication=&amp;as_ylo=&amp;as_yhi=&amp;as_occt=title&amp;as_sdt=0%2C5&amp;as_epq=%22Partial+Molecular+Analysis+of+the+psbA+Gene+in+Euglena+gracilis+Mutants+Exhibiting+Resistance+to+DCMU+and+Atrazi", "Google Scholar")</f>
        <v>Google Scholar</v>
      </c>
    </row>
    <row r="256" spans="1:8" x14ac:dyDescent="0.25">
      <c r="A256">
        <v>158996</v>
      </c>
      <c r="B256" t="s">
        <v>1620</v>
      </c>
      <c r="C256" t="s">
        <v>1621</v>
      </c>
      <c r="D256" t="s">
        <v>1622</v>
      </c>
      <c r="E256">
        <v>2010</v>
      </c>
      <c r="G256" t="s">
        <v>1967</v>
      </c>
      <c r="H256" s="255" t="str">
        <f>HYPERLINK("https://scholar.google.com/scholar?hl=en&amp;as_q=&amp;as_oq=&amp;as_eq=&amp;as_sauthors=&amp;as_publication=&amp;as_ylo=&amp;as_yhi=&amp;as_occt=title&amp;as_sdt=0%2C5&amp;as_epq=%22PO43-+Dependence+of+the+Tolerance+of+Autotrophic+and+Heterotrophic+Biofilm+Communities+to+Copper+and+Diuron", "Google Scholar")</f>
        <v>Google Scholar</v>
      </c>
    </row>
    <row r="257" spans="1:8" x14ac:dyDescent="0.25">
      <c r="A257">
        <v>575</v>
      </c>
      <c r="B257" t="s">
        <v>1363</v>
      </c>
      <c r="C257" t="s">
        <v>1364</v>
      </c>
      <c r="D257" t="s">
        <v>1365</v>
      </c>
      <c r="E257">
        <v>1980</v>
      </c>
      <c r="G257" t="s">
        <v>1968</v>
      </c>
      <c r="H257" s="256" t="str">
        <f>HYPERLINK("https://scholar.google.com/scholar?hl=en&amp;as_q=&amp;as_oq=&amp;as_eq=&amp;as_sauthors=&amp;as_publication=&amp;as_ylo=&amp;as_yhi=&amp;as_occt=title&amp;as_sdt=0%2C5&amp;as_epq=%22The+Tolerance+of+Grass+Carp%2C+Ctenopharyngodon+idella+Val.%2C+to+Aquatic+Herbicides", "Google Scholar")</f>
        <v>Google Scholar</v>
      </c>
    </row>
    <row r="258" spans="1:8" x14ac:dyDescent="0.25">
      <c r="A258">
        <v>848</v>
      </c>
      <c r="B258" t="s">
        <v>1119</v>
      </c>
      <c r="C258" t="s">
        <v>1120</v>
      </c>
      <c r="D258" t="s">
        <v>1121</v>
      </c>
      <c r="E258">
        <v>1975</v>
      </c>
      <c r="G258" t="s">
        <v>1969</v>
      </c>
      <c r="H258" s="257" t="str">
        <f>HYPERLINK("https://scholar.google.com/scholar?hl=en&amp;as_q=&amp;as_oq=&amp;as_eq=&amp;as_sauthors=&amp;as_publication=&amp;as_ylo=&amp;as_yhi=&amp;as_occt=title&amp;as_sdt=0%2C5&amp;as_epq=%22The+Acute+Toxicity+of+102+Pesticides+and+Miscellaneous+Substances+to+Fish", "Google Scholar")</f>
        <v>Google Scholar</v>
      </c>
    </row>
    <row r="259" spans="1:8" x14ac:dyDescent="0.25">
      <c r="A259">
        <v>157883</v>
      </c>
      <c r="B259" t="s">
        <v>1663</v>
      </c>
      <c r="C259" t="s">
        <v>1664</v>
      </c>
      <c r="D259" t="s">
        <v>1665</v>
      </c>
      <c r="E259">
        <v>2011</v>
      </c>
      <c r="G259" t="s">
        <v>1970</v>
      </c>
      <c r="H259" s="258" t="str">
        <f>HYPERLINK("https://scholar.google.com/scholar?hl=en&amp;as_q=&amp;as_oq=&amp;as_eq=&amp;as_sauthors=&amp;as_publication=&amp;as_ylo=&amp;as_yhi=&amp;as_occt=title&amp;as_sdt=0%2C5&amp;as_epq=%22Effects+of+Organotin+Alternative+Antifoulants+on+Oyster+Embryo", "Google Scholar")</f>
        <v>Google Scholar</v>
      </c>
    </row>
    <row r="260" spans="1:8" x14ac:dyDescent="0.25">
      <c r="A260">
        <v>344</v>
      </c>
      <c r="B260" t="s">
        <v>366</v>
      </c>
      <c r="C260" t="s">
        <v>367</v>
      </c>
      <c r="D260" t="s">
        <v>368</v>
      </c>
      <c r="E260">
        <v>1992</v>
      </c>
      <c r="F260" t="s">
        <v>1971</v>
      </c>
      <c r="G260" t="s">
        <v>1972</v>
      </c>
      <c r="H260" s="259" t="str">
        <f>HYPERLINK("https://scholar.google.com/scholar?hl=en&amp;as_q=&amp;as_oq=&amp;as_eq=&amp;as_sauthors=&amp;as_publication=&amp;as_ylo=&amp;as_yhi=&amp;as_occt=title&amp;as_sdt=0%2C5&amp;as_epq=%22Pesticide+Ecotoxicity+Database+%28Formerly%3A+Environmental+Effects+Database+%28EEDB%29%29", "Google Scholar")</f>
        <v>Google Scholar</v>
      </c>
    </row>
    <row r="261" spans="1:8" x14ac:dyDescent="0.25">
      <c r="A261">
        <v>8039</v>
      </c>
      <c r="B261" t="s">
        <v>635</v>
      </c>
      <c r="C261" t="s">
        <v>636</v>
      </c>
      <c r="D261" t="s">
        <v>637</v>
      </c>
      <c r="E261">
        <v>1962</v>
      </c>
      <c r="G261" t="s">
        <v>1973</v>
      </c>
      <c r="H261" s="260" t="str">
        <f>HYPERLINK("https://scholar.google.com/scholar?hl=en&amp;as_q=&amp;as_oq=&amp;as_eq=&amp;as_sauthors=&amp;as_publication=&amp;as_ylo=&amp;as_yhi=&amp;as_occt=title&amp;as_sdt=0%2C5&amp;as_epq=%22Growth+of+Pure+Cultures+of+Marine+Phytoplankton+in+the+Presence+of+Toxicants", "Google Scholar")</f>
        <v>Google Scholar</v>
      </c>
    </row>
    <row r="262" spans="1:8" x14ac:dyDescent="0.25">
      <c r="A262">
        <v>70033</v>
      </c>
      <c r="B262" t="s">
        <v>836</v>
      </c>
      <c r="C262" t="s">
        <v>837</v>
      </c>
      <c r="D262" t="s">
        <v>838</v>
      </c>
      <c r="E262">
        <v>2003</v>
      </c>
      <c r="G262" t="s">
        <v>1974</v>
      </c>
      <c r="H262" s="261" t="str">
        <f>HYPERLINK("https://scholar.google.com/scholar?hl=en&amp;as_q=&amp;as_oq=&amp;as_eq=&amp;as_sauthors=&amp;as_publication=&amp;as_ylo=&amp;as_yhi=&amp;as_occt=title&amp;as_sdt=0%2C5&amp;as_epq=%22Optical+Whole-Cell+Biosensor+Using+Chlorella+vulgaris+Designed+for+Monitoring+Herbicides", "Google Scholar")</f>
        <v>Google Scholar</v>
      </c>
    </row>
    <row r="263" spans="1:8" x14ac:dyDescent="0.25">
      <c r="A263">
        <v>9206</v>
      </c>
      <c r="B263" t="s">
        <v>652</v>
      </c>
      <c r="C263" t="s">
        <v>653</v>
      </c>
      <c r="D263" t="s">
        <v>654</v>
      </c>
      <c r="E263">
        <v>1972</v>
      </c>
      <c r="G263" t="s">
        <v>1975</v>
      </c>
      <c r="H263" s="262" t="str">
        <f>HYPERLINK("https://scholar.google.com/scholar?hl=en&amp;as_q=&amp;as_oq=&amp;as_eq=&amp;as_sauthors=&amp;as_publication=&amp;as_ylo=&amp;as_yhi=&amp;as_occt=title&amp;as_sdt=0%2C5&amp;as_epq=%22Relative+Tolerance+of+Nitrogen-Fixing+Blue-Green+Algae+to+Pesticides", "Google Scholar")</f>
        <v>Google Scholar</v>
      </c>
    </row>
    <row r="264" spans="1:8" x14ac:dyDescent="0.25">
      <c r="A264">
        <v>9444</v>
      </c>
      <c r="B264" t="s">
        <v>652</v>
      </c>
      <c r="C264" t="s">
        <v>675</v>
      </c>
      <c r="D264" t="s">
        <v>676</v>
      </c>
      <c r="E264">
        <v>1971</v>
      </c>
      <c r="G264" t="s">
        <v>1976</v>
      </c>
      <c r="H264" s="263" t="str">
        <f>HYPERLINK("https://scholar.google.com/scholar?hl=en&amp;as_q=&amp;as_oq=&amp;as_eq=&amp;as_sauthors=&amp;as_publication=&amp;as_ylo=&amp;as_yhi=&amp;as_occt=title&amp;as_sdt=0%2C5&amp;as_epq=%22Tolerance+of+Blue-Green+Algae+to+Pesticides", "Google Scholar")</f>
        <v>Google Scholar</v>
      </c>
    </row>
    <row r="265" spans="1:8" x14ac:dyDescent="0.25">
      <c r="A265">
        <v>8134</v>
      </c>
      <c r="B265" t="s">
        <v>642</v>
      </c>
      <c r="C265" t="s">
        <v>643</v>
      </c>
      <c r="D265" t="s">
        <v>644</v>
      </c>
      <c r="E265">
        <v>1975</v>
      </c>
      <c r="G265" t="s">
        <v>1977</v>
      </c>
      <c r="H265" s="264" t="str">
        <f>HYPERLINK("https://scholar.google.com/scholar?hl=en&amp;as_q=&amp;as_oq=&amp;as_eq=&amp;as_sauthors=&amp;as_publication=&amp;as_ylo=&amp;as_yhi=&amp;as_occt=title&amp;as_sdt=0%2C5&amp;as_epq=%22Preliminary+Studies+of+the+Effects+of+S-Triazine%2C+Carbamate%2C+Urea%2C+and+Karbutilate+Herbicides+on+Growth+of", "Google Scholar")</f>
        <v>Google Scholar</v>
      </c>
    </row>
    <row r="266" spans="1:8" x14ac:dyDescent="0.25">
      <c r="A266">
        <v>187697</v>
      </c>
      <c r="B266" t="s">
        <v>1392</v>
      </c>
      <c r="C266" t="s">
        <v>1393</v>
      </c>
      <c r="D266" t="s">
        <v>1394</v>
      </c>
      <c r="E266">
        <v>2012</v>
      </c>
      <c r="G266" t="s">
        <v>1978</v>
      </c>
      <c r="H266" s="265" t="str">
        <f>HYPERLINK("https://scholar.google.com/scholar?hl=en&amp;as_q=&amp;as_oq=&amp;as_eq=&amp;as_sauthors=&amp;as_publication=&amp;as_ylo=&amp;as_yhi=&amp;as_occt=title&amp;as_sdt=0%2C5&amp;as_epq=%22Short-Term+Effects+of+Three+Herbicides+on+the+Maximum+Quantum+Yield+and+Electron+Transport+Rate+of+Tropical+Seag", "Google Scholar")</f>
        <v>Google Scholar</v>
      </c>
    </row>
    <row r="267" spans="1:8" x14ac:dyDescent="0.25">
      <c r="A267">
        <v>9211</v>
      </c>
      <c r="B267" t="s">
        <v>191</v>
      </c>
      <c r="C267" t="s">
        <v>192</v>
      </c>
      <c r="D267" t="s">
        <v>193</v>
      </c>
      <c r="E267">
        <v>1972</v>
      </c>
      <c r="G267" t="s">
        <v>1979</v>
      </c>
      <c r="H267" s="266" t="str">
        <f>HYPERLINK("https://scholar.google.com/scholar?hl=en&amp;as_q=&amp;as_oq=&amp;as_eq=&amp;as_sauthors=&amp;as_publication=&amp;as_ylo=&amp;as_yhi=&amp;as_occt=title&amp;as_sdt=0%2C5&amp;as_epq=%22Effects+of+Herbicides+on+Photosynthesis+and+Growth+of+Marine+Unicellular+Algae", "Google Scholar")</f>
        <v>Google Scholar</v>
      </c>
    </row>
    <row r="268" spans="1:8" x14ac:dyDescent="0.25">
      <c r="A268">
        <v>9446</v>
      </c>
      <c r="B268" t="s">
        <v>647</v>
      </c>
      <c r="C268" t="s">
        <v>648</v>
      </c>
      <c r="D268" t="s">
        <v>649</v>
      </c>
      <c r="E268">
        <v>1971</v>
      </c>
      <c r="G268" t="s">
        <v>1980</v>
      </c>
      <c r="H268" s="267" t="str">
        <f>HYPERLINK("https://scholar.google.com/scholar?hl=en&amp;as_q=&amp;as_oq=&amp;as_eq=&amp;as_sauthors=&amp;as_publication=&amp;as_ylo=&amp;as_yhi=&amp;as_occt=title&amp;as_sdt=0%2C5&amp;as_epq=%22Depression+of+Carbohydrate+in+Marine+Algae+by+Urea+Herbicides", "Google Scholar")</f>
        <v>Google Scholar</v>
      </c>
    </row>
    <row r="269" spans="1:8" x14ac:dyDescent="0.25">
      <c r="A269">
        <v>182389</v>
      </c>
      <c r="B269" t="s">
        <v>1268</v>
      </c>
      <c r="C269" t="s">
        <v>1269</v>
      </c>
      <c r="D269" t="s">
        <v>1270</v>
      </c>
      <c r="E269">
        <v>2020</v>
      </c>
      <c r="G269" t="s">
        <v>1981</v>
      </c>
      <c r="H269" s="268" t="str">
        <f>HYPERLINK("https://scholar.google.com/scholar?hl=en&amp;as_q=&amp;as_oq=&amp;as_eq=&amp;as_sauthors=&amp;as_publication=&amp;as_ylo=&amp;as_yhi=&amp;as_occt=title&amp;as_sdt=0%2C5&amp;as_epq=%22Concentration-Dependent+Transcriptome+of+Zebrafish+Embryo+for+Environmental+Chemical+Assessment", "Google Scholar")</f>
        <v>Google Scholar</v>
      </c>
    </row>
    <row r="270" spans="1:8" x14ac:dyDescent="0.25">
      <c r="A270">
        <v>102066</v>
      </c>
      <c r="B270" t="s">
        <v>1574</v>
      </c>
      <c r="C270" t="s">
        <v>1575</v>
      </c>
      <c r="D270" t="s">
        <v>1576</v>
      </c>
      <c r="E270">
        <v>2006</v>
      </c>
      <c r="G270" t="s">
        <v>1982</v>
      </c>
      <c r="H270" s="269" t="str">
        <f>HYPERLINK("https://scholar.google.com/scholar?hl=en&amp;as_q=&amp;as_oq=&amp;as_eq=&amp;as_sauthors=&amp;as_publication=&amp;as_ylo=&amp;as_yhi=&amp;as_occt=title&amp;as_sdt=0%2C5&amp;as_epq=%22Toxicological+Effects+of+Biocides+on+Symbiotic+and+Aposymbiotic+Juveniles+of+the+Hermatypic+Coral+Acropora+tenui", "Google Scholar")</f>
        <v>Google Scholar</v>
      </c>
    </row>
    <row r="271" spans="1:8" x14ac:dyDescent="0.25">
      <c r="A271">
        <v>102078</v>
      </c>
      <c r="B271" t="s">
        <v>1584</v>
      </c>
      <c r="C271" t="s">
        <v>1585</v>
      </c>
      <c r="D271" t="s">
        <v>1586</v>
      </c>
      <c r="E271">
        <v>2007</v>
      </c>
      <c r="G271" t="s">
        <v>1983</v>
      </c>
      <c r="H271" s="270" t="str">
        <f>HYPERLINK("https://scholar.google.com/scholar?hl=en&amp;as_q=&amp;as_oq=&amp;as_eq=&amp;as_sauthors=&amp;as_publication=&amp;as_ylo=&amp;as_yhi=&amp;as_occt=title&amp;as_sdt=0%2C5&amp;as_epq=%22Long-Term+Laboratory+Culture+of+Symbiotic+Coral+Juveniles+and+Their+Use+in+Eco-toxicological+Study", "Google Scholar")</f>
        <v>Google Scholar</v>
      </c>
    </row>
    <row r="272" spans="1:8" x14ac:dyDescent="0.25">
      <c r="A272">
        <v>909</v>
      </c>
      <c r="B272" t="s">
        <v>1130</v>
      </c>
      <c r="C272" t="s">
        <v>1131</v>
      </c>
      <c r="D272" t="s">
        <v>1132</v>
      </c>
      <c r="E272">
        <v>1969</v>
      </c>
      <c r="G272" t="s">
        <v>1984</v>
      </c>
      <c r="H272" s="271" t="str">
        <f>HYPERLINK("https://scholar.google.com/scholar?hl=en&amp;as_q=&amp;as_oq=&amp;as_eq=&amp;as_sauthors=&amp;as_publication=&amp;as_ylo=&amp;as_yhi=&amp;as_occt=title&amp;as_sdt=0%2C5&amp;as_epq=%22The+Toxicity+of+Nine+Therapeutic+and+Herbicidal+Compounds+to+Striped+Bass", "Google Scholar")</f>
        <v>Google Scholar</v>
      </c>
    </row>
    <row r="273" spans="1:8" x14ac:dyDescent="0.25">
      <c r="A273">
        <v>173418</v>
      </c>
      <c r="B273" t="s">
        <v>1375</v>
      </c>
      <c r="C273" t="s">
        <v>1376</v>
      </c>
      <c r="D273" t="s">
        <v>1377</v>
      </c>
      <c r="E273">
        <v>2015</v>
      </c>
      <c r="G273" t="s">
        <v>1985</v>
      </c>
      <c r="H273" s="272" t="str">
        <f>HYPERLINK("https://scholar.google.com/scholar?hl=en&amp;as_q=&amp;as_oq=&amp;as_eq=&amp;as_sauthors=&amp;as_publication=&amp;as_ylo=&amp;as_yhi=&amp;as_occt=title&amp;as_sdt=0%2C5&amp;as_epq=%22Acute+and+Additive+Toxicity+of+Ten+Photosystem-II+Herbicides+to+Seagrass", "Google Scholar")</f>
        <v>Google Scholar</v>
      </c>
    </row>
    <row r="274" spans="1:8" x14ac:dyDescent="0.25">
      <c r="A274">
        <v>174505</v>
      </c>
      <c r="B274" t="s">
        <v>151</v>
      </c>
      <c r="C274" t="s">
        <v>152</v>
      </c>
      <c r="D274" t="s">
        <v>153</v>
      </c>
      <c r="E274">
        <v>2016</v>
      </c>
      <c r="G274" t="s">
        <v>1986</v>
      </c>
      <c r="H274" s="273" t="str">
        <f>HYPERLINK("https://scholar.google.com/scholar?hl=en&amp;as_q=&amp;as_oq=&amp;as_eq=&amp;as_sauthors=&amp;as_publication=&amp;as_ylo=&amp;as_yhi=&amp;as_occt=title&amp;as_sdt=0%2C5&amp;as_epq=%22How+Benthic+Diatoms+Within+Natural+Communities+Respond+to+Eight+Common+Herbicides+with+Different+Modes+of+Action", "Google Scholar")</f>
        <v>Google Scholar</v>
      </c>
    </row>
    <row r="275" spans="1:8" x14ac:dyDescent="0.25">
      <c r="A275">
        <v>183330</v>
      </c>
      <c r="B275" t="s">
        <v>1080</v>
      </c>
      <c r="C275" t="s">
        <v>1081</v>
      </c>
      <c r="D275" t="s">
        <v>1082</v>
      </c>
      <c r="E275">
        <v>2015</v>
      </c>
      <c r="G275" t="s">
        <v>1987</v>
      </c>
      <c r="H275" s="274" t="str">
        <f>HYPERLINK("https://scholar.google.com/scholar?hl=en&amp;as_q=&amp;as_oq=&amp;as_eq=&amp;as_sauthors=&amp;as_publication=&amp;as_ylo=&amp;as_yhi=&amp;as_occt=title&amp;as_sdt=0%2C5&amp;as_epq=%22Impact+of+Organic+Contamination+on+Some+Aquatic+Organisms", "Google Scholar")</f>
        <v>Google Scholar</v>
      </c>
    </row>
    <row r="276" spans="1:8" x14ac:dyDescent="0.25">
      <c r="A276">
        <v>12512</v>
      </c>
      <c r="B276" t="s">
        <v>313</v>
      </c>
      <c r="C276" t="s">
        <v>314</v>
      </c>
      <c r="D276" t="s">
        <v>315</v>
      </c>
      <c r="E276">
        <v>1986</v>
      </c>
      <c r="G276" t="s">
        <v>1988</v>
      </c>
      <c r="H276" s="275" t="str">
        <f>HYPERLINK("https://scholar.google.com/scholar?hl=en&amp;as_q=&amp;as_oq=&amp;as_eq=&amp;as_sauthors=&amp;as_publication=&amp;as_ylo=&amp;as_yhi=&amp;as_occt=title&amp;as_sdt=0%2C5&amp;as_epq=%22Evaluation+of+the+Effect+of+Chemicals+on+Aquatic+Ecosystem+by+Observing+the+Photosynthetic+Activity+of+a+Macroph", "Google Scholar")</f>
        <v>Google Scholar</v>
      </c>
    </row>
    <row r="277" spans="1:8" x14ac:dyDescent="0.25">
      <c r="A277">
        <v>12804</v>
      </c>
      <c r="B277" t="s">
        <v>1624</v>
      </c>
      <c r="C277" t="s">
        <v>1625</v>
      </c>
      <c r="D277" t="s">
        <v>1626</v>
      </c>
      <c r="E277">
        <v>1988</v>
      </c>
      <c r="G277" t="s">
        <v>1989</v>
      </c>
      <c r="H277" s="276" t="str">
        <f>HYPERLINK("https://scholar.google.com/scholar?hl=en&amp;as_q=&amp;as_oq=&amp;as_eq=&amp;as_sauthors=&amp;as_publication=&amp;as_ylo=&amp;as_yhi=&amp;as_occt=title&amp;as_sdt=0%2C5&amp;as_epq=%22State+Changes+In+Laboratory+Microecosystems+in+Response+to+Chemicals+From+Three+Structural+Groups", "Google Scholar")</f>
        <v>Google Scholar</v>
      </c>
    </row>
    <row r="278" spans="1:8" x14ac:dyDescent="0.25">
      <c r="A278">
        <v>152296</v>
      </c>
      <c r="B278" t="s">
        <v>1404</v>
      </c>
      <c r="C278" t="s">
        <v>1405</v>
      </c>
      <c r="D278" t="s">
        <v>1406</v>
      </c>
      <c r="E278">
        <v>2010</v>
      </c>
      <c r="G278" t="s">
        <v>1990</v>
      </c>
      <c r="H278" s="277" t="str">
        <f>HYPERLINK("https://scholar.google.com/scholar?hl=en&amp;as_q=&amp;as_oq=&amp;as_eq=&amp;as_sauthors=&amp;as_publication=&amp;as_ylo=&amp;as_yhi=&amp;as_occt=title&amp;as_sdt=0%2C5&amp;as_epq=%22Use+of+Fluorimetry+to+Evaluate+Atrazine+Toxicity+to+Phytoplankton+Communities", "Google Scholar")</f>
        <v>Google Scholar</v>
      </c>
    </row>
    <row r="279" spans="1:8" x14ac:dyDescent="0.25">
      <c r="A279">
        <v>159207</v>
      </c>
      <c r="B279" t="s">
        <v>302</v>
      </c>
      <c r="C279" t="s">
        <v>303</v>
      </c>
      <c r="D279" t="s">
        <v>304</v>
      </c>
      <c r="E279">
        <v>2012</v>
      </c>
      <c r="G279" t="s">
        <v>1991</v>
      </c>
      <c r="H279" s="278" t="str">
        <f>HYPERLINK("https://scholar.google.com/scholar?hl=en&amp;as_q=&amp;as_oq=&amp;as_eq=&amp;as_sauthors=&amp;as_publication=&amp;as_ylo=&amp;as_yhi=&amp;as_occt=title&amp;as_sdt=0%2C5&amp;as_epq=%22Development+and+Application+of+Whole-Sediment+Toxicity+Test+Using+Immobilized+Freshwater+Microalgae+Pseudokirchn", "Google Scholar")</f>
        <v>Google Scholar</v>
      </c>
    </row>
    <row r="280" spans="1:8" x14ac:dyDescent="0.25">
      <c r="A280">
        <v>165988</v>
      </c>
      <c r="B280" t="s">
        <v>874</v>
      </c>
      <c r="C280" t="s">
        <v>875</v>
      </c>
      <c r="D280" t="s">
        <v>876</v>
      </c>
      <c r="E280">
        <v>2013</v>
      </c>
      <c r="G280" t="s">
        <v>1992</v>
      </c>
      <c r="H280" s="279" t="str">
        <f>HYPERLINK("https://scholar.google.com/scholar?hl=en&amp;as_q=&amp;as_oq=&amp;as_eq=&amp;as_sauthors=&amp;as_publication=&amp;as_ylo=&amp;as_yhi=&amp;as_occt=title&amp;as_sdt=0%2C5&amp;as_epq=%22Effects+of+Different+Algaecides+on+the+Photosynthetic+Capacity%2C+Cell+Integrity+and+Microsystin-LR+Release+of+M", "Google Scholar")</f>
        <v>Google Scholar</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18"/>
  <sheetViews>
    <sheetView workbookViewId="0">
      <pane xSplit="1" ySplit="1" topLeftCell="B2" activePane="bottomRight" state="frozen"/>
      <selection pane="topRight"/>
      <selection pane="bottomLeft"/>
      <selection pane="bottomRight"/>
    </sheetView>
  </sheetViews>
  <sheetFormatPr defaultRowHeight="15" x14ac:dyDescent="0.25"/>
  <sheetData>
    <row r="1" spans="1:7" x14ac:dyDescent="0.25">
      <c r="A1" t="s">
        <v>1993</v>
      </c>
      <c r="B1" t="s">
        <v>1994</v>
      </c>
      <c r="C1" t="s">
        <v>1995</v>
      </c>
      <c r="D1" t="s">
        <v>1996</v>
      </c>
      <c r="E1" t="s">
        <v>1997</v>
      </c>
      <c r="G1" t="s">
        <v>1998</v>
      </c>
    </row>
    <row r="2" spans="1:7" x14ac:dyDescent="0.25">
      <c r="G2" s="280">
        <v>44884.626446759263</v>
      </c>
    </row>
    <row r="4" spans="1:7" x14ac:dyDescent="0.25">
      <c r="A4" t="s">
        <v>1999</v>
      </c>
    </row>
    <row r="5" spans="1:7" x14ac:dyDescent="0.25">
      <c r="C5" t="s">
        <v>2000</v>
      </c>
      <c r="D5" t="s">
        <v>2000</v>
      </c>
    </row>
    <row r="7" spans="1:7" x14ac:dyDescent="0.25">
      <c r="A7" t="s">
        <v>2001</v>
      </c>
    </row>
    <row r="8" spans="1:7" x14ac:dyDescent="0.25">
      <c r="C8" t="s">
        <v>2002</v>
      </c>
      <c r="D8" t="s">
        <v>2003</v>
      </c>
    </row>
    <row r="10" spans="1:7" x14ac:dyDescent="0.25">
      <c r="A10" t="s">
        <v>2004</v>
      </c>
    </row>
    <row r="12" spans="1:7" x14ac:dyDescent="0.25">
      <c r="A12" t="s">
        <v>2005</v>
      </c>
    </row>
    <row r="14" spans="1:7" x14ac:dyDescent="0.25">
      <c r="A14" t="s">
        <v>2006</v>
      </c>
    </row>
    <row r="16" spans="1:7" x14ac:dyDescent="0.25">
      <c r="A16" t="s">
        <v>2007</v>
      </c>
    </row>
    <row r="18" spans="1:1" x14ac:dyDescent="0.25">
      <c r="A18" t="s">
        <v>2008</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3B20E53C0FB7AC40913581C3C1FA0F4B" ma:contentTypeVersion="19" ma:contentTypeDescription="Vytvoří nový dokument" ma:contentTypeScope="" ma:versionID="1351c5da29516840c1faa77427c08f07">
  <xsd:schema xmlns:xsd="http://www.w3.org/2001/XMLSchema" xmlns:xs="http://www.w3.org/2001/XMLSchema" xmlns:p="http://schemas.microsoft.com/office/2006/metadata/properties" xmlns:ns2="762f013f-6d94-4785-8b23-f7ce69e38c4e" xmlns:ns3="15c662ed-2173-4984-a730-079efaff7a70" targetNamespace="http://schemas.microsoft.com/office/2006/metadata/properties" ma:root="true" ma:fieldsID="b0ec58e6e22cc4aec907a3e83de8b447" ns2:_="" ns3:_="">
    <xsd:import namespace="762f013f-6d94-4785-8b23-f7ce69e38c4e"/>
    <xsd:import namespace="15c662ed-2173-4984-a730-079efaff7a70"/>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Location" minOccurs="0"/>
                <xsd:element ref="ns3:SharedWithUsers" minOccurs="0"/>
                <xsd:element ref="ns3:SharedWithDetails" minOccurs="0"/>
                <xsd:element ref="ns2:MediaServiceAutoKeyPoints" minOccurs="0"/>
                <xsd:element ref="ns2:MediaServiceKeyPoints" minOccurs="0"/>
                <xsd:element ref="ns2:posledn_x00ed_verze" minOccurs="0"/>
                <xsd:element ref="ns2:MediaLengthInSeconds" minOccurs="0"/>
                <xsd:element ref="ns3:TaxCatchAll" minOccurs="0"/>
                <xsd:element ref="ns2:lcf76f155ced4ddcb4097134ff3c332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62f013f-6d94-4785-8b23-f7ce69e38c4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Location" ma:index="15"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posledn_x00ed_verze" ma:index="20" nillable="true" ma:displayName="poslední verze" ma:format="Dropdown" ma:internalName="posledn_x00ed_verze">
      <xsd:simpleType>
        <xsd:restriction base="dms:Text">
          <xsd:maxLength value="255"/>
        </xsd:restriction>
      </xsd:simpleType>
    </xsd:element>
    <xsd:element name="MediaLengthInSeconds" ma:index="21" nillable="true" ma:displayName="Length (seconds)" ma:internalName="MediaLengthInSeconds" ma:readOnly="true">
      <xsd:simpleType>
        <xsd:restriction base="dms:Unknown"/>
      </xsd:simpleType>
    </xsd:element>
    <xsd:element name="lcf76f155ced4ddcb4097134ff3c332f" ma:index="24" nillable="true" ma:taxonomy="true" ma:internalName="lcf76f155ced4ddcb4097134ff3c332f" ma:taxonomyFieldName="MediaServiceImageTags" ma:displayName="Značky obrázků" ma:readOnly="false" ma:fieldId="{5cf76f15-5ced-4ddc-b409-7134ff3c332f}" ma:taxonomyMulti="true" ma:sspId="05144c32-5194-445f-8fa8-b47f4d440b86"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15c662ed-2173-4984-a730-079efaff7a70" elementFormDefault="qualified">
    <xsd:import namespace="http://schemas.microsoft.com/office/2006/documentManagement/types"/>
    <xsd:import namespace="http://schemas.microsoft.com/office/infopath/2007/PartnerControls"/>
    <xsd:element name="SharedWithUsers" ma:index="16" nillable="true" ma:displayName="Sdílí se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dílené s podrobnostmi" ma:internalName="SharedWithDetails" ma:readOnly="true">
      <xsd:simpleType>
        <xsd:restriction base="dms:Note">
          <xsd:maxLength value="255"/>
        </xsd:restriction>
      </xsd:simpleType>
    </xsd:element>
    <xsd:element name="TaxCatchAll" ma:index="22" nillable="true" ma:displayName="Taxonomy Catch All Column" ma:hidden="true" ma:list="{3bb74b83-5a11-49cd-b760-2107ffd8a018}" ma:internalName="TaxCatchAll" ma:showField="CatchAllData" ma:web="15c662ed-2173-4984-a730-079efaff7a7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46D4662-2481-4404-9B13-326ECC24AA88}">
  <ds:schemaRefs>
    <ds:schemaRef ds:uri="http://schemas.microsoft.com/sharepoint/v3/contenttype/forms"/>
  </ds:schemaRefs>
</ds:datastoreItem>
</file>

<file path=customXml/itemProps2.xml><?xml version="1.0" encoding="utf-8"?>
<ds:datastoreItem xmlns:ds="http://schemas.openxmlformats.org/officeDocument/2006/customXml" ds:itemID="{C3276D9D-FFE5-4E32-9647-0BE00675099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62f013f-6d94-4785-8b23-f7ce69e38c4e"/>
    <ds:schemaRef ds:uri="15c662ed-2173-4984-a730-079efaff7a7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4</vt:i4>
      </vt:variant>
    </vt:vector>
  </HeadingPairs>
  <TitlesOfParts>
    <vt:vector size="4" baseType="lpstr">
      <vt:lpstr>Aquatic-Export</vt:lpstr>
      <vt:lpstr>výsledky Dú</vt:lpstr>
      <vt:lpstr>References</vt:lpstr>
      <vt:lpstr>Search_Parameters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Zuzana Toušová</cp:lastModifiedBy>
  <dcterms:created xsi:type="dcterms:W3CDTF">2022-11-19T20:02:02Z</dcterms:created>
  <dcterms:modified xsi:type="dcterms:W3CDTF">2022-12-09T06:44:00Z</dcterms:modified>
</cp:coreProperties>
</file>